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4.xml" ContentType="application/vnd.openxmlformats-officedocument.drawing+xml"/>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drawings/drawing5.xml" ContentType="application/vnd.openxmlformats-officedocument.drawing+xml"/>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6.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drawings/drawing7.xml" ContentType="application/vnd.openxmlformats-officedocument.drawing+xml"/>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drawings/drawing8.xml" ContentType="application/vnd.openxmlformats-officedocument.drawing+xml"/>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9.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comments8.xml" ContentType="application/vnd.openxmlformats-officedocument.spreadsheetml.comments+xml"/>
  <Override PartName="/xl/comments9.xml" ContentType="application/vnd.openxmlformats-officedocument.spreadsheetml.comments+xml"/>
  <Override PartName="/xl/drawings/drawing10.xml" ContentType="application/vnd.openxmlformats-officedocument.drawing+xml"/>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Reports\KPM\TFI SL\"/>
    </mc:Choice>
  </mc:AlternateContent>
  <bookViews>
    <workbookView xWindow="0" yWindow="975" windowWidth="19155" windowHeight="7125" tabRatio="893" firstSheet="1" activeTab="1"/>
  </bookViews>
  <sheets>
    <sheet name="May VS June" sheetId="59" state="hidden" r:id="rId1"/>
    <sheet name="KPM  - TFI " sheetId="33" r:id="rId2"/>
    <sheet name="P10" sheetId="65" r:id="rId3"/>
    <sheet name="P9." sheetId="64" r:id="rId4"/>
    <sheet name="P9" sheetId="63" state="hidden" r:id="rId5"/>
    <sheet name="P8" sheetId="62" r:id="rId6"/>
    <sheet name="P7" sheetId="61" r:id="rId7"/>
    <sheet name="Summary" sheetId="58" state="hidden" r:id="rId8"/>
    <sheet name="P6" sheetId="56" r:id="rId9"/>
    <sheet name="P5" sheetId="55" r:id="rId10"/>
    <sheet name="P4" sheetId="52" r:id="rId11"/>
    <sheet name="P3" sheetId="51" r:id="rId12"/>
    <sheet name="P2" sheetId="48" r:id="rId13"/>
    <sheet name="P2 (2)" sheetId="50" state="hidden" r:id="rId14"/>
    <sheet name="Revised P1" sheetId="49" state="hidden" r:id="rId15"/>
    <sheet name="P1" sheetId="47" r:id="rId16"/>
    <sheet name="KPM update - TFI " sheetId="6" state="hidden" r:id="rId17"/>
    <sheet name="TFI &amp; TeKSS-Feb 27-Apr 2" sheetId="38" state="hidden" r:id="rId18"/>
    <sheet name="KPM update - TeKSS" sheetId="31" state="hidden" r:id="rId19"/>
    <sheet name="TeKSS - Jan 2nd to 29th" sheetId="28" state="hidden" r:id="rId20"/>
    <sheet name="Appportionment Basis-Common cos" sheetId="34" state="hidden" r:id="rId21"/>
    <sheet name="Mail from Sam" sheetId="30" state="hidden" r:id="rId22"/>
    <sheet name="Sheet2" sheetId="46"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xlnm._FilterDatabase" localSheetId="22" hidden="1">Sheet2!$B$2:$F$2</definedName>
    <definedName name="_xlnm.Print_Titles" localSheetId="0">'May VS June'!$A:$I,'May VS June'!$1:$1</definedName>
    <definedName name="_xlnm.Print_Titles" localSheetId="2">'P10'!$A:$I,'P10'!$1:$1</definedName>
    <definedName name="_xlnm.Print_Titles" localSheetId="9">'P5'!$A:$I,'P5'!#REF!</definedName>
    <definedName name="_xlnm.Print_Titles" localSheetId="8">'P6'!$A:$I,'P6'!$1:$1</definedName>
    <definedName name="_xlnm.Print_Titles" localSheetId="6">'P7'!$A:$I,'P7'!$1:$1</definedName>
    <definedName name="_xlnm.Print_Titles" localSheetId="5">'P8'!$A:$I,'P8'!$1:$1</definedName>
    <definedName name="_xlnm.Print_Titles" localSheetId="4">'P9'!$A:$I,'P9'!$1:$1</definedName>
    <definedName name="_xlnm.Print_Titles" localSheetId="3">P9.!$A:$I,P9.!$1:$1</definedName>
    <definedName name="_xlnm.Print_Titles" localSheetId="19">'TeKSS - Jan 2nd to 29th'!$A:$F,'TeKSS - Jan 2nd to 29th'!$2:$2</definedName>
    <definedName name="_xlnm.Print_Titles" localSheetId="17">'TFI &amp; TeKSS-Feb 27-Apr 2'!$A:$I,'TFI &amp; TeKSS-Feb 27-Apr 2'!$1:$1</definedName>
    <definedName name="QB_COLUMN_29" localSheetId="0" hidden="1">'May VS June'!$J$1</definedName>
    <definedName name="QB_COLUMN_29" localSheetId="2" hidden="1">'P10'!$J$1</definedName>
    <definedName name="QB_COLUMN_29" localSheetId="9" hidden="1">'P5'!#REF!</definedName>
    <definedName name="QB_COLUMN_29" localSheetId="8" hidden="1">'P6'!$J$1</definedName>
    <definedName name="QB_COLUMN_29" localSheetId="6" hidden="1">'P7'!$J$1</definedName>
    <definedName name="QB_COLUMN_29" localSheetId="5" hidden="1">'P8'!$J$1</definedName>
    <definedName name="QB_COLUMN_29" localSheetId="4" hidden="1">'P9'!$J$1</definedName>
    <definedName name="QB_COLUMN_29" localSheetId="3" hidden="1">P9.!$J$1</definedName>
    <definedName name="QB_COLUMN_29" localSheetId="19" hidden="1">'TeKSS - Jan 2nd to 29th'!$G$2</definedName>
    <definedName name="QB_COLUMN_29" localSheetId="17" hidden="1">'TFI &amp; TeKSS-Feb 27-Apr 2'!$J$1</definedName>
    <definedName name="QB_DATA_0" localSheetId="0" hidden="1">'May VS June'!$5:$5,'May VS June'!$6:$6,'May VS June'!$7:$7,'May VS June'!$8:$8,'May VS June'!$9:$9,'May VS June'!$13:$13,'May VS June'!$16:$16,'May VS June'!$19:$19,'May VS June'!$20:$20,'May VS June'!$21:$21,'May VS June'!$22:$22,'May VS June'!$25:$25,'May VS June'!$28:$28,'May VS June'!$29:$29,'May VS June'!$30:$30,'May VS June'!$31:$31</definedName>
    <definedName name="QB_DATA_0" localSheetId="2" hidden="1">'P10'!$5:$5,'P10'!$6:$6,'P10'!$7:$7,'P10'!$8:$8,'P10'!$10:$10,'P10'!$12:$12,'P10'!$16:$16,'P10'!$19:$19,'P10'!$20:$20,'P10'!$21:$21,'P10'!$22:$22,'P10'!$25:$25,'P10'!$26:$26,'P10'!$29:$29,'P10'!$30:$30,'P10'!$31:$31</definedName>
    <definedName name="QB_DATA_0" localSheetId="9" hidden="1">'P5'!$4:$4,'P5'!$5:$5,'P5'!$6:$6,'P5'!$7:$7,'P5'!$8:$8,'P5'!$9:$9,'P5'!#REF!,'P5'!$15:$15,'P5'!$16:$16,'P5'!$17:$17,'P5'!$20:$20,'P5'!$21:$21,'P5'!$22:$22,'P5'!$23:$23,'P5'!$24:$24,'P5'!$25:$25</definedName>
    <definedName name="QB_DATA_0" localSheetId="8" hidden="1">'P6'!$5:$5,'P6'!$6:$6,'P6'!$7:$7,'P6'!$8:$8,'P6'!$9:$9,'P6'!#REF!,'P6'!#REF!,'P6'!$15:$15,'P6'!$16:$16,'P6'!$17:$17,'P6'!$18:$18,'P6'!$21:$21,'P6'!$24:$24,'P6'!$25:$25,'P6'!$26:$26,'P6'!$27:$27</definedName>
    <definedName name="QB_DATA_0" localSheetId="6" hidden="1">'P7'!$5:$5,'P7'!$6:$6,'P7'!$7:$7,'P7'!$8:$8,'P7'!$10:$10,'P7'!$12:$12,'P7'!$16:$16,'P7'!$19:$19,'P7'!$20:$20,'P7'!$21:$21,'P7'!$22:$22,'P7'!$25:$25,'P7'!$28:$28,'P7'!$29:$29,'P7'!$30:$30,'P7'!$45:$45</definedName>
    <definedName name="QB_DATA_0" localSheetId="5" hidden="1">'P8'!$5:$5,'P8'!$6:$6,'P8'!$7:$7,'P8'!$8:$8,'P8'!$10:$10,'P8'!$12:$12,'P8'!$16:$16,'P8'!$19:$19,'P8'!$20:$20,'P8'!$21:$21,'P8'!$22:$22,'P8'!$25:$25,'P8'!$26:$26,'P8'!$29:$29,'P8'!$30:$30,'P8'!$31:$31</definedName>
    <definedName name="QB_DATA_0" localSheetId="4" hidden="1">'P9'!$5:$5,'P9'!$6:$6,'P9'!$7:$7,'P9'!$8:$8,'P9'!$10:$10,'P9'!$12:$12,'P9'!$16:$16,'P9'!$19:$19,'P9'!$22:$22,'P9'!$23:$23,'P9'!$24:$24,'P9'!$27:$27,'P9'!$30:$30,'P9'!$31:$31,'P9'!$32:$32,'P9'!$35:$35</definedName>
    <definedName name="QB_DATA_0" localSheetId="3" hidden="1">P9.!$5:$5,P9.!$6:$6,P9.!$7:$7,P9.!$8:$8,P9.!$10:$10,P9.!$12:$12,P9.!$16:$16,P9.!$19:$19,P9.!$22:$22,P9.!$23:$23,P9.!$24:$24,P9.!$27:$27,P9.!$30:$30,P9.!$31:$31,P9.!$32:$32,P9.!$35:$35</definedName>
    <definedName name="QB_DATA_0" localSheetId="19" hidden="1">'TeKSS - Jan 2nd to 29th'!$8:$8,'TeKSS - Jan 2nd to 29th'!#REF!,'TeKSS - Jan 2nd to 29th'!#REF!</definedName>
    <definedName name="QB_DATA_0" localSheetId="17" hidden="1">'TFI &amp; TeKSS-Feb 27-Apr 2'!$5:$5,'TFI &amp; TeKSS-Feb 27-Apr 2'!$6:$6,'TFI &amp; TeKSS-Feb 27-Apr 2'!$7:$7,'TFI &amp; TeKSS-Feb 27-Apr 2'!$8:$8,'TFI &amp; TeKSS-Feb 27-Apr 2'!$9:$9,'TFI &amp; TeKSS-Feb 27-Apr 2'!$11:$11,'TFI &amp; TeKSS-Feb 27-Apr 2'!$12:$12,'TFI &amp; TeKSS-Feb 27-Apr 2'!$13:$13,'TFI &amp; TeKSS-Feb 27-Apr 2'!$14:$14,'TFI &amp; TeKSS-Feb 27-Apr 2'!$15:$15,'TFI &amp; TeKSS-Feb 27-Apr 2'!$16:$16,'TFI &amp; TeKSS-Feb 27-Apr 2'!$17:$17,'TFI &amp; TeKSS-Feb 27-Apr 2'!$18:$18,'TFI &amp; TeKSS-Feb 27-Apr 2'!$19:$19,'TFI &amp; TeKSS-Feb 27-Apr 2'!$20:$20,'TFI &amp; TeKSS-Feb 27-Apr 2'!$21:$21</definedName>
    <definedName name="QB_DATA_1" localSheetId="0" hidden="1">'May VS June'!$34:$34,'May VS June'!$35:$35,'May VS June'!$36:$36,'May VS June'!$37:$37,'May VS June'!$38:$38,'May VS June'!$39:$39,'May VS June'!$40:$40,'May VS June'!$43:$43,'May VS June'!$44:$44,'May VS June'!$46:$46,'May VS June'!$54:$54,'May VS June'!$55:$55,'May VS June'!$56:$56,'May VS June'!$57:$57,'May VS June'!$58:$58,'May VS June'!$60:$60</definedName>
    <definedName name="QB_DATA_1" localSheetId="2" hidden="1">'P10'!$34:$34,'P10'!$35:$35,'P10'!$36:$36,'P10'!$37:$37,'P10'!$38:$38,'P10'!$39:$39,'P10'!$41:$41,'P10'!$49:$49,'P10'!$50:$50,'P10'!$51:$51,'P10'!$52:$52,'P10'!$54:$54,'P10'!$56:$56,'P10'!$57:$57,'P10'!$58:$58,'P10'!$59:$59</definedName>
    <definedName name="QB_DATA_1" localSheetId="9" hidden="1">'P5'!$26:$26,'P5'!$29:$29,'P5'!$30:$30,'P5'!$31:$31,'P5'!$32:$32,'P5'!$35:$35,'P5'!$36:$36,'P5'!$37:$37,'P5'!$38:$38,'P5'!$39:$39,'P5'!$40:$40,'P5'!$41:$41,'P5'!$44:$44,'P5'!$46:$46,'P5'!$47:$47,'P5'!#REF!</definedName>
    <definedName name="QB_DATA_1" localSheetId="8" hidden="1">'P6'!$30:$30,'P6'!$31:$31,'P6'!$32:$32,'P6'!$33:$33,'P6'!$34:$34,'P6'!$35:$35,'P6'!$36:$36,'P6'!$39:$39,'P6'!$40:$40,'P6'!#REF!,'P6'!$49:$49,'P6'!$50:$50,'P6'!$51:$51,'P6'!$52:$52,'P6'!$53:$53,'P6'!$55:$55</definedName>
    <definedName name="QB_DATA_1" localSheetId="6" hidden="1">'P7'!$53:$53,'P7'!$54:$54,'P7'!$55:$55,'P7'!$56:$56,'P7'!$57:$57,'P7'!$59:$59,'P7'!$61:$61,'P7'!$62:$62,'P7'!$63:$63,'P7'!$76:$76,'P7'!$77:$77,'P7'!$78:$78,'P7'!$81:$81,'P7'!$82:$82,'P7'!$83:$83,'P7'!$84:$84</definedName>
    <definedName name="QB_DATA_1" localSheetId="5" hidden="1">'P8'!$32:$32,'P8'!$35:$35,'P8'!$36:$36,'P8'!$37:$37,'P8'!$38:$38,'P8'!$39:$39,'P8'!$40:$40,'P8'!$41:$41,'P8'!$43:$43,'P8'!$51:$51,'P8'!$52:$52,'P8'!$53:$53,'P8'!$55:$55,'P8'!$57:$57,'P8'!$58:$58,'P8'!$61:$61</definedName>
    <definedName name="QB_DATA_1" localSheetId="4" hidden="1">'P9'!$36:$36,'P9'!$37:$37,'P9'!$38:$38,'P9'!$39:$39,'P9'!$40:$40,'P9'!$42:$42,'P9'!$50:$50,'P9'!$51:$51,'P9'!$52:$52,'P9'!$53:$53,'P9'!$55:$55,'P9'!$57:$57,'P9'!$58:$58,'P9'!$59:$59,'P9'!$62:$62,'P9'!$63:$63</definedName>
    <definedName name="QB_DATA_1" localSheetId="3" hidden="1">P9.!$36:$36,P9.!$37:$37,P9.!$38:$38,P9.!$39:$39,P9.!$40:$40,P9.!$42:$42,P9.!$50:$50,P9.!$51:$51,P9.!$52:$52,P9.!$53:$53,P9.!$55:$55,P9.!$57:$57,P9.!$58:$58,P9.!$59:$59,P9.!$62:$62,P9.!$63:$63</definedName>
    <definedName name="QB_DATA_1" localSheetId="17" hidden="1">'TFI &amp; TeKSS-Feb 27-Apr 2'!$28:$28,'TFI &amp; TeKSS-Feb 27-Apr 2'!$29:$29,'TFI &amp; TeKSS-Feb 27-Apr 2'!$30:$30,'TFI &amp; TeKSS-Feb 27-Apr 2'!$31:$31,'TFI &amp; TeKSS-Feb 27-Apr 2'!$34:$34,'TFI &amp; TeKSS-Feb 27-Apr 2'!$35:$35,'TFI &amp; TeKSS-Feb 27-Apr 2'!$36:$36,'TFI &amp; TeKSS-Feb 27-Apr 2'!$37:$37,'TFI &amp; TeKSS-Feb 27-Apr 2'!$38:$38,'TFI &amp; TeKSS-Feb 27-Apr 2'!$39:$39,'TFI &amp; TeKSS-Feb 27-Apr 2'!$40:$40,'TFI &amp; TeKSS-Feb 27-Apr 2'!$41:$41,'TFI &amp; TeKSS-Feb 27-Apr 2'!$42:$42,'TFI &amp; TeKSS-Feb 27-Apr 2'!$43:$43,'TFI &amp; TeKSS-Feb 27-Apr 2'!$44:$44,'TFI &amp; TeKSS-Feb 27-Apr 2'!$45:$45</definedName>
    <definedName name="QB_DATA_10" localSheetId="9" hidden="1">'P5'!$213:$213</definedName>
    <definedName name="QB_DATA_2" localSheetId="0" hidden="1">'May VS June'!$62:$62,'May VS June'!$63:$63,'May VS June'!$65:$65,'May VS June'!$66:$66,'May VS June'!$70:$70,'May VS June'!$71:$71,'May VS June'!$72:$72,'May VS June'!$73:$73,'May VS June'!$74:$74,'May VS June'!$75:$75,'May VS June'!$76:$76,'May VS June'!$79:$79,'May VS June'!$80:$80,'May VS June'!$81:$81,'May VS June'!$82:$82,'May VS June'!$83:$83</definedName>
    <definedName name="QB_DATA_2" localSheetId="2" hidden="1">'P10'!$62:$62,'P10'!$63:$63,'P10'!$64:$64,'P10'!$65:$65,'P10'!$66:$66,'P10'!$67:$67,'P10'!$70:$70,'P10'!$71:$71,'P10'!$74:$74,'P10'!$75:$75,'P10'!$76:$76,'P10'!$77:$77,'P10'!$80:$80,'P10'!$81:$81,'P10'!$82:$82,'P10'!$83:$83</definedName>
    <definedName name="QB_DATA_2" localSheetId="9" hidden="1">'P5'!$57:$57,'P5'!$58:$58,'P5'!$59:$59,'P5'!$60:$60,'P5'!$61:$61,'P5'!$63:$63,'P5'!$65:$65,'P5'!$66:$66,'P5'!$68:$68,'P5'!$69:$69,'P5'!$71:$71,'P5'!$74:$74,'P5'!$75:$75,'P5'!$76:$76,'P5'!$77:$77,'P5'!$78:$78</definedName>
    <definedName name="QB_DATA_2" localSheetId="8" hidden="1">'P6'!$57:$57,'P6'!$58:$58,'P6'!$60:$60,'P6'!$61:$61,'P6'!$65:$65,'P6'!$66:$66,'P6'!$67:$67,'P6'!$68:$68,'P6'!$69:$69,'P6'!$70:$70,'P6'!$71:$71,'P6'!$74:$74,'P6'!$75:$75,'P6'!$76:$76,'P6'!$77:$77,'P6'!$78:$78</definedName>
    <definedName name="QB_DATA_2" localSheetId="6" hidden="1">'P7'!$85:$85,'P7'!$88:$88,'P7'!$89:$89,'P7'!$90:$90,'P7'!$94:$94,'P7'!$95:$95,'P7'!$96:$96,'P7'!$99:$99,'P7'!$104:$104,'P7'!$105:$105,'P7'!$106:$106,'P7'!$107:$107,'P7'!$108:$108,'P7'!$109:$109,'P7'!$110:$110,'P7'!$111:$111</definedName>
    <definedName name="QB_DATA_2" localSheetId="5" hidden="1">'P8'!$62:$62,'P8'!$63:$63,'P8'!$64:$64,'P8'!$65:$65,'P8'!$66:$66,'P8'!$67:$67,'P8'!$70:$70,'P8'!$71:$71,'P8'!$72:$72,'P8'!$73:$73,'P8'!$76:$76,'P8'!$77:$77,'P8'!$78:$78,'P8'!$79:$79,'P8'!$80:$80,'P8'!$81:$81</definedName>
    <definedName name="QB_DATA_2" localSheetId="4" hidden="1">'P9'!$64:$64,'P9'!$65:$65,'P9'!$66:$66,'P9'!$67:$67,'P9'!$70:$70,'P9'!$71:$71,'P9'!$72:$72,'P9'!$73:$73,'P9'!$74:$74,'P9'!$77:$77,'P9'!$78:$78,'P9'!$79:$79,'P9'!$80:$80,'P9'!$81:$81,'P9'!$84:$84,'P9'!$85:$85</definedName>
    <definedName name="QB_DATA_2" localSheetId="3" hidden="1">P9.!$64:$64,P9.!$65:$65,P9.!$66:$66,P9.!$67:$67,P9.!$70:$70,P9.!$71:$71,P9.!$72:$72,P9.!$73:$73,P9.!$74:$74,P9.!$77:$77,P9.!$78:$78,P9.!$79:$79,P9.!$80:$80,P9.!$81:$81,P9.!$84:$84,P9.!$85:$85</definedName>
    <definedName name="QB_DATA_2" localSheetId="17" hidden="1">'TFI &amp; TeKSS-Feb 27-Apr 2'!$48:$48,'TFI &amp; TeKSS-Feb 27-Apr 2'!$49:$49,'TFI &amp; TeKSS-Feb 27-Apr 2'!$52:$52,'TFI &amp; TeKSS-Feb 27-Apr 2'!$53:$53,'TFI &amp; TeKSS-Feb 27-Apr 2'!$54:$54,'TFI &amp; TeKSS-Feb 27-Apr 2'!$55:$55,'TFI &amp; TeKSS-Feb 27-Apr 2'!$56:$56,'TFI &amp; TeKSS-Feb 27-Apr 2'!$57:$57,'TFI &amp; TeKSS-Feb 27-Apr 2'!$60:$60,'TFI &amp; TeKSS-Feb 27-Apr 2'!$61:$61,'TFI &amp; TeKSS-Feb 27-Apr 2'!$70:$70,'TFI &amp; TeKSS-Feb 27-Apr 2'!$71:$71,'TFI &amp; TeKSS-Feb 27-Apr 2'!$72:$72,'TFI &amp; TeKSS-Feb 27-Apr 2'!$73:$73,'TFI &amp; TeKSS-Feb 27-Apr 2'!$75:$75,'TFI &amp; TeKSS-Feb 27-Apr 2'!$76:$76</definedName>
    <definedName name="QB_DATA_3" localSheetId="0" hidden="1">'May VS June'!$86:$86,'May VS June'!$87:$87,'May VS June'!$88:$88,'May VS June'!$89:$89,'May VS June'!$90:$90,'May VS June'!$93:$93,'May VS June'!$94:$94,'May VS June'!$95:$95,'May VS June'!$96:$96,'May VS June'!$97:$97,'May VS June'!$98:$98,'May VS June'!$99:$99,'May VS June'!$102:$102,'May VS June'!$107:$107,'May VS June'!$108:$108,'May VS June'!$109:$109</definedName>
    <definedName name="QB_DATA_3" localSheetId="2" hidden="1">'P10'!$84:$84,'P10'!$85:$85,'P10'!$86:$86,'P10'!$87:$87,'P10'!$90:$90,'P10'!$95:$95,'P10'!$96:$96,'P10'!$97:$97,'P10'!$98:$98,'P10'!$99:$99,'P10'!$100:$100,'P10'!$101:$101,'P10'!$102:$102,'P10'!$103:$103,'P10'!$104:$104,'P10'!$107:$107</definedName>
    <definedName name="QB_DATA_3" localSheetId="9" hidden="1">'P5'!$79:$79,'P5'!$80:$80,'P5'!$83:$83,'P5'!$84:$84,'P5'!$85:$85,'P5'!$86:$86,'P5'!$87:$87,'P5'!$90:$90,'P5'!$91:$91,'P5'!$92:$92,'P5'!$93:$93,'P5'!$94:$94,'P5'!$97:$97,'P5'!$98:$98,'P5'!$99:$99,'P5'!$100:$100</definedName>
    <definedName name="QB_DATA_3" localSheetId="8" hidden="1">'P6'!$81:$81,'P6'!$82:$82,'P6'!$83:$83,'P6'!$84:$84,'P6'!$85:$85,'P6'!$88:$88,'P6'!$89:$89,'P6'!$90:$90,'P6'!$91:$91,'P6'!$92:$92,'P6'!$93:$93,'P6'!$94:$94,'P6'!$97:$97,'P6'!$102:$102,'P6'!$103:$103,'P6'!$104:$104</definedName>
    <definedName name="QB_DATA_3" localSheetId="6" hidden="1">'P7'!#REF!,'P7'!$123:$123,'P7'!$124:$124,'P7'!$127:$127,'P7'!$130:$130,'P7'!$133:$133,'P7'!$134:$134,'P7'!$137:$137,'P7'!$139:$139,'P7'!$143:$143,'P7'!$144:$144,'P7'!$145:$145,'P7'!$148:$148,'P7'!$150:$150,'P7'!$155:$155,'P7'!$157:$157</definedName>
    <definedName name="QB_DATA_3" localSheetId="5" hidden="1">'P8'!$84:$84,'P8'!$85:$85,'P8'!$86:$86,'P8'!$87:$87,'P8'!$88:$88,'P8'!$89:$89,'P8'!$94:$94,'P8'!$95:$95,'P8'!$96:$96,'P8'!$97:$97,'P8'!$98:$98,'P8'!$99:$99,'P8'!$100:$100,'P8'!$101:$101,'P8'!$102:$102,'P8'!$105:$105</definedName>
    <definedName name="QB_DATA_3" localSheetId="4" hidden="1">'P9'!$86:$86,'P9'!$87:$87,'P9'!$88:$88,'P9'!$89:$89,'P9'!$92:$92,'P9'!$93:$93,'P9'!$98:$98,'P9'!$99:$99,'P9'!$100:$100,'P9'!$101:$101,'P9'!$102:$102,'P9'!$103:$103,'P9'!$104:$104,'P9'!$105:$105,'P9'!$108:$108,'P9'!$109:$109</definedName>
    <definedName name="QB_DATA_3" localSheetId="3" hidden="1">P9.!$86:$86,P9.!$90:$90,P9.!$91:$91,P9.!$92:$92,P9.!$95:$95,P9.!$96:$96,P9.!$101:$101,P9.!$102:$102,P9.!$103:$103,P9.!$104:$104,P9.!$105:$105,P9.!$106:$106,P9.!$107:$107,P9.!$108:$108,P9.!$111:$111,P9.!$112:$112</definedName>
    <definedName name="QB_DATA_3" localSheetId="17" hidden="1">'TFI &amp; TeKSS-Feb 27-Apr 2'!$78:$78,'TFI &amp; TeKSS-Feb 27-Apr 2'!$79:$79,'TFI &amp; TeKSS-Feb 27-Apr 2'!$81:$81,'TFI &amp; TeKSS-Feb 27-Apr 2'!$85:$85,'TFI &amp; TeKSS-Feb 27-Apr 2'!$86:$86,'TFI &amp; TeKSS-Feb 27-Apr 2'!$87:$87,'TFI &amp; TeKSS-Feb 27-Apr 2'!$88:$88,'TFI &amp; TeKSS-Feb 27-Apr 2'!$89:$89,'TFI &amp; TeKSS-Feb 27-Apr 2'!$90:$90,'TFI &amp; TeKSS-Feb 27-Apr 2'!$93:$93,'TFI &amp; TeKSS-Feb 27-Apr 2'!$94:$94,'TFI &amp; TeKSS-Feb 27-Apr 2'!$95:$95,'TFI &amp; TeKSS-Feb 27-Apr 2'!$96:$96,'TFI &amp; TeKSS-Feb 27-Apr 2'!$99:$99,'TFI &amp; TeKSS-Feb 27-Apr 2'!$100:$100,'TFI &amp; TeKSS-Feb 27-Apr 2'!$101:$101</definedName>
    <definedName name="QB_DATA_4" localSheetId="0" hidden="1">'May VS June'!$110:$110,'May VS June'!$111:$111,'May VS June'!$112:$112,'May VS June'!$113:$113,'May VS June'!$114:$114,'May VS June'!$115:$115,'May VS June'!$118:$118,'May VS June'!$119:$119,'May VS June'!$120:$120,'May VS June'!$121:$121,'May VS June'!$122:$122,'May VS June'!$125:$125,'May VS June'!$126:$126,'May VS June'!$127:$127,'May VS June'!$128:$128,'May VS June'!$131:$131</definedName>
    <definedName name="QB_DATA_4" localSheetId="2" hidden="1">'P10'!$108:$108,'P10'!$109:$109,'P10'!$110:$110,'P10'!$111:$111,'P10'!$114:$114,'P10'!$115:$115,'P10'!$116:$116,'P10'!$119:$119,'P10'!$120:$120,'P10'!$123:$123,'P10'!$124:$124,'P10'!$125:$125,'P10'!$126:$126,'P10'!$129:$129,'P10'!$131:$131,'P10'!$135:$135</definedName>
    <definedName name="QB_DATA_4" localSheetId="9" hidden="1">'P5'!$101:$101,'P5'!$102:$102,'P5'!$103:$103,'P5'!$104:$104,'P5'!$105:$105,'P5'!$108:$108,'P5'!$113:$113,'P5'!$114:$114,'P5'!$115:$115,'P5'!$116:$116,'P5'!$117:$117,'P5'!$118:$118,'P5'!$119:$119,'P5'!$120:$120,'P5'!$121:$121,'P5'!$122:$122</definedName>
    <definedName name="QB_DATA_4" localSheetId="8" hidden="1">'P6'!$105:$105,'P6'!$106:$106,'P6'!$107:$107,'P6'!$108:$108,'P6'!$109:$109,'P6'!$110:$110,'P6'!$113:$113,'P6'!$114:$114,'P6'!$115:$115,'P6'!$116:$116,'P6'!$117:$117,'P6'!$120:$120,'P6'!$121:$121,'P6'!$122:$122,'P6'!$123:$123,'P6'!$126:$126</definedName>
    <definedName name="QB_DATA_4" localSheetId="6" hidden="1">'P7'!$158:$158,'P7'!$162:$162,'P7'!$163:$163,'P7'!$175:$175,'P7'!$177:$177,'P7'!$180:$180,'P7'!$190:$190,'P7'!$191:$191,'P7'!$192:$192,'P7'!$193:$193,'P7'!$194:$194,'P7'!$195:$195,'P7'!$196:$196,'P7'!#REF!,'P7'!$197:$197,'P7'!$200:$200</definedName>
    <definedName name="QB_DATA_4" localSheetId="5" hidden="1">'P8'!$106:$106,'P8'!$107:$107,'P8'!$108:$108,'P8'!$109:$109,'P8'!$110:$110,'P8'!$113:$113,'P8'!$114:$114,'P8'!$117:$117,'P8'!$120:$120,'P8'!$121:$121,'P8'!$126:$126,'P8'!$127:$127,'P8'!$130:$130,'P8'!$131:$131,'P8'!$137:$137,'P8'!$138:$138</definedName>
    <definedName name="QB_DATA_4" localSheetId="4" hidden="1">'P9'!$110:$110,'P9'!$112:$112,'P9'!$115:$115,'P9'!$116:$116,'P9'!$119:$119,'P9'!$122:$122,'P9'!$123:$123,'P9'!$124:$124,'P9'!$127:$127,'P9'!$129:$129,'P9'!$133:$133,'P9'!$134:$134,'P9'!$137:$137,'P9'!$138:$138,'P9'!$143:$143,'P9'!$145:$145</definedName>
    <definedName name="QB_DATA_4" localSheetId="3" hidden="1">P9.!$113:$113,P9.!$114:$114,P9.!$117:$117,P9.!$118:$118,P9.!$121:$121,P9.!$124:$124,P9.!$125:$125,P9.!$126:$126,P9.!$129:$129,P9.!$131:$131,P9.!$135:$135,P9.!$136:$136,P9.!$139:$139,P9.!$140:$140,P9.!$145:$145,P9.!$147:$147</definedName>
    <definedName name="QB_DATA_4" localSheetId="17" hidden="1">'TFI &amp; TeKSS-Feb 27-Apr 2'!$102:$102,'TFI &amp; TeKSS-Feb 27-Apr 2'!$105:$105,'TFI &amp; TeKSS-Feb 27-Apr 2'!$106:$106,'TFI &amp; TeKSS-Feb 27-Apr 2'!$107:$107,'TFI &amp; TeKSS-Feb 27-Apr 2'!$110:$110,'TFI &amp; TeKSS-Feb 27-Apr 2'!$115:$115,'TFI &amp; TeKSS-Feb 27-Apr 2'!$116:$116,'TFI &amp; TeKSS-Feb 27-Apr 2'!$117:$117,'TFI &amp; TeKSS-Feb 27-Apr 2'!$118:$118,'TFI &amp; TeKSS-Feb 27-Apr 2'!$119:$119,'TFI &amp; TeKSS-Feb 27-Apr 2'!$122:$122,'TFI &amp; TeKSS-Feb 27-Apr 2'!$123:$123,'TFI &amp; TeKSS-Feb 27-Apr 2'!$124:$124,'TFI &amp; TeKSS-Feb 27-Apr 2'!$125:$125,'TFI &amp; TeKSS-Feb 27-Apr 2'!$129:$129,'TFI &amp; TeKSS-Feb 27-Apr 2'!$130:$130</definedName>
    <definedName name="QB_DATA_5" localSheetId="0" hidden="1">'May VS June'!$132:$132,'May VS June'!$133:$133,'May VS June'!$134:$134,'May VS June'!$137:$137,'May VS June'!$138:$138,'May VS June'!$139:$139,'May VS June'!$140:$140,'May VS June'!$141:$141,'May VS June'!$144:$144,'May VS June'!$146:$146,'May VS June'!$150:$150,'May VS June'!$151:$151,'May VS June'!$152:$152,'May VS June'!$155:$155,'May VS June'!$156:$156,'May VS June'!$157:$157</definedName>
    <definedName name="QB_DATA_5" localSheetId="2" hidden="1">'P10'!$136:$136,'P10'!$139:$139,'P10'!$140:$140,'P10'!$141:$141,'P10'!$146:$146,'P10'!$148:$148,'P10'!$149:$149,'P10'!$151:$151,'P10'!$154:$154,'P10'!$155:$155,'P10'!$156:$156,'P10'!$159:$159,'P10'!$160:$160,'P10'!$164:$164,'P10'!$168:$168,'P10'!$169:$169</definedName>
    <definedName name="QB_DATA_5" localSheetId="9" hidden="1">'P5'!$123:$123,'P5'!$124:$124,'P5'!$127:$127,'P5'!$128:$128,'P5'!$129:$129,'P5'!$130:$130,'P5'!$131:$131,'P5'!$134:$134,'P5'!$135:$135,'P5'!$136:$136,'P5'!$137:$137,'P5'!$140:$140,'P5'!$141:$141,'P5'!$142:$142,'P5'!$143:$143,'P5'!$146:$146</definedName>
    <definedName name="QB_DATA_5" localSheetId="8" hidden="1">'P6'!$127:$127,'P6'!$128:$128,'P6'!$129:$129,'P6'!$132:$132,'P6'!$133:$133,'P6'!$134:$134,'P6'!$135:$135,'P6'!$136:$136,'P6'!$139:$139,'P6'!$141:$141,'P6'!$145:$145,'P6'!$146:$146,'P6'!$147:$147,'P6'!$150:$150,'P6'!$151:$151,'P6'!$152:$152</definedName>
    <definedName name="QB_DATA_5" localSheetId="6" hidden="1">'P7'!$201:$201,'P7'!$202:$202,'P7'!$203:$203,'P7'!$204:$204,'P7'!$205:$205,'P7'!$206:$206,'P7'!$209:$209,'P7'!$210:$210,'P7'!$211:$211,'P7'!$212:$212,'P7'!$213:$213,'P7'!$216:$216,'P7'!$217:$217,'P7'!$218:$218,'P7'!$221:$221,'P7'!$224:$224</definedName>
    <definedName name="QB_DATA_5" localSheetId="5" hidden="1">'P8'!$142:$142,'P8'!$143:$143,'P8'!$144:$144,'P8'!$145:$145,'P8'!$148:$148,'P8'!$149:$149,'P8'!$153:$153,'P8'!$157:$157,'P8'!$158:$158,'P8'!$159:$159,'P8'!$160:$160,'P8'!$161:$161,'P8'!$164:$164,'P8'!$165:$165,'P8'!$166:$166,'P8'!$167:$167</definedName>
    <definedName name="QB_DATA_5" localSheetId="4" hidden="1">'P9'!$146:$146,'P9'!$148:$148,'P9'!$151:$151,'P9'!$152:$152,'P9'!$153:$153,'P9'!$156:$156,'P9'!$157:$157,'P9'!$158:$158,'P9'!$162:$162,'P9'!$166:$166,'P9'!$167:$167,'P9'!$168:$168,'P9'!$169:$169,'P9'!$172:$172,'P9'!$173:$173,'P9'!$174:$174</definedName>
    <definedName name="QB_DATA_5" localSheetId="3" hidden="1">P9.!$148:$148,P9.!$150:$150,P9.!$153:$153,P9.!$154:$154,P9.!$155:$155,P9.!$158:$158,P9.!$159:$159,P9.!$160:$160,P9.!$164:$164,P9.!$168:$168,P9.!$169:$169,P9.!$170:$170,P9.!$171:$171,P9.!$174:$174,P9.!$175:$175,P9.!$176:$176</definedName>
    <definedName name="QB_DATA_5" localSheetId="17" hidden="1">'TFI &amp; TeKSS-Feb 27-Apr 2'!$133:$133,'TFI &amp; TeKSS-Feb 27-Apr 2'!$134:$134,'TFI &amp; TeKSS-Feb 27-Apr 2'!$135:$135,'TFI &amp; TeKSS-Feb 27-Apr 2'!$136:$136,'TFI &amp; TeKSS-Feb 27-Apr 2'!$137:$137,'TFI &amp; TeKSS-Feb 27-Apr 2'!$140:$140,'TFI &amp; TeKSS-Feb 27-Apr 2'!$141:$141,'TFI &amp; TeKSS-Feb 27-Apr 2'!$142:$142,'TFI &amp; TeKSS-Feb 27-Apr 2'!$143:$143,'TFI &amp; TeKSS-Feb 27-Apr 2'!$146:$146,'TFI &amp; TeKSS-Feb 27-Apr 2'!$151:$151,'TFI &amp; TeKSS-Feb 27-Apr 2'!$159:$159,'TFI &amp; TeKSS-Feb 27-Apr 2'!$160:$160,'TFI &amp; TeKSS-Feb 27-Apr 2'!$165:$165,'TFI &amp; TeKSS-Feb 27-Apr 2'!$166:$166,'TFI &amp; TeKSS-Feb 27-Apr 2'!$169:$169</definedName>
    <definedName name="QB_DATA_6" localSheetId="0" hidden="1">'May VS June'!$162:$162,'May VS June'!$164:$164,'May VS June'!$165:$165,'May VS June'!$167:$167,'May VS June'!$170:$170,'May VS June'!$171:$171,'May VS June'!$172:$172,'May VS June'!$173:$173,'May VS June'!$176:$176,'May VS June'!$177:$177,'May VS June'!$181:$181,'May VS June'!$182:$182,'May VS June'!$183:$183,'May VS June'!$186:$186,'May VS June'!$190:$190,'May VS June'!$191:$191</definedName>
    <definedName name="QB_DATA_6" localSheetId="2" hidden="1">'P10'!$170:$170,'P10'!$173:$173,'P10'!$174:$174,'P10'!$176:$176,'P10'!$178:$178,'P10'!$179:$179,'P10'!$180:$180,'P10'!$181:$181,'P10'!$182:$182,'P10'!$183:$183,'P10'!$186:$186,'P10'!$187:$187,'P10'!$188:$188,'P10'!$189:$189,'P10'!$192:$192,'P10'!$193:$193</definedName>
    <definedName name="QB_DATA_6" localSheetId="9" hidden="1">'P5'!$147:$147,'P5'!$148:$148,'P5'!$149:$149,'P5'!$150:$150,'P5'!$151:$151,'P5'!$153:$153,'P5'!$157:$157,'P5'!$158:$158,'P5'!$161:$161,'P5'!$162:$162,'P5'!$163:$163,'P5'!$168:$168,'P5'!$170:$170,'P5'!$171:$171,'P5'!$173:$173,'P5'!$176:$176</definedName>
    <definedName name="QB_DATA_6" localSheetId="8" hidden="1">'P6'!$157:$157,'P6'!$159:$159,'P6'!$160:$160,'P6'!$162:$162,'P6'!$165:$165,'P6'!$166:$166,'P6'!$167:$167,'P6'!$168:$168,'P6'!$171:$171,'P6'!$172:$172,'P6'!$176:$176,'P6'!$177:$177,'P6'!$178:$178,'P6'!$181:$181,'P6'!$185:$185,'P6'!$186:$186</definedName>
    <definedName name="QB_DATA_6" localSheetId="6" hidden="1">'P7'!$225:$225,'P7'!$226:$226,'P7'!$227:$227,'P7'!$228:$228,'P7'!$229:$229,'P7'!$231:$231,'P7'!$239:$239,'P7'!$243:$243</definedName>
    <definedName name="QB_DATA_6" localSheetId="5" hidden="1">'P8'!$168:$168,'P8'!$169:$169,'P8'!$170:$170,'P8'!$171:$171,'P8'!$174:$174,'P8'!$175:$175,'P8'!$176:$176,'P8'!$177:$177,'P8'!$178:$178,'P8'!$179:$179,'P8'!$180:$180,'P8'!$181:$181,'P8'!$184:$184,'P8'!$185:$185,'P8'!$186:$186,'P8'!$187:$187</definedName>
    <definedName name="QB_DATA_6" localSheetId="4" hidden="1">'P9'!$175:$175,'P9'!$176:$176,'P9'!$177:$177,'P9'!$178:$178,'P9'!$179:$179,'P9'!$180:$180,'P9'!$183:$183,'P9'!$184:$184,'P9'!$185:$185,'P9'!$186:$186,'P9'!$187:$187,'P9'!$188:$188,'P9'!$191:$191,'P9'!$192:$192,'P9'!$193:$193,'P9'!$194:$194</definedName>
    <definedName name="QB_DATA_6" localSheetId="3" hidden="1">P9.!$177:$177,P9.!$178:$178,P9.!$179:$179,P9.!$180:$180,P9.!$181:$181,P9.!$182:$182,P9.!$185:$185,P9.!$186:$186,P9.!$187:$187,P9.!$188:$188,P9.!$189:$189,P9.!$190:$190,P9.!$193:$193,P9.!$194:$194,P9.!$195:$195,P9.!$196:$196</definedName>
    <definedName name="QB_DATA_6" localSheetId="17" hidden="1">'TFI &amp; TeKSS-Feb 27-Apr 2'!$170:$170,'TFI &amp; TeKSS-Feb 27-Apr 2'!$171:$171,'TFI &amp; TeKSS-Feb 27-Apr 2'!$172:$172,'TFI &amp; TeKSS-Feb 27-Apr 2'!$177:$177,'TFI &amp; TeKSS-Feb 27-Apr 2'!$179:$179,'TFI &amp; TeKSS-Feb 27-Apr 2'!$180:$180,'TFI &amp; TeKSS-Feb 27-Apr 2'!$184:$184,'TFI &amp; TeKSS-Feb 27-Apr 2'!$185:$185,'TFI &amp; TeKSS-Feb 27-Apr 2'!$186:$186,'TFI &amp; TeKSS-Feb 27-Apr 2'!$189:$189,'TFI &amp; TeKSS-Feb 27-Apr 2'!$193:$193,'TFI &amp; TeKSS-Feb 27-Apr 2'!$197:$197,'TFI &amp; TeKSS-Feb 27-Apr 2'!$200:$200,'TFI &amp; TeKSS-Feb 27-Apr 2'!$201:$201,'TFI &amp; TeKSS-Feb 27-Apr 2'!$203:$203,'TFI &amp; TeKSS-Feb 27-Apr 2'!$205:$205</definedName>
    <definedName name="QB_DATA_7" localSheetId="0" hidden="1">'May VS June'!$192:$192,'May VS June'!$193:$193,'May VS June'!$196:$196,'May VS June'!$197:$197,'May VS June'!$198:$198,'May VS June'!$200:$200,'May VS June'!$201:$201,'May VS June'!$203:$203,'May VS June'!$204:$204,'May VS June'!$205:$205,'May VS June'!$206:$206,'May VS June'!$207:$207,'May VS June'!$208:$208,'May VS June'!$209:$209,'May VS June'!$210:$210,'May VS June'!$211:$211</definedName>
    <definedName name="QB_DATA_7" localSheetId="2" hidden="1">'P10'!$194:$194,'P10'!$195:$195,'P10'!$196:$196,'P10'!$199:$199,'P10'!$200:$200,'P10'!$201:$201,'P10'!$202:$202,'P10'!$203:$203,'P10'!$205:$205,'P10'!$206:$206,'P10'!$207:$207,'P10'!$211:$211,'P10'!$212:$212,'P10'!$213:$213,'P10'!$214:$214,'P10'!$217:$217</definedName>
    <definedName name="QB_DATA_7" localSheetId="9" hidden="1">'P5'!$177:$177,'P5'!$178:$178,'P5'!$179:$179,'P5'!$182:$182,'P5'!$183:$183,'P5'!$187:$187,'P5'!$188:$188,'P5'!$189:$189,'P5'!$192:$192,'P5'!$196:$196,'P5'!$197:$197,'P5'!$198:$198,'P5'!$199:$199,'P5'!$202:$202,'P5'!$203:$203,'P5'!#REF!</definedName>
    <definedName name="QB_DATA_7" localSheetId="8" hidden="1">'P6'!$187:$187,'P6'!$188:$188,'P6'!$191:$191,'P6'!$192:$192,'P6'!#REF!,'P6'!#REF!,'P6'!#REF!,'P6'!#REF!,'P6'!$193:$193,'P6'!$194:$194,'P6'!#REF!,'P6'!#REF!,'P6'!#REF!,'P6'!#REF!,'P6'!#REF!,'P6'!$195:$195</definedName>
    <definedName name="QB_DATA_7" localSheetId="5" hidden="1">'P8'!$188:$188,'P8'!$191:$191,'P8'!$192:$192,'P8'!$194:$194,'P8'!$195:$195,'P8'!$199:$199,'P8'!$202:$202,'P8'!$203:$203,'P8'!$204:$204,'P8'!$205:$205,'P8'!$207:$207,'P8'!$210:$210,'P8'!$216:$216,'P8'!$220:$220</definedName>
    <definedName name="QB_DATA_7" localSheetId="4" hidden="1">'P9'!$195:$195,'P9'!$198:$198,'P9'!$199:$199,'P9'!$200:$200,'P9'!$201:$201,'P9'!$203:$203,'P9'!$204:$204,'P9'!$205:$205,'P9'!$206:$206,'P9'!$210:$210,'P9'!$211:$211,'P9'!$212:$212,'P9'!$213:$213,'P9'!$214:$214,'P9'!$216:$216,'P9'!$224:$224</definedName>
    <definedName name="QB_DATA_7" localSheetId="3" hidden="1">P9.!$197:$197,P9.!$200:$200,P9.!$201:$201,P9.!$202:$202,P9.!$203:$203,P9.!$205:$205,P9.!$206:$206,P9.!$207:$207,P9.!$208:$208,P9.!$212:$212,P9.!$213:$213,P9.!$214:$214,P9.!$215:$215,P9.!$216:$216,P9.!$218:$218,P9.!$226:$226</definedName>
    <definedName name="QB_DATA_7" localSheetId="17" hidden="1">'TFI &amp; TeKSS-Feb 27-Apr 2'!$206:$206,'TFI &amp; TeKSS-Feb 27-Apr 2'!$207:$207,'TFI &amp; TeKSS-Feb 27-Apr 2'!$208:$208,'TFI &amp; TeKSS-Feb 27-Apr 2'!$209:$209,'TFI &amp; TeKSS-Feb 27-Apr 2'!$212:$212,'TFI &amp; TeKSS-Feb 27-Apr 2'!$213:$213,'TFI &amp; TeKSS-Feb 27-Apr 2'!$214:$214,'TFI &amp; TeKSS-Feb 27-Apr 2'!$215:$215,'TFI &amp; TeKSS-Feb 27-Apr 2'!$216:$216,'TFI &amp; TeKSS-Feb 27-Apr 2'!$217:$217,'TFI &amp; TeKSS-Feb 27-Apr 2'!$220:$220,'TFI &amp; TeKSS-Feb 27-Apr 2'!$221:$221,'TFI &amp; TeKSS-Feb 27-Apr 2'!$222:$222,'TFI &amp; TeKSS-Feb 27-Apr 2'!$223:$223,'TFI &amp; TeKSS-Feb 27-Apr 2'!$226:$226,'TFI &amp; TeKSS-Feb 27-Apr 2'!$227:$227</definedName>
    <definedName name="QB_DATA_8" localSheetId="0" hidden="1">'May VS June'!$212:$212,'May VS June'!$215:$215,'May VS June'!$216:$216,'May VS June'!$217:$217,'May VS June'!$218:$218,'May VS June'!$219:$219,'May VS June'!$220:$220,'May VS June'!$221:$221,'May VS June'!$224:$224,'May VS June'!$225:$225,'May VS June'!$226:$226,'May VS June'!$227:$227,'May VS June'!$228:$228,'May VS June'!$231:$231,'May VS June'!$232:$232,'May VS June'!$233:$233</definedName>
    <definedName name="QB_DATA_8" localSheetId="2" hidden="1">'P10'!$220:$220,'P10'!$221:$221,'P10'!$222:$222,'P10'!$223:$223,'P10'!$225:$225,'P10'!$233:$233</definedName>
    <definedName name="QB_DATA_8" localSheetId="9" hidden="1">'P5'!#REF!,'P5'!#REF!,'P5'!#REF!,'P5'!$204:$204,'P5'!#REF!,'P5'!#REF!,'P5'!#REF!,'P5'!#REF!,'P5'!$205:$205,'P5'!#REF!,'P5'!#REF!,'P5'!#REF!,'P5'!#REF!,'P5'!#REF!,'P5'!#REF!,'P5'!#REF!</definedName>
    <definedName name="QB_DATA_8" localSheetId="8" hidden="1">'P6'!#REF!,'P6'!#REF!,'P6'!#REF!,'P6'!#REF!,'P6'!#REF!,'P6'!#REF!,'P6'!#REF!,'P6'!#REF!,'P6'!#REF!,'P6'!#REF!,'P6'!#REF!,'P6'!#REF!,'P6'!#REF!,'P6'!#REF!,'P6'!#REF!,'P6'!$198:$198</definedName>
    <definedName name="QB_DATA_8" localSheetId="4" hidden="1">'P9'!$225:$225,'P9'!$226:$226,'P9'!$230:$230</definedName>
    <definedName name="QB_DATA_8" localSheetId="3" hidden="1">P9.!$227:$227,P9.!$228:$228,P9.!$232:$232</definedName>
    <definedName name="QB_DATA_8" localSheetId="17" hidden="1">'TFI &amp; TeKSS-Feb 27-Apr 2'!$230:$230,'TFI &amp; TeKSS-Feb 27-Apr 2'!$233:$233,'TFI &amp; TeKSS-Feb 27-Apr 2'!$234:$234,'TFI &amp; TeKSS-Feb 27-Apr 2'!$235:$235,'TFI &amp; TeKSS-Feb 27-Apr 2'!$244:$244</definedName>
    <definedName name="QB_DATA_9" localSheetId="0" hidden="1">'May VS June'!$234:$234,'May VS June'!$235:$235,'May VS June'!$237:$237,'May VS June'!$241:$241,'May VS June'!$242:$242,'May VS June'!$243:$243,'May VS June'!$244:$244,'May VS June'!$247:$247,'May VS June'!$248:$248,'May VS June'!$249:$249,'May VS June'!$250:$250,'May VS June'!$251:$251,'May VS June'!$252:$252,'May VS June'!$256:$256</definedName>
    <definedName name="QB_DATA_9" localSheetId="9" hidden="1">'P5'!#REF!,'P5'!#REF!,'P5'!#REF!,'P5'!#REF!,'P5'!#REF!,'P5'!#REF!,'P5'!#REF!,'P5'!#REF!,'P5'!#REF!,'P5'!#REF!,'P5'!#REF!,'P5'!$208:$208,'P5'!$209:$209,'P5'!$210:$210,'P5'!$211:$211,'P5'!$212:$212</definedName>
    <definedName name="QB_DATA_9" localSheetId="8" hidden="1">'P6'!#REF!,'P6'!#REF!,'P6'!#REF!,'P6'!#REF!,'P6'!#REF!,'P6'!#REF!,'P6'!#REF!,'P6'!$201:$201,'P6'!$202:$202,'P6'!$203:$203,'P6'!#REF!,'P6'!$204:$204,'P6'!$205:$205,'P6'!$209:$209</definedName>
    <definedName name="QB_FORMULA_0" localSheetId="0" hidden="1">'May VS June'!$J$10,'May VS June'!$J$11,'May VS June'!$J$17,'May VS June'!$J$23,'May VS June'!$J$26,'May VS June'!$J$32,'May VS June'!$J$41,'May VS June'!$J$45,'May VS June'!$J$47,'May VS June'!$J$48,'May VS June'!$J$49,'May VS June'!$J$61,'May VS June'!$J$67,'May VS June'!$J$68,'May VS June'!$J$77,'May VS June'!$J$84</definedName>
    <definedName name="QB_FORMULA_0" localSheetId="2" hidden="1">'P10'!$J$11,'P10'!$J$13,'P10'!$J$14,'P10'!$J$23,'P10'!$J$27,'P10'!$J$32,'P10'!$J$40,'P10'!$J$42,'P10'!$J$43,'P10'!$J$44,'P10'!$J$55,'P10'!$J$60,'P10'!$J$68,'P10'!$J$72,'P10'!$J$78,'P10'!$J$88</definedName>
    <definedName name="QB_FORMULA_0" localSheetId="9" hidden="1">'P5'!$J$10,'P5'!$J$11,'P5'!$J$18,'P5'!$J$27,'P5'!$J$33,'P5'!$J$42,'P5'!$J$48,'P5'!$J$49,'P5'!$J$50,'P5'!$J$51,'P5'!$J$52,'P5'!$J$64,'P5'!$J$70,'P5'!$J$72,'P5'!$J$81,'P5'!$J$88</definedName>
    <definedName name="QB_FORMULA_0" localSheetId="8" hidden="1">'P6'!$J$10,'P6'!$J$11,'P6'!#REF!,'P6'!$J$19,'P6'!$J$22,'P6'!$J$28,'P6'!$J$37,'P6'!$J$41,'P6'!$J$42,'P6'!$J$43,'P6'!$J$44,'P6'!$J$56,'P6'!$J$62,'P6'!$J$63,'P6'!$J$72,'P6'!$J$79</definedName>
    <definedName name="QB_FORMULA_0" localSheetId="6" hidden="1">'P7'!$J$11,'P7'!$J$13,'P7'!$J$14,'P7'!$J$23,'P7'!$J$26,'P7'!$J$31,'P7'!$J$46,'P7'!$J$47,'P7'!$J$48,'P7'!$J$60,'P7'!$J$64,'P7'!$J$79,'P7'!$J$86,'P7'!$J$97,'P7'!$J$100,'P7'!$J$101</definedName>
    <definedName name="QB_FORMULA_0" localSheetId="5" hidden="1">'P8'!$J$11,'P8'!$J$13,'P8'!$J$14,'P8'!$J$23,'P8'!$J$27,'P8'!$J$33,'P8'!$J$42,'P8'!$J$44,'P8'!$J$45,'P8'!$J$46,'P8'!$J$56,'P8'!$J$59,'P8'!$J$68,'P8'!$J$74,'P8'!$J$82,'P8'!$J$90</definedName>
    <definedName name="QB_FORMULA_0" localSheetId="4" hidden="1">'P9'!$J$11,'P9'!$J$13,'P9'!$J$14,'P9'!$J$20,'P9'!$J$25,'P9'!$J$28,'P9'!$J$33,'P9'!$J$41,'P9'!$J$43,'P9'!$J$44,'P9'!$J$45,'P9'!$J$56,'P9'!$J$60,'P9'!$J$68,'P9'!$J$75,'P9'!$J$82</definedName>
    <definedName name="QB_FORMULA_0" localSheetId="3" hidden="1">P9.!$J$11,P9.!$J$13,P9.!$J$14,P9.!$J$20,P9.!$J$25,P9.!$J$28,P9.!$J$33,P9.!$J$41,P9.!$J$43,P9.!$J$44,P9.!$J$45,P9.!$J$56,P9.!$J$60,P9.!$J$68,P9.!$J$75,P9.!$J$82</definedName>
    <definedName name="QB_FORMULA_0" localSheetId="19" hidden="1">'TeKSS - Jan 2nd to 29th'!$G$9,'TeKSS - Jan 2nd to 29th'!$G$10,'TeKSS - Jan 2nd to 29th'!$G$11,'TeKSS - Jan 2nd to 29th'!$G$91,'TeKSS - Jan 2nd to 29th'!$G$92,'TeKSS - Jan 2nd to 29th'!$G$93</definedName>
    <definedName name="QB_FORMULA_0" localSheetId="17" hidden="1">'TFI &amp; TeKSS-Feb 27-Apr 2'!$J$22,'TFI &amp; TeKSS-Feb 27-Apr 2'!$J$23,'TFI &amp; TeKSS-Feb 27-Apr 2'!$J$24,'TFI &amp; TeKSS-Feb 27-Apr 2'!$J$32,'TFI &amp; TeKSS-Feb 27-Apr 2'!$J$46,'TFI &amp; TeKSS-Feb 27-Apr 2'!$J$50,'TFI &amp; TeKSS-Feb 27-Apr 2'!$J$58,'TFI &amp; TeKSS-Feb 27-Apr 2'!$J$62,'TFI &amp; TeKSS-Feb 27-Apr 2'!$J$63,'TFI &amp; TeKSS-Feb 27-Apr 2'!$J$64,'TFI &amp; TeKSS-Feb 27-Apr 2'!$J$65,'TFI &amp; TeKSS-Feb 27-Apr 2'!$J$77,'TFI &amp; TeKSS-Feb 27-Apr 2'!$J$82,'TFI &amp; TeKSS-Feb 27-Apr 2'!$J$83,'TFI &amp; TeKSS-Feb 27-Apr 2'!$J$91,'TFI &amp; TeKSS-Feb 27-Apr 2'!$J$97</definedName>
    <definedName name="QB_FORMULA_1" localSheetId="0" hidden="1">'May VS June'!$J$91,'May VS June'!$J$100,'May VS June'!$J$103,'May VS June'!$J$104,'May VS June'!$J$116,'May VS June'!$J$123,'May VS June'!$J$129,'May VS June'!$J$135,'May VS June'!$J$142,'May VS June'!$J$145,'May VS June'!$J$147,'May VS June'!$J$153,'May VS June'!$J$158,'May VS June'!$J$159,'May VS June'!$J$166,'May VS June'!$J$168</definedName>
    <definedName name="QB_FORMULA_1" localSheetId="2" hidden="1">'P10'!$J$91,'P10'!$J$92,'P10'!$J$105,'P10'!$J$112,'P10'!$J$117,'P10'!$J$121,'P10'!$J$127,'P10'!$J$130,'P10'!$J$132,'P10'!$J$137,'P10'!$J$142,'P10'!$J$143,'P10'!$J$150,'P10'!$J$152,'P10'!$J$157,'P10'!$J$161</definedName>
    <definedName name="QB_FORMULA_1" localSheetId="9" hidden="1">'P5'!$J$95,'P5'!$J$106,'P5'!$J$109,'P5'!$J$110,'P5'!$J$125,'P5'!$J$132,'P5'!$J$138,'P5'!$J$144,'P5'!$J$152,'P5'!$J$154,'P5'!$J$159,'P5'!$J$164,'P5'!$J$165,'P5'!$J$172,'P5'!$J$174,'P5'!$J$180</definedName>
    <definedName name="QB_FORMULA_1" localSheetId="8" hidden="1">'P6'!$J$86,'P6'!$J$95,'P6'!$J$98,'P6'!$J$99,'P6'!$J$111,'P6'!$J$118,'P6'!$J$124,'P6'!$J$130,'P6'!$J$137,'P6'!$J$140,'P6'!$J$142,'P6'!$J$148,'P6'!$J$153,'P6'!$J$154,'P6'!$J$161,'P6'!$J$163</definedName>
    <definedName name="QB_FORMULA_1" localSheetId="6" hidden="1">'P7'!$J$112,'P7'!#REF!,'P7'!$J$125,'P7'!$J$128,'P7'!$J$135,'P7'!$J$138,'P7'!$J$140,'P7'!$J$146,'P7'!$J$151,'P7'!$J$152,'P7'!$J$159,'P7'!$J$160,'P7'!$J$164,'P7'!$J$173,'P7'!$J$178,'P7'!$J$181</definedName>
    <definedName name="QB_FORMULA_1" localSheetId="5" hidden="1">'P8'!$J$91,'P8'!$J$103,'P8'!$J$111,'P8'!$J$115,'P8'!$J$118,'P8'!$J$122,'P8'!$J$123,'P8'!$J$128,'P8'!$J$132,'P8'!$J$133,'P8'!$J$139,'P8'!$J$140,'P8'!$J$146,'P8'!$J$150,'P8'!$J$151,'P8'!$J$154</definedName>
    <definedName name="QB_FORMULA_1" localSheetId="4" hidden="1">'P9'!$J$90,'P9'!$J$94,'P9'!$J$95,'P9'!$J$106,'P9'!$J$113,'P9'!$J$117,'P9'!$J$120,'P9'!$J$125,'P9'!$J$128,'P9'!$J$130,'P9'!$J$135,'P9'!$J$139,'P9'!$J$140,'P9'!$J$147,'P9'!$J$149,'P9'!$J$154</definedName>
    <definedName name="QB_FORMULA_1" localSheetId="3" hidden="1">P9.!$J$93,P9.!$J$97,P9.!$J$98,P9.!$J$109,P9.!$J$115,P9.!$J$119,P9.!$J$122,P9.!$J$127,P9.!$J$130,P9.!$J$132,P9.!$J$137,P9.!$J$141,P9.!$J$142,P9.!$J$149,P9.!$J$151,P9.!$J$156</definedName>
    <definedName name="QB_FORMULA_1" localSheetId="17" hidden="1">'TFI &amp; TeKSS-Feb 27-Apr 2'!$J$103,'TFI &amp; TeKSS-Feb 27-Apr 2'!$J$108,'TFI &amp; TeKSS-Feb 27-Apr 2'!$J$111,'TFI &amp; TeKSS-Feb 27-Apr 2'!$J$112,'TFI &amp; TeKSS-Feb 27-Apr 2'!$J$120,'TFI &amp; TeKSS-Feb 27-Apr 2'!$J$126,'TFI &amp; TeKSS-Feb 27-Apr 2'!$J$131,'TFI &amp; TeKSS-Feb 27-Apr 2'!$J$138,'TFI &amp; TeKSS-Feb 27-Apr 2'!$J$144,'TFI &amp; TeKSS-Feb 27-Apr 2'!$J$147,'TFI &amp; TeKSS-Feb 27-Apr 2'!$J$148,'TFI &amp; TeKSS-Feb 27-Apr 2'!$J$154,'TFI &amp; TeKSS-Feb 27-Apr 2'!$J$161,'TFI &amp; TeKSS-Feb 27-Apr 2'!$J$162,'TFI &amp; TeKSS-Feb 27-Apr 2'!$J$167,'TFI &amp; TeKSS-Feb 27-Apr 2'!$J$173</definedName>
    <definedName name="QB_FORMULA_2" localSheetId="0" hidden="1">'May VS June'!$J$174,'May VS June'!$J$178,'May VS June'!$J$179,'May VS June'!$J$184,'May VS June'!$J$187,'May VS June'!$J$194,'May VS June'!$J$202,'May VS June'!$J$213,'May VS June'!$J$222,'May VS June'!$J$229,'May VS June'!$J$238,'May VS June'!$J$239,'May VS June'!$J$245,'May VS June'!$J$253,'May VS June'!$J$254,'May VS June'!$J$255</definedName>
    <definedName name="QB_FORMULA_2" localSheetId="2" hidden="1">'P10'!$J$162,'P10'!$J$165,'P10'!$J$171,'P10'!$J$177,'P10'!$J$184,'P10'!$J$190,'P10'!$J$197,'P10'!$J$208,'P10'!$J$209,'P10'!$J$215,'P10'!$J$218,'P10'!$J$224,'P10'!$J$226,'P10'!$J$227,'P10'!$J$228,'P10'!$J$229</definedName>
    <definedName name="QB_FORMULA_2" localSheetId="9" hidden="1">'P5'!$J$184,'P5'!$J$185,'P5'!$J$190,'P5'!$J$193,'P5'!$J$200,'P5'!#REF!,'P5'!$J$206,'P5'!#REF!,'P5'!#REF!,'P5'!#REF!,'P5'!#REF!,'P5'!$J$214,'P5'!$J$215,'P5'!$J$216,'P5'!$J$217,'P5'!$J$218</definedName>
    <definedName name="QB_FORMULA_2" localSheetId="8" hidden="1">'P6'!$J$169,'P6'!$J$173,'P6'!$J$174,'P6'!$J$179,'P6'!$J$182,'P6'!$J$189,'P6'!#REF!,'P6'!$J$196,'P6'!#REF!,'P6'!#REF!,'P6'!#REF!,'P6'!$J$199,'P6'!#REF!,'P6'!$J$206,'P6'!$J$207,'P6'!$J$208</definedName>
    <definedName name="QB_FORMULA_2" localSheetId="6" hidden="1">'P7'!$J$198,'P7'!$J$207,'P7'!$J$214,'P7'!$J$219,'P7'!$J$222,'P7'!$J$230,'P7'!$J$232,'P7'!$J$233,'P7'!$J$234,'P7'!$J$235,'P7'!$J$240,'P7'!$J$241,'P7'!$J$244,'P7'!$J$245,'P7'!$J$246</definedName>
    <definedName name="QB_FORMULA_2" localSheetId="5" hidden="1">'P8'!$J$162,'P8'!$J$172,'P8'!$J$182,'P8'!$J$189,'P8'!$J$196,'P8'!$J$197,'P8'!$J$200,'P8'!$J$206,'P8'!$J$208,'P8'!$J$209,'P8'!$J$211,'P8'!$J$212,'P8'!$J$217,'P8'!$J$218,'P8'!$J$221,'P8'!$J$222</definedName>
    <definedName name="QB_FORMULA_2" localSheetId="4" hidden="1">'P9'!$J$159,'P9'!$J$160,'P9'!$J$163,'P9'!$J$170,'P9'!$J$181,'P9'!$J$189,'P9'!$J$196,'P9'!$J$207,'P9'!$J$208,'P9'!$J$215,'P9'!$J$217,'P9'!$J$218,'P9'!$J$219,'P9'!$J$220,'P9'!$J$227,'P9'!$J$228</definedName>
    <definedName name="QB_FORMULA_2" localSheetId="3" hidden="1">P9.!$J$161,P9.!$J$162,P9.!$J$165,P9.!$J$172,P9.!$J$183,P9.!$J$191,P9.!$J$198,P9.!$J$209,P9.!$J$210,P9.!$J$217,P9.!$J$219,P9.!$J$220,P9.!$J$221,P9.!$J$222,P9.!$J$229,P9.!$J$230</definedName>
    <definedName name="QB_FORMULA_2" localSheetId="17" hidden="1">'TFI &amp; TeKSS-Feb 27-Apr 2'!$J$174,'TFI &amp; TeKSS-Feb 27-Apr 2'!$J$181,'TFI &amp; TeKSS-Feb 27-Apr 2'!$J$182,'TFI &amp; TeKSS-Feb 27-Apr 2'!$J$187,'TFI &amp; TeKSS-Feb 27-Apr 2'!$J$190,'TFI &amp; TeKSS-Feb 27-Apr 2'!$J$191,'TFI &amp; TeKSS-Feb 27-Apr 2'!$J$194,'TFI &amp; TeKSS-Feb 27-Apr 2'!$J$198,'TFI &amp; TeKSS-Feb 27-Apr 2'!$J$204,'TFI &amp; TeKSS-Feb 27-Apr 2'!$J$210,'TFI &amp; TeKSS-Feb 27-Apr 2'!$J$218,'TFI &amp; TeKSS-Feb 27-Apr 2'!$J$224,'TFI &amp; TeKSS-Feb 27-Apr 2'!$J$228,'TFI &amp; TeKSS-Feb 27-Apr 2'!$J$231,'TFI &amp; TeKSS-Feb 27-Apr 2'!$J$236,'TFI &amp; TeKSS-Feb 27-Apr 2'!$J$237</definedName>
    <definedName name="QB_FORMULA_3" localSheetId="0" hidden="1">'May VS June'!$J$257,'May VS June'!$J$258,'May VS June'!$J$259</definedName>
    <definedName name="QB_FORMULA_3" localSheetId="2" hidden="1">'P10'!$J$234,'P10'!$J$235,'P10'!$J$236,'P10'!$J$237</definedName>
    <definedName name="QB_FORMULA_3" localSheetId="9" hidden="1">'P5'!$J$219</definedName>
    <definedName name="QB_FORMULA_3" localSheetId="8" hidden="1">'P6'!$J$210,'P6'!$J$211,'P6'!$J$212</definedName>
    <definedName name="QB_FORMULA_3" localSheetId="5" hidden="1">'P8'!$J$223</definedName>
    <definedName name="QB_FORMULA_3" localSheetId="4" hidden="1">'P9'!$J$231,'P9'!$J$232,'P9'!$J$233</definedName>
    <definedName name="QB_FORMULA_3" localSheetId="3" hidden="1">P9.!$J$233,P9.!$J$234,P9.!$J$235</definedName>
    <definedName name="QB_FORMULA_3" localSheetId="17" hidden="1">'TFI &amp; TeKSS-Feb 27-Apr 2'!$J$238,'TFI &amp; TeKSS-Feb 27-Apr 2'!$J$239,'TFI &amp; TeKSS-Feb 27-Apr 2'!$J$240,'TFI &amp; TeKSS-Feb 27-Apr 2'!$J$245,'TFI &amp; TeKSS-Feb 27-Apr 2'!$J$246,'TFI &amp; TeKSS-Feb 27-Apr 2'!$J$247,'TFI &amp; TeKSS-Feb 27-Apr 2'!$J$248</definedName>
    <definedName name="QB_ROW_1060" localSheetId="0" hidden="1">'May VS June'!$G$69</definedName>
    <definedName name="QB_ROW_1060" localSheetId="2" hidden="1">'P10'!$G$61</definedName>
    <definedName name="QB_ROW_1060" localSheetId="9" hidden="1">'P5'!$G$73</definedName>
    <definedName name="QB_ROW_1060" localSheetId="8" hidden="1">'P6'!$G$64</definedName>
    <definedName name="QB_ROW_1060" localSheetId="5" hidden="1">'P8'!$G$60</definedName>
    <definedName name="QB_ROW_1060" localSheetId="4" hidden="1">'P9'!$G$61</definedName>
    <definedName name="QB_ROW_1060" localSheetId="3" hidden="1">P9.!$G$61</definedName>
    <definedName name="QB_ROW_1060" localSheetId="17" hidden="1">'TFI &amp; TeKSS-Feb 27-Apr 2'!$G$84</definedName>
    <definedName name="QB_ROW_1360" localSheetId="0" hidden="1">'May VS June'!$G$77</definedName>
    <definedName name="QB_ROW_1360" localSheetId="2" hidden="1">'P10'!$G$68</definedName>
    <definedName name="QB_ROW_1360" localSheetId="9" hidden="1">'P5'!$G$81</definedName>
    <definedName name="QB_ROW_1360" localSheetId="8" hidden="1">'P6'!$G$72</definedName>
    <definedName name="QB_ROW_1360" localSheetId="5" hidden="1">'P8'!$G$68</definedName>
    <definedName name="QB_ROW_1360" localSheetId="4" hidden="1">'P9'!$G$68</definedName>
    <definedName name="QB_ROW_1360" localSheetId="3" hidden="1">P9.!$G$68</definedName>
    <definedName name="QB_ROW_1360" localSheetId="17" hidden="1">'TFI &amp; TeKSS-Feb 27-Apr 2'!$G$91</definedName>
    <definedName name="QB_ROW_168350" localSheetId="0" hidden="1">'May VS June'!$F$5</definedName>
    <definedName name="QB_ROW_168350" localSheetId="2" hidden="1">'P10'!$F$5</definedName>
    <definedName name="QB_ROW_168350" localSheetId="9" hidden="1">'P5'!$F$4</definedName>
    <definedName name="QB_ROW_168350" localSheetId="8" hidden="1">'P6'!$F$5</definedName>
    <definedName name="QB_ROW_168350" localSheetId="6" hidden="1">'P7'!$F$5</definedName>
    <definedName name="QB_ROW_168350" localSheetId="5" hidden="1">'P8'!$F$5</definedName>
    <definedName name="QB_ROW_168350" localSheetId="4" hidden="1">'P9'!$F$5</definedName>
    <definedName name="QB_ROW_168350" localSheetId="3" hidden="1">P9.!$F$5</definedName>
    <definedName name="QB_ROW_168350" localSheetId="17" hidden="1">'TFI &amp; TeKSS-Feb 27-Apr 2'!$F$5</definedName>
    <definedName name="QB_ROW_169030" localSheetId="2" hidden="1">'P10'!$D$232</definedName>
    <definedName name="QB_ROW_169030" localSheetId="6" hidden="1">'P7'!$D$238</definedName>
    <definedName name="QB_ROW_169030" localSheetId="5" hidden="1">'P8'!$D$215</definedName>
    <definedName name="QB_ROW_169030" localSheetId="4" hidden="1">'P9'!$D$223</definedName>
    <definedName name="QB_ROW_169030" localSheetId="3" hidden="1">P9.!$D$225</definedName>
    <definedName name="QB_ROW_169030" localSheetId="17" hidden="1">'TFI &amp; TeKSS-Feb 27-Apr 2'!$D$243</definedName>
    <definedName name="QB_ROW_169330" localSheetId="2" hidden="1">'P10'!$D$234</definedName>
    <definedName name="QB_ROW_169330" localSheetId="6" hidden="1">'P7'!$D$240</definedName>
    <definedName name="QB_ROW_169330" localSheetId="5" hidden="1">'P8'!$D$217</definedName>
    <definedName name="QB_ROW_169330" localSheetId="4" hidden="1">'P9'!$D$227</definedName>
    <definedName name="QB_ROW_169330" localSheetId="3" hidden="1">P9.!$D$229</definedName>
    <definedName name="QB_ROW_169330" localSheetId="17" hidden="1">'TFI &amp; TeKSS-Feb 27-Apr 2'!$D$245</definedName>
    <definedName name="QB_ROW_170240" localSheetId="5" hidden="1">'P8'!$E$216</definedName>
    <definedName name="QB_ROW_170240" localSheetId="4" hidden="1">'P9'!$E$224</definedName>
    <definedName name="QB_ROW_170240" localSheetId="3" hidden="1">P9.!$E$226</definedName>
    <definedName name="QB_ROW_171240" localSheetId="6" hidden="1">'P7'!$E$239</definedName>
    <definedName name="QB_ROW_171240" localSheetId="4" hidden="1">'P9'!$E$225</definedName>
    <definedName name="QB_ROW_171240" localSheetId="3" hidden="1">P9.!$E$227</definedName>
    <definedName name="QB_ROW_17240" localSheetId="19" hidden="1">'TeKSS - Jan 2nd to 29th'!$E$57</definedName>
    <definedName name="QB_ROW_17270" localSheetId="0" hidden="1">'May VS June'!$H$249</definedName>
    <definedName name="QB_ROW_17270" localSheetId="2" hidden="1">'P10'!$H$221</definedName>
    <definedName name="QB_ROW_17270" localSheetId="9" hidden="1">'P5'!$H$210</definedName>
    <definedName name="QB_ROW_17270" localSheetId="8" hidden="1">'P6'!$H$203</definedName>
    <definedName name="QB_ROW_17270" localSheetId="6" hidden="1">'P7'!$H$226</definedName>
    <definedName name="QB_ROW_17270" localSheetId="5" hidden="1">'P8'!$H$204</definedName>
    <definedName name="QB_ROW_17270" localSheetId="4" hidden="1">'P9'!$H$212</definedName>
    <definedName name="QB_ROW_17270" localSheetId="3" hidden="1">P9.!$H$214</definedName>
    <definedName name="QB_ROW_17270" localSheetId="17" hidden="1">'TFI &amp; TeKSS-Feb 27-Apr 2'!$H$235</definedName>
    <definedName name="QB_ROW_173040" localSheetId="0" hidden="1">'May VS June'!$E$51</definedName>
    <definedName name="QB_ROW_173040" localSheetId="2" hidden="1">'P10'!$E$46</definedName>
    <definedName name="QB_ROW_173040" localSheetId="9" hidden="1">'P5'!$E$54</definedName>
    <definedName name="QB_ROW_173040" localSheetId="8" hidden="1">'P6'!$E$46</definedName>
    <definedName name="QB_ROW_173040" localSheetId="6" hidden="1">'P7'!$E$50</definedName>
    <definedName name="QB_ROW_173040" localSheetId="5" hidden="1">'P8'!$E$48</definedName>
    <definedName name="QB_ROW_173040" localSheetId="4" hidden="1">'P9'!$E$47</definedName>
    <definedName name="QB_ROW_173040" localSheetId="3" hidden="1">P9.!$E$47</definedName>
    <definedName name="QB_ROW_173040" localSheetId="17" hidden="1">'TFI &amp; TeKSS-Feb 27-Apr 2'!$E$67</definedName>
    <definedName name="QB_ROW_173340" localSheetId="0" hidden="1">'May VS June'!$E$255</definedName>
    <definedName name="QB_ROW_173340" localSheetId="2" hidden="1">'P10'!$E$227</definedName>
    <definedName name="QB_ROW_173340" localSheetId="9" hidden="1">'P5'!$E$216</definedName>
    <definedName name="QB_ROW_173340" localSheetId="8" hidden="1">'P6'!$E$208</definedName>
    <definedName name="QB_ROW_173340" localSheetId="6" hidden="1">'P7'!$E$233</definedName>
    <definedName name="QB_ROW_173340" localSheetId="5" hidden="1">'P8'!$E$209</definedName>
    <definedName name="QB_ROW_173340" localSheetId="4" hidden="1">'P9'!$E$218</definedName>
    <definedName name="QB_ROW_173340" localSheetId="3" hidden="1">P9.!$E$220</definedName>
    <definedName name="QB_ROW_173340" localSheetId="17" hidden="1">'TFI &amp; TeKSS-Feb 27-Apr 2'!$E$238</definedName>
    <definedName name="QB_ROW_174040" localSheetId="0" hidden="1">'May VS June'!$E$14</definedName>
    <definedName name="QB_ROW_174040" localSheetId="2" hidden="1">'P10'!$E$17</definedName>
    <definedName name="QB_ROW_174040" localSheetId="9" hidden="1">'P5'!$E$13</definedName>
    <definedName name="QB_ROW_174040" localSheetId="8" hidden="1">'P6'!$E$13</definedName>
    <definedName name="QB_ROW_174040" localSheetId="6" hidden="1">'P7'!$E$17</definedName>
    <definedName name="QB_ROW_174040" localSheetId="5" hidden="1">'P8'!$E$17</definedName>
    <definedName name="QB_ROW_174040" localSheetId="4" hidden="1">'P9'!$E$17</definedName>
    <definedName name="QB_ROW_174040" localSheetId="3" hidden="1">P9.!$E$17</definedName>
    <definedName name="QB_ROW_174040" localSheetId="17" hidden="1">'TFI &amp; TeKSS-Feb 27-Apr 2'!$E$26</definedName>
    <definedName name="QB_ROW_174250" localSheetId="0" hidden="1">'May VS June'!$F$46</definedName>
    <definedName name="QB_ROW_174250" localSheetId="2" hidden="1">'P10'!$F$41</definedName>
    <definedName name="QB_ROW_174250" localSheetId="9" hidden="1">'P5'!#REF!</definedName>
    <definedName name="QB_ROW_174250" localSheetId="8" hidden="1">'P6'!#REF!</definedName>
    <definedName name="QB_ROW_174250" localSheetId="6" hidden="1">'P7'!$F$45</definedName>
    <definedName name="QB_ROW_174250" localSheetId="5" hidden="1">'P8'!$F$43</definedName>
    <definedName name="QB_ROW_174250" localSheetId="4" hidden="1">'P9'!$F$42</definedName>
    <definedName name="QB_ROW_174250" localSheetId="3" hidden="1">P9.!$F$42</definedName>
    <definedName name="QB_ROW_174340" localSheetId="0" hidden="1">'May VS June'!$E$47</definedName>
    <definedName name="QB_ROW_174340" localSheetId="2" hidden="1">'P10'!$E$42</definedName>
    <definedName name="QB_ROW_174340" localSheetId="9" hidden="1">'P5'!$E$50</definedName>
    <definedName name="QB_ROW_174340" localSheetId="8" hidden="1">'P6'!$E$42</definedName>
    <definedName name="QB_ROW_174340" localSheetId="6" hidden="1">'P7'!$E$46</definedName>
    <definedName name="QB_ROW_174340" localSheetId="5" hidden="1">'P8'!$E$44</definedName>
    <definedName name="QB_ROW_174340" localSheetId="4" hidden="1">'P9'!$E$43</definedName>
    <definedName name="QB_ROW_174340" localSheetId="3" hidden="1">P9.!$E$43</definedName>
    <definedName name="QB_ROW_174340" localSheetId="17" hidden="1">'TFI &amp; TeKSS-Feb 27-Apr 2'!$E$63</definedName>
    <definedName name="QB_ROW_178050" localSheetId="0" hidden="1">'May VS June'!$F$15</definedName>
    <definedName name="QB_ROW_178050" localSheetId="8" hidden="1">'P6'!#REF!</definedName>
    <definedName name="QB_ROW_178050" localSheetId="4" hidden="1">'P9'!$F$18</definedName>
    <definedName name="QB_ROW_178050" localSheetId="3" hidden="1">P9.!$F$18</definedName>
    <definedName name="QB_ROW_178350" localSheetId="0" hidden="1">'May VS June'!$F$17</definedName>
    <definedName name="QB_ROW_178350" localSheetId="8" hidden="1">'P6'!#REF!</definedName>
    <definedName name="QB_ROW_178350" localSheetId="4" hidden="1">'P9'!$F$20</definedName>
    <definedName name="QB_ROW_178350" localSheetId="3" hidden="1">P9.!$F$20</definedName>
    <definedName name="QB_ROW_180260" localSheetId="0" hidden="1">'May VS June'!$G$16</definedName>
    <definedName name="QB_ROW_180260" localSheetId="8" hidden="1">'P6'!#REF!</definedName>
    <definedName name="QB_ROW_181050" localSheetId="0" hidden="1">'May VS June'!$F$18</definedName>
    <definedName name="QB_ROW_181050" localSheetId="2" hidden="1">'P10'!$F$18</definedName>
    <definedName name="QB_ROW_181050" localSheetId="9" hidden="1">'P5'!$F$14</definedName>
    <definedName name="QB_ROW_181050" localSheetId="8" hidden="1">'P6'!$F$14</definedName>
    <definedName name="QB_ROW_181050" localSheetId="6" hidden="1">'P7'!$F$18</definedName>
    <definedName name="QB_ROW_181050" localSheetId="5" hidden="1">'P8'!$F$18</definedName>
    <definedName name="QB_ROW_181050" localSheetId="4" hidden="1">'P9'!$F$21</definedName>
    <definedName name="QB_ROW_181050" localSheetId="3" hidden="1">P9.!$F$21</definedName>
    <definedName name="QB_ROW_181050" localSheetId="17" hidden="1">'TFI &amp; TeKSS-Feb 27-Apr 2'!$F$27</definedName>
    <definedName name="QB_ROW_181350" localSheetId="0" hidden="1">'May VS June'!$F$23</definedName>
    <definedName name="QB_ROW_181350" localSheetId="2" hidden="1">'P10'!$F$23</definedName>
    <definedName name="QB_ROW_181350" localSheetId="9" hidden="1">'P5'!$F$18</definedName>
    <definedName name="QB_ROW_181350" localSheetId="8" hidden="1">'P6'!$F$19</definedName>
    <definedName name="QB_ROW_181350" localSheetId="6" hidden="1">'P7'!$F$23</definedName>
    <definedName name="QB_ROW_181350" localSheetId="5" hidden="1">'P8'!$F$23</definedName>
    <definedName name="QB_ROW_181350" localSheetId="4" hidden="1">'P9'!$F$25</definedName>
    <definedName name="QB_ROW_181350" localSheetId="3" hidden="1">P9.!$F$25</definedName>
    <definedName name="QB_ROW_181350" localSheetId="17" hidden="1">'TFI &amp; TeKSS-Feb 27-Apr 2'!$F$32</definedName>
    <definedName name="QB_ROW_182260" localSheetId="0" hidden="1">'May VS June'!$G$20</definedName>
    <definedName name="QB_ROW_182260" localSheetId="2" hidden="1">'P10'!$G$20</definedName>
    <definedName name="QB_ROW_182260" localSheetId="9" hidden="1">'P5'!$G$16</definedName>
    <definedName name="QB_ROW_182260" localSheetId="8" hidden="1">'P6'!$G$16</definedName>
    <definedName name="QB_ROW_182260" localSheetId="6" hidden="1">'P7'!$G$20</definedName>
    <definedName name="QB_ROW_182260" localSheetId="5" hidden="1">'P8'!$G$20</definedName>
    <definedName name="QB_ROW_182260" localSheetId="4" hidden="1">'P9'!$G$23</definedName>
    <definedName name="QB_ROW_182260" localSheetId="3" hidden="1">P9.!$G$23</definedName>
    <definedName name="QB_ROW_182260" localSheetId="17" hidden="1">'TFI &amp; TeKSS-Feb 27-Apr 2'!$G$29</definedName>
    <definedName name="QB_ROW_18301" localSheetId="0" hidden="1">'May VS June'!$A$259</definedName>
    <definedName name="QB_ROW_18301" localSheetId="2" hidden="1">'P10'!$A$237</definedName>
    <definedName name="QB_ROW_18301" localSheetId="9" hidden="1">'P5'!$A$219</definedName>
    <definedName name="QB_ROW_18301" localSheetId="8" hidden="1">'P6'!$A$212</definedName>
    <definedName name="QB_ROW_18301" localSheetId="6" hidden="1">'P7'!$A$246</definedName>
    <definedName name="QB_ROW_18301" localSheetId="5" hidden="1">'P8'!$A$223</definedName>
    <definedName name="QB_ROW_18301" localSheetId="4" hidden="1">'P9'!$A$233</definedName>
    <definedName name="QB_ROW_18301" localSheetId="3" hidden="1">P9.!$A$235</definedName>
    <definedName name="QB_ROW_18301" localSheetId="19" hidden="1">'TeKSS - Jan 2nd to 29th'!$A$93</definedName>
    <definedName name="QB_ROW_18301" localSheetId="17" hidden="1">'TFI &amp; TeKSS-Feb 27-Apr 2'!$A$248</definedName>
    <definedName name="QB_ROW_183260" localSheetId="0" hidden="1">'May VS June'!$G$19</definedName>
    <definedName name="QB_ROW_183260" localSheetId="2" hidden="1">'P10'!$G$19</definedName>
    <definedName name="QB_ROW_183260" localSheetId="9" hidden="1">'P5'!$G$15</definedName>
    <definedName name="QB_ROW_183260" localSheetId="8" hidden="1">'P6'!$G$15</definedName>
    <definedName name="QB_ROW_183260" localSheetId="6" hidden="1">'P7'!$G$19</definedName>
    <definedName name="QB_ROW_183260" localSheetId="5" hidden="1">'P8'!$G$19</definedName>
    <definedName name="QB_ROW_183260" localSheetId="4" hidden="1">'P9'!$G$22</definedName>
    <definedName name="QB_ROW_183260" localSheetId="3" hidden="1">P9.!$G$22</definedName>
    <definedName name="QB_ROW_183260" localSheetId="17" hidden="1">'TFI &amp; TeKSS-Feb 27-Apr 2'!$G$28</definedName>
    <definedName name="QB_ROW_184050" localSheetId="0" hidden="1">'May VS June'!$F$27</definedName>
    <definedName name="QB_ROW_184050" localSheetId="2" hidden="1">'P10'!$F$28</definedName>
    <definedName name="QB_ROW_184050" localSheetId="9" hidden="1">'P5'!$F$28</definedName>
    <definedName name="QB_ROW_184050" localSheetId="8" hidden="1">'P6'!$F$23</definedName>
    <definedName name="QB_ROW_184050" localSheetId="6" hidden="1">'P7'!$F$27</definedName>
    <definedName name="QB_ROW_184050" localSheetId="5" hidden="1">'P8'!$F$28</definedName>
    <definedName name="QB_ROW_184050" localSheetId="4" hidden="1">'P9'!$F$29</definedName>
    <definedName name="QB_ROW_184050" localSheetId="3" hidden="1">P9.!$F$29</definedName>
    <definedName name="QB_ROW_184050" localSheetId="17" hidden="1">'TFI &amp; TeKSS-Feb 27-Apr 2'!$F$47</definedName>
    <definedName name="QB_ROW_184350" localSheetId="0" hidden="1">'May VS June'!$F$32</definedName>
    <definedName name="QB_ROW_184350" localSheetId="2" hidden="1">'P10'!$F$32</definedName>
    <definedName name="QB_ROW_184350" localSheetId="9" hidden="1">'P5'!$F$33</definedName>
    <definedName name="QB_ROW_184350" localSheetId="8" hidden="1">'P6'!$F$28</definedName>
    <definedName name="QB_ROW_184350" localSheetId="6" hidden="1">'P7'!$F$31</definedName>
    <definedName name="QB_ROW_184350" localSheetId="5" hidden="1">'P8'!$F$33</definedName>
    <definedName name="QB_ROW_184350" localSheetId="4" hidden="1">'P9'!$F$33</definedName>
    <definedName name="QB_ROW_184350" localSheetId="3" hidden="1">P9.!$F$33</definedName>
    <definedName name="QB_ROW_184350" localSheetId="17" hidden="1">'TFI &amp; TeKSS-Feb 27-Apr 2'!$F$50</definedName>
    <definedName name="QB_ROW_185260" localSheetId="0" hidden="1">'May VS June'!$G$28</definedName>
    <definedName name="QB_ROW_185260" localSheetId="2" hidden="1">'P10'!$G$29</definedName>
    <definedName name="QB_ROW_185260" localSheetId="9" hidden="1">'P5'!$G$29</definedName>
    <definedName name="QB_ROW_185260" localSheetId="8" hidden="1">'P6'!$G$24</definedName>
    <definedName name="QB_ROW_185260" localSheetId="6" hidden="1">'P7'!$G$28</definedName>
    <definedName name="QB_ROW_185260" localSheetId="5" hidden="1">'P8'!$G$29</definedName>
    <definedName name="QB_ROW_185260" localSheetId="4" hidden="1">'P9'!$G$30</definedName>
    <definedName name="QB_ROW_185260" localSheetId="3" hidden="1">P9.!$G$30</definedName>
    <definedName name="QB_ROW_185260" localSheetId="17" hidden="1">'TFI &amp; TeKSS-Feb 27-Apr 2'!$G$48</definedName>
    <definedName name="QB_ROW_186260" localSheetId="0" hidden="1">'May VS June'!$G$30</definedName>
    <definedName name="QB_ROW_186260" localSheetId="2" hidden="1">'P10'!$G$31</definedName>
    <definedName name="QB_ROW_186260" localSheetId="9" hidden="1">'P5'!$G$32</definedName>
    <definedName name="QB_ROW_186260" localSheetId="8" hidden="1">'P6'!$G$26</definedName>
    <definedName name="QB_ROW_186260" localSheetId="6" hidden="1">'P7'!$G$30</definedName>
    <definedName name="QB_ROW_186260" localSheetId="5" hidden="1">'P8'!$G$31</definedName>
    <definedName name="QB_ROW_186260" localSheetId="4" hidden="1">'P9'!$G$32</definedName>
    <definedName name="QB_ROW_186260" localSheetId="3" hidden="1">P9.!$G$32</definedName>
    <definedName name="QB_ROW_187050" localSheetId="0" hidden="1">'May VS June'!$F$52</definedName>
    <definedName name="QB_ROW_187050" localSheetId="2" hidden="1">'P10'!$F$47</definedName>
    <definedName name="QB_ROW_187050" localSheetId="9" hidden="1">'P5'!$F$55</definedName>
    <definedName name="QB_ROW_187050" localSheetId="8" hidden="1">'P6'!$F$47</definedName>
    <definedName name="QB_ROW_187050" localSheetId="6" hidden="1">'P7'!$F$51</definedName>
    <definedName name="QB_ROW_187050" localSheetId="5" hidden="1">'P8'!$F$49</definedName>
    <definedName name="QB_ROW_187050" localSheetId="4" hidden="1">'P9'!$F$48</definedName>
    <definedName name="QB_ROW_187050" localSheetId="3" hidden="1">P9.!$F$48</definedName>
    <definedName name="QB_ROW_187050" localSheetId="17" hidden="1">'TFI &amp; TeKSS-Feb 27-Apr 2'!$F$68</definedName>
    <definedName name="QB_ROW_187350" localSheetId="0" hidden="1">'May VS June'!$F$104</definedName>
    <definedName name="QB_ROW_187350" localSheetId="2" hidden="1">'P10'!$F$92</definedName>
    <definedName name="QB_ROW_187350" localSheetId="9" hidden="1">'P5'!$F$110</definedName>
    <definedName name="QB_ROW_187350" localSheetId="8" hidden="1">'P6'!$F$99</definedName>
    <definedName name="QB_ROW_187350" localSheetId="6" hidden="1">'P7'!$F$101</definedName>
    <definedName name="QB_ROW_187350" localSheetId="5" hidden="1">'P8'!$F$91</definedName>
    <definedName name="QB_ROW_187350" localSheetId="4" hidden="1">'P9'!$F$95</definedName>
    <definedName name="QB_ROW_187350" localSheetId="3" hidden="1">P9.!$F$98</definedName>
    <definedName name="QB_ROW_187350" localSheetId="17" hidden="1">'TFI &amp; TeKSS-Feb 27-Apr 2'!$F$112</definedName>
    <definedName name="QB_ROW_188270" localSheetId="0" hidden="1">'May VS June'!$H$54</definedName>
    <definedName name="QB_ROW_188270" localSheetId="2" hidden="1">'P10'!$H$49</definedName>
    <definedName name="QB_ROW_188270" localSheetId="9" hidden="1">'P5'!$H$57</definedName>
    <definedName name="QB_ROW_188270" localSheetId="8" hidden="1">'P6'!$H$49</definedName>
    <definedName name="QB_ROW_188270" localSheetId="6" hidden="1">'P7'!$H$53</definedName>
    <definedName name="QB_ROW_188270" localSheetId="5" hidden="1">'P8'!$H$51</definedName>
    <definedName name="QB_ROW_188270" localSheetId="4" hidden="1">'P9'!$H$50</definedName>
    <definedName name="QB_ROW_188270" localSheetId="3" hidden="1">P9.!$H$50</definedName>
    <definedName name="QB_ROW_188270" localSheetId="17" hidden="1">'TFI &amp; TeKSS-Feb 27-Apr 2'!$H$70</definedName>
    <definedName name="QB_ROW_189260" localSheetId="0" hidden="1">'May VS June'!$G$43</definedName>
    <definedName name="QB_ROW_189260" localSheetId="8" hidden="1">'P6'!$G$39</definedName>
    <definedName name="QB_ROW_19011" localSheetId="0" hidden="1">'May VS June'!$B$2</definedName>
    <definedName name="QB_ROW_19011" localSheetId="2" hidden="1">'P10'!$B$2</definedName>
    <definedName name="QB_ROW_19011" localSheetId="9" hidden="1">'P5'!$B$1</definedName>
    <definedName name="QB_ROW_19011" localSheetId="8" hidden="1">'P6'!$B$2</definedName>
    <definedName name="QB_ROW_19011" localSheetId="6" hidden="1">'P7'!$B$2</definedName>
    <definedName name="QB_ROW_19011" localSheetId="5" hidden="1">'P8'!$B$2</definedName>
    <definedName name="QB_ROW_19011" localSheetId="4" hidden="1">'P9'!$B$2</definedName>
    <definedName name="QB_ROW_19011" localSheetId="3" hidden="1">P9.!$B$2</definedName>
    <definedName name="QB_ROW_19011" localSheetId="19" hidden="1">'TeKSS - Jan 2nd to 29th'!$B$3</definedName>
    <definedName name="QB_ROW_19011" localSheetId="17" hidden="1">'TFI &amp; TeKSS-Feb 27-Apr 2'!$B$2</definedName>
    <definedName name="QB_ROW_190260" localSheetId="17" hidden="1">'TFI &amp; TeKSS-Feb 27-Apr 2'!$G$60</definedName>
    <definedName name="QB_ROW_191270" localSheetId="0" hidden="1">'May VS June'!$H$55</definedName>
    <definedName name="QB_ROW_191270" localSheetId="2" hidden="1">'P10'!$H$50</definedName>
    <definedName name="QB_ROW_191270" localSheetId="9" hidden="1">'P5'!$H$58</definedName>
    <definedName name="QB_ROW_191270" localSheetId="8" hidden="1">'P6'!$H$50</definedName>
    <definedName name="QB_ROW_191270" localSheetId="6" hidden="1">'P7'!$H$54</definedName>
    <definedName name="QB_ROW_191270" localSheetId="5" hidden="1">'P8'!$H$52</definedName>
    <definedName name="QB_ROW_191270" localSheetId="4" hidden="1">'P9'!$H$51</definedName>
    <definedName name="QB_ROW_191270" localSheetId="3" hidden="1">P9.!$H$51</definedName>
    <definedName name="QB_ROW_191270" localSheetId="17" hidden="1">'TFI &amp; TeKSS-Feb 27-Apr 2'!$H$71</definedName>
    <definedName name="QB_ROW_192260" localSheetId="0" hidden="1">'May VS June'!$G$34</definedName>
    <definedName name="QB_ROW_192260" localSheetId="2" hidden="1">'P10'!$G$34</definedName>
    <definedName name="QB_ROW_192260" localSheetId="9" hidden="1">'P5'!$G$35</definedName>
    <definedName name="QB_ROW_192260" localSheetId="8" hidden="1">'P6'!$G$30</definedName>
    <definedName name="QB_ROW_192260" localSheetId="5" hidden="1">'P8'!$G$35</definedName>
    <definedName name="QB_ROW_192260" localSheetId="4" hidden="1">'P9'!$G$35</definedName>
    <definedName name="QB_ROW_192260" localSheetId="3" hidden="1">P9.!$G$35</definedName>
    <definedName name="QB_ROW_192260" localSheetId="17" hidden="1">'TFI &amp; TeKSS-Feb 27-Apr 2'!$G$52</definedName>
    <definedName name="QB_ROW_19240" localSheetId="19" hidden="1">'TeKSS - Jan 2nd to 29th'!$E$58</definedName>
    <definedName name="QB_ROW_19270" localSheetId="4" hidden="1">'P9'!$H$201</definedName>
    <definedName name="QB_ROW_19270" localSheetId="3" hidden="1">P9.!$H$203</definedName>
    <definedName name="QB_ROW_19311" localSheetId="0" hidden="1">'May VS June'!$B$258</definedName>
    <definedName name="QB_ROW_19311" localSheetId="2" hidden="1">'P10'!$B$229</definedName>
    <definedName name="QB_ROW_19311" localSheetId="9" hidden="1">'P5'!$B$218</definedName>
    <definedName name="QB_ROW_19311" localSheetId="8" hidden="1">'P6'!$B$211</definedName>
    <definedName name="QB_ROW_19311" localSheetId="6" hidden="1">'P7'!$B$235</definedName>
    <definedName name="QB_ROW_19311" localSheetId="5" hidden="1">'P8'!$B$212</definedName>
    <definedName name="QB_ROW_19311" localSheetId="4" hidden="1">'P9'!$B$220</definedName>
    <definedName name="QB_ROW_19311" localSheetId="3" hidden="1">P9.!$B$222</definedName>
    <definedName name="QB_ROW_19311" localSheetId="19" hidden="1">'TeKSS - Jan 2nd to 29th'!$B$92</definedName>
    <definedName name="QB_ROW_19311" localSheetId="17" hidden="1">'TFI &amp; TeKSS-Feb 27-Apr 2'!$B$240</definedName>
    <definedName name="QB_ROW_195270" localSheetId="0" hidden="1">'May VS June'!$H$56</definedName>
    <definedName name="QB_ROW_195270" localSheetId="9" hidden="1">'P5'!$H$59</definedName>
    <definedName name="QB_ROW_195270" localSheetId="8" hidden="1">'P6'!$H$51</definedName>
    <definedName name="QB_ROW_195270" localSheetId="6" hidden="1">'P7'!$H$55</definedName>
    <definedName name="QB_ROW_196260" localSheetId="0" hidden="1">'May VS June'!$G$35</definedName>
    <definedName name="QB_ROW_196260" localSheetId="2" hidden="1">'P10'!$G$35</definedName>
    <definedName name="QB_ROW_196260" localSheetId="9" hidden="1">'P5'!$G$36</definedName>
    <definedName name="QB_ROW_196260" localSheetId="8" hidden="1">'P6'!$G$31</definedName>
    <definedName name="QB_ROW_196260" localSheetId="5" hidden="1">'P8'!$G$36</definedName>
    <definedName name="QB_ROW_196260" localSheetId="4" hidden="1">'P9'!$G$36</definedName>
    <definedName name="QB_ROW_196260" localSheetId="3" hidden="1">P9.!$G$36</definedName>
    <definedName name="QB_ROW_196260" localSheetId="17" hidden="1">'TFI &amp; TeKSS-Feb 27-Apr 2'!$G$53</definedName>
    <definedName name="QB_ROW_197260" localSheetId="0" hidden="1">'May VS June'!$G$36</definedName>
    <definedName name="QB_ROW_197260" localSheetId="2" hidden="1">'P10'!$G$36</definedName>
    <definedName name="QB_ROW_197260" localSheetId="9" hidden="1">'P5'!$G$37</definedName>
    <definedName name="QB_ROW_197260" localSheetId="8" hidden="1">'P6'!$G$32</definedName>
    <definedName name="QB_ROW_197260" localSheetId="5" hidden="1">'P8'!$G$37</definedName>
    <definedName name="QB_ROW_197260" localSheetId="4" hidden="1">'P9'!$G$37</definedName>
    <definedName name="QB_ROW_197260" localSheetId="3" hidden="1">P9.!$G$37</definedName>
    <definedName name="QB_ROW_197260" localSheetId="17" hidden="1">'TFI &amp; TeKSS-Feb 27-Apr 2'!$G$54</definedName>
    <definedName name="QB_ROW_199270" localSheetId="0" hidden="1">'May VS June'!$H$70</definedName>
    <definedName name="QB_ROW_199270" localSheetId="2" hidden="1">'P10'!$H$62</definedName>
    <definedName name="QB_ROW_199270" localSheetId="9" hidden="1">'P5'!$H$74</definedName>
    <definedName name="QB_ROW_199270" localSheetId="8" hidden="1">'P6'!$H$65</definedName>
    <definedName name="QB_ROW_199270" localSheetId="5" hidden="1">'P8'!$H$61</definedName>
    <definedName name="QB_ROW_199270" localSheetId="4" hidden="1">'P9'!$H$62</definedName>
    <definedName name="QB_ROW_199270" localSheetId="3" hidden="1">P9.!$H$62</definedName>
    <definedName name="QB_ROW_199270" localSheetId="17" hidden="1">'TFI &amp; TeKSS-Feb 27-Apr 2'!$H$85</definedName>
    <definedName name="QB_ROW_200270" localSheetId="0" hidden="1">'May VS June'!$H$71</definedName>
    <definedName name="QB_ROW_200270" localSheetId="2" hidden="1">'P10'!$H$63</definedName>
    <definedName name="QB_ROW_200270" localSheetId="9" hidden="1">'P5'!$H$75</definedName>
    <definedName name="QB_ROW_200270" localSheetId="8" hidden="1">'P6'!$H$66</definedName>
    <definedName name="QB_ROW_200270" localSheetId="5" hidden="1">'P8'!$H$62</definedName>
    <definedName name="QB_ROW_200270" localSheetId="4" hidden="1">'P9'!$H$63</definedName>
    <definedName name="QB_ROW_200270" localSheetId="3" hidden="1">P9.!$H$63</definedName>
    <definedName name="QB_ROW_200270" localSheetId="17" hidden="1">'TFI &amp; TeKSS-Feb 27-Apr 2'!$H$86</definedName>
    <definedName name="QB_ROW_20031" localSheetId="0" hidden="1">'May VS June'!$D$3</definedName>
    <definedName name="QB_ROW_20031" localSheetId="2" hidden="1">'P10'!$D$3</definedName>
    <definedName name="QB_ROW_20031" localSheetId="9" hidden="1">'P5'!$D$2</definedName>
    <definedName name="QB_ROW_20031" localSheetId="8" hidden="1">'P6'!$D$3</definedName>
    <definedName name="QB_ROW_20031" localSheetId="6" hidden="1">'P7'!$D$3</definedName>
    <definedName name="QB_ROW_20031" localSheetId="5" hidden="1">'P8'!$D$3</definedName>
    <definedName name="QB_ROW_20031" localSheetId="4" hidden="1">'P9'!$D$3</definedName>
    <definedName name="QB_ROW_20031" localSheetId="3" hidden="1">P9.!$D$3</definedName>
    <definedName name="QB_ROW_20031" localSheetId="19" hidden="1">'TeKSS - Jan 2nd to 29th'!$D$4</definedName>
    <definedName name="QB_ROW_20031" localSheetId="17" hidden="1">'TFI &amp; TeKSS-Feb 27-Apr 2'!$D$3</definedName>
    <definedName name="QB_ROW_201270" localSheetId="0" hidden="1">'May VS June'!$H$72</definedName>
    <definedName name="QB_ROW_201270" localSheetId="2" hidden="1">'P10'!$H$64</definedName>
    <definedName name="QB_ROW_201270" localSheetId="9" hidden="1">'P5'!$H$76</definedName>
    <definedName name="QB_ROW_201270" localSheetId="8" hidden="1">'P6'!$H$67</definedName>
    <definedName name="QB_ROW_201270" localSheetId="5" hidden="1">'P8'!$H$63</definedName>
    <definedName name="QB_ROW_201270" localSheetId="4" hidden="1">'P9'!$H$64</definedName>
    <definedName name="QB_ROW_201270" localSheetId="3" hidden="1">P9.!$H$64</definedName>
    <definedName name="QB_ROW_201270" localSheetId="17" hidden="1">'TFI &amp; TeKSS-Feb 27-Apr 2'!$H$87</definedName>
    <definedName name="QB_ROW_202270" localSheetId="0" hidden="1">'May VS June'!$H$74</definedName>
    <definedName name="QB_ROW_202270" localSheetId="2" hidden="1">'P10'!$H$66</definedName>
    <definedName name="QB_ROW_202270" localSheetId="9" hidden="1">'P5'!$H$78</definedName>
    <definedName name="QB_ROW_202270" localSheetId="8" hidden="1">'P6'!$H$69</definedName>
    <definedName name="QB_ROW_202270" localSheetId="5" hidden="1">'P8'!$H$65</definedName>
    <definedName name="QB_ROW_202270" localSheetId="4" hidden="1">'P9'!$H$66</definedName>
    <definedName name="QB_ROW_202270" localSheetId="3" hidden="1">P9.!$H$66</definedName>
    <definedName name="QB_ROW_202270" localSheetId="17" hidden="1">'TFI &amp; TeKSS-Feb 27-Apr 2'!$H$88</definedName>
    <definedName name="QB_ROW_203280" localSheetId="0" hidden="1">'May VS June'!$I$66</definedName>
    <definedName name="QB_ROW_203280" localSheetId="9" hidden="1">'P5'!$I$69</definedName>
    <definedName name="QB_ROW_203280" localSheetId="8" hidden="1">'P6'!$I$61</definedName>
    <definedName name="QB_ROW_203280" localSheetId="17" hidden="1">'TFI &amp; TeKSS-Feb 27-Apr 2'!$I$81</definedName>
    <definedName name="QB_ROW_20331" localSheetId="0" hidden="1">'May VS June'!$D$11</definedName>
    <definedName name="QB_ROW_20331" localSheetId="2" hidden="1">'P10'!$D$14</definedName>
    <definedName name="QB_ROW_20331" localSheetId="9" hidden="1">'P5'!$D$11</definedName>
    <definedName name="QB_ROW_20331" localSheetId="8" hidden="1">'P6'!$D$11</definedName>
    <definedName name="QB_ROW_20331" localSheetId="6" hidden="1">'P7'!$D$14</definedName>
    <definedName name="QB_ROW_20331" localSheetId="5" hidden="1">'P8'!$D$14</definedName>
    <definedName name="QB_ROW_20331" localSheetId="4" hidden="1">'P9'!$D$14</definedName>
    <definedName name="QB_ROW_20331" localSheetId="3" hidden="1">P9.!$D$14</definedName>
    <definedName name="QB_ROW_20331" localSheetId="19" hidden="1">'TeKSS - Jan 2nd to 29th'!$D$10</definedName>
    <definedName name="QB_ROW_20331" localSheetId="17" hidden="1">'TFI &amp; TeKSS-Feb 27-Apr 2'!$D$24</definedName>
    <definedName name="QB_ROW_205270" localSheetId="2" hidden="1">'P10'!$H$58</definedName>
    <definedName name="QB_ROW_205270" localSheetId="9" hidden="1">'P5'!$H$71</definedName>
    <definedName name="QB_ROW_205270" localSheetId="4" hidden="1">'P9'!$H$59</definedName>
    <definedName name="QB_ROW_205270" localSheetId="3" hidden="1">P9.!$H$59</definedName>
    <definedName name="QB_ROW_206270" localSheetId="0" hidden="1">'May VS June'!$H$86</definedName>
    <definedName name="QB_ROW_206270" localSheetId="2" hidden="1">'P10'!$H$74</definedName>
    <definedName name="QB_ROW_206270" localSheetId="9" hidden="1">'P5'!$H$90</definedName>
    <definedName name="QB_ROW_206270" localSheetId="8" hidden="1">'P6'!$H$81</definedName>
    <definedName name="QB_ROW_206270" localSheetId="6" hidden="1">'P7'!$H$81</definedName>
    <definedName name="QB_ROW_206270" localSheetId="5" hidden="1">'P8'!$H$76</definedName>
    <definedName name="QB_ROW_206270" localSheetId="4" hidden="1">'P9'!$H$77</definedName>
    <definedName name="QB_ROW_206270" localSheetId="3" hidden="1">P9.!$H$77</definedName>
    <definedName name="QB_ROW_207280" localSheetId="0" hidden="1">'May VS June'!$I$65</definedName>
    <definedName name="QB_ROW_207280" localSheetId="9" hidden="1">'P5'!$I$68</definedName>
    <definedName name="QB_ROW_207280" localSheetId="8" hidden="1">'P6'!$I$60</definedName>
    <definedName name="QB_ROW_209060" localSheetId="0" hidden="1">'May VS June'!$G$189</definedName>
    <definedName name="QB_ROW_209060" localSheetId="2" hidden="1">'P10'!$G$167</definedName>
    <definedName name="QB_ROW_209060" localSheetId="9" hidden="1">'P5'!$G$195</definedName>
    <definedName name="QB_ROW_209060" localSheetId="8" hidden="1">'P6'!$G$184</definedName>
    <definedName name="QB_ROW_209060" localSheetId="5" hidden="1">'P8'!$G$156</definedName>
    <definedName name="QB_ROW_209060" localSheetId="4" hidden="1">'P9'!$G$165</definedName>
    <definedName name="QB_ROW_209060" localSheetId="3" hidden="1">P9.!$G$167</definedName>
    <definedName name="QB_ROW_209060" localSheetId="17" hidden="1">'TFI &amp; TeKSS-Feb 27-Apr 2'!$G$196</definedName>
    <definedName name="QB_ROW_209360" localSheetId="0" hidden="1">'May VS June'!$G$194</definedName>
    <definedName name="QB_ROW_209360" localSheetId="2" hidden="1">'P10'!$G$171</definedName>
    <definedName name="QB_ROW_209360" localSheetId="9" hidden="1">'P5'!$G$200</definedName>
    <definedName name="QB_ROW_209360" localSheetId="8" hidden="1">'P6'!$G$189</definedName>
    <definedName name="QB_ROW_209360" localSheetId="5" hidden="1">'P8'!$G$162</definedName>
    <definedName name="QB_ROW_209360" localSheetId="4" hidden="1">'P9'!$G$170</definedName>
    <definedName name="QB_ROW_209360" localSheetId="3" hidden="1">P9.!$G$172</definedName>
    <definedName name="QB_ROW_209360" localSheetId="17" hidden="1">'TFI &amp; TeKSS-Feb 27-Apr 2'!$G$198</definedName>
    <definedName name="QB_ROW_210270" localSheetId="4" hidden="1">'P9'!$H$166</definedName>
    <definedName name="QB_ROW_210270" localSheetId="3" hidden="1">P9.!$H$168</definedName>
    <definedName name="QB_ROW_21031" localSheetId="0" hidden="1">'May VS June'!$D$50</definedName>
    <definedName name="QB_ROW_21031" localSheetId="2" hidden="1">'P10'!$D$45</definedName>
    <definedName name="QB_ROW_21031" localSheetId="9" hidden="1">'P5'!$D$53</definedName>
    <definedName name="QB_ROW_21031" localSheetId="8" hidden="1">'P6'!$D$45</definedName>
    <definedName name="QB_ROW_21031" localSheetId="6" hidden="1">'P7'!$D$49</definedName>
    <definedName name="QB_ROW_21031" localSheetId="5" hidden="1">'P8'!$D$47</definedName>
    <definedName name="QB_ROW_21031" localSheetId="4" hidden="1">'P9'!$D$46</definedName>
    <definedName name="QB_ROW_21031" localSheetId="3" hidden="1">P9.!$D$46</definedName>
    <definedName name="QB_ROW_21031" localSheetId="19" hidden="1">'TeKSS - Jan 2nd to 29th'!$D$12</definedName>
    <definedName name="QB_ROW_21031" localSheetId="17" hidden="1">'TFI &amp; TeKSS-Feb 27-Apr 2'!$D$66</definedName>
    <definedName name="QB_ROW_212270" localSheetId="0" hidden="1">'May VS June'!$H$190</definedName>
    <definedName name="QB_ROW_212270" localSheetId="2" hidden="1">'P10'!$H$168</definedName>
    <definedName name="QB_ROW_212270" localSheetId="9" hidden="1">'P5'!$H$196</definedName>
    <definedName name="QB_ROW_212270" localSheetId="8" hidden="1">'P6'!$H$185</definedName>
    <definedName name="QB_ROW_212270" localSheetId="5" hidden="1">'P8'!$H$157</definedName>
    <definedName name="QB_ROW_212270" localSheetId="4" hidden="1">'P9'!$H$167</definedName>
    <definedName name="QB_ROW_212270" localSheetId="3" hidden="1">P9.!$H$169</definedName>
    <definedName name="QB_ROW_213270" localSheetId="0" hidden="1">'May VS June'!$H$191</definedName>
    <definedName name="QB_ROW_213270" localSheetId="2" hidden="1">'P10'!$H$169</definedName>
    <definedName name="QB_ROW_213270" localSheetId="9" hidden="1">'P5'!$H$197</definedName>
    <definedName name="QB_ROW_213270" localSheetId="8" hidden="1">'P6'!$H$186</definedName>
    <definedName name="QB_ROW_213270" localSheetId="5" hidden="1">'P8'!$H$158</definedName>
    <definedName name="QB_ROW_213270" localSheetId="4" hidden="1">'P9'!$H$168</definedName>
    <definedName name="QB_ROW_213270" localSheetId="3" hidden="1">P9.!$H$170</definedName>
    <definedName name="QB_ROW_21331" localSheetId="0" hidden="1">'May VS June'!$D$257</definedName>
    <definedName name="QB_ROW_21331" localSheetId="2" hidden="1">'P10'!$D$228</definedName>
    <definedName name="QB_ROW_21331" localSheetId="9" hidden="1">'P5'!$D$217</definedName>
    <definedName name="QB_ROW_21331" localSheetId="8" hidden="1">'P6'!$D$210</definedName>
    <definedName name="QB_ROW_21331" localSheetId="6" hidden="1">'P7'!$D$234</definedName>
    <definedName name="QB_ROW_21331" localSheetId="5" hidden="1">'P8'!$D$211</definedName>
    <definedName name="QB_ROW_21331" localSheetId="4" hidden="1">'P9'!$D$219</definedName>
    <definedName name="QB_ROW_21331" localSheetId="3" hidden="1">P9.!$D$221</definedName>
    <definedName name="QB_ROW_21331" localSheetId="19" hidden="1">'TeKSS - Jan 2nd to 29th'!$D$91</definedName>
    <definedName name="QB_ROW_21331" localSheetId="17" hidden="1">'TFI &amp; TeKSS-Feb 27-Apr 2'!$D$239</definedName>
    <definedName name="QB_ROW_216270" localSheetId="0" hidden="1">'May VS June'!$H$198</definedName>
    <definedName name="QB_ROW_216270" localSheetId="2" hidden="1">'P10'!$H$174</definedName>
    <definedName name="QB_ROW_216270" localSheetId="9" hidden="1">'P5'!#REF!</definedName>
    <definedName name="QB_ROW_216270" localSheetId="8" hidden="1">'P6'!#REF!</definedName>
    <definedName name="QB_ROW_216270" localSheetId="6" hidden="1">'P7'!$H$191</definedName>
    <definedName name="QB_ROW_216270" localSheetId="5" hidden="1">'P8'!$H$164</definedName>
    <definedName name="QB_ROW_216270" localSheetId="4" hidden="1">'P9'!$H$173</definedName>
    <definedName name="QB_ROW_216270" localSheetId="3" hidden="1">P9.!$H$175</definedName>
    <definedName name="QB_ROW_216270" localSheetId="17" hidden="1">'TFI &amp; TeKSS-Feb 27-Apr 2'!$H$201</definedName>
    <definedName name="QB_ROW_217280" localSheetId="0" hidden="1">'May VS June'!$I$200</definedName>
    <definedName name="QB_ROW_217280" localSheetId="2" hidden="1">'P10'!$I$176</definedName>
    <definedName name="QB_ROW_217280" localSheetId="9" hidden="1">'P5'!#REF!</definedName>
    <definedName name="QB_ROW_217280" localSheetId="8" hidden="1">'P6'!#REF!</definedName>
    <definedName name="QB_ROW_22011" localSheetId="2" hidden="1">'P10'!$B$230</definedName>
    <definedName name="QB_ROW_22011" localSheetId="6" hidden="1">'P7'!$B$236</definedName>
    <definedName name="QB_ROW_22011" localSheetId="5" hidden="1">'P8'!$B$213</definedName>
    <definedName name="QB_ROW_22011" localSheetId="4" hidden="1">'P9'!$B$221</definedName>
    <definedName name="QB_ROW_22011" localSheetId="3" hidden="1">P9.!$B$223</definedName>
    <definedName name="QB_ROW_22011" localSheetId="17" hidden="1">'TFI &amp; TeKSS-Feb 27-Apr 2'!$B$241</definedName>
    <definedName name="QB_ROW_220270" localSheetId="0" hidden="1">'May VS June'!$H$233</definedName>
    <definedName name="QB_ROW_220270" localSheetId="2" hidden="1">'P10'!$H$200</definedName>
    <definedName name="QB_ROW_220270" localSheetId="8" hidden="1">'P6'!$H$198</definedName>
    <definedName name="QB_ROW_220270" localSheetId="4" hidden="1">'P9'!$H$199</definedName>
    <definedName name="QB_ROW_220270" localSheetId="3" hidden="1">P9.!$H$201</definedName>
    <definedName name="QB_ROW_221270" localSheetId="0" hidden="1">'May VS June'!$H$203</definedName>
    <definedName name="QB_ROW_221270" localSheetId="2" hidden="1">'P10'!$H$178</definedName>
    <definedName name="QB_ROW_221270" localSheetId="9" hidden="1">'P5'!#REF!</definedName>
    <definedName name="QB_ROW_221270" localSheetId="8" hidden="1">'P6'!#REF!</definedName>
    <definedName name="QB_ROW_221270" localSheetId="5" hidden="1">'P8'!$H$165</definedName>
    <definedName name="QB_ROW_221270" localSheetId="4" hidden="1">'P9'!$H$174</definedName>
    <definedName name="QB_ROW_221270" localSheetId="3" hidden="1">P9.!$H$176</definedName>
    <definedName name="QB_ROW_221270" localSheetId="17" hidden="1">'TFI &amp; TeKSS-Feb 27-Apr 2'!$H$205</definedName>
    <definedName name="QB_ROW_222060" localSheetId="0" hidden="1">'May VS June'!$G$214</definedName>
    <definedName name="QB_ROW_222060" localSheetId="2" hidden="1">'P10'!$G$185</definedName>
    <definedName name="QB_ROW_222060" localSheetId="9" hidden="1">'P5'!#REF!</definedName>
    <definedName name="QB_ROW_222060" localSheetId="8" hidden="1">'P6'!#REF!</definedName>
    <definedName name="QB_ROW_222060" localSheetId="6" hidden="1">'P7'!$G$199</definedName>
    <definedName name="QB_ROW_222060" localSheetId="5" hidden="1">'P8'!$G$173</definedName>
    <definedName name="QB_ROW_222060" localSheetId="4" hidden="1">'P9'!$G$182</definedName>
    <definedName name="QB_ROW_222060" localSheetId="3" hidden="1">P9.!$G$184</definedName>
    <definedName name="QB_ROW_222060" localSheetId="17" hidden="1">'TFI &amp; TeKSS-Feb 27-Apr 2'!$G$211</definedName>
    <definedName name="QB_ROW_222270" localSheetId="5" hidden="1">'P8'!$H$181</definedName>
    <definedName name="QB_ROW_222360" localSheetId="0" hidden="1">'May VS June'!$G$222</definedName>
    <definedName name="QB_ROW_222360" localSheetId="2" hidden="1">'P10'!$G$190</definedName>
    <definedName name="QB_ROW_222360" localSheetId="9" hidden="1">'P5'!#REF!</definedName>
    <definedName name="QB_ROW_222360" localSheetId="8" hidden="1">'P6'!#REF!</definedName>
    <definedName name="QB_ROW_222360" localSheetId="6" hidden="1">'P7'!$G$207</definedName>
    <definedName name="QB_ROW_222360" localSheetId="5" hidden="1">'P8'!$G$182</definedName>
    <definedName name="QB_ROW_222360" localSheetId="4" hidden="1">'P9'!$G$189</definedName>
    <definedName name="QB_ROW_222360" localSheetId="3" hidden="1">P9.!$G$191</definedName>
    <definedName name="QB_ROW_222360" localSheetId="17" hidden="1">'TFI &amp; TeKSS-Feb 27-Apr 2'!$G$218</definedName>
    <definedName name="QB_ROW_22311" localSheetId="2" hidden="1">'P10'!$B$236</definedName>
    <definedName name="QB_ROW_22311" localSheetId="6" hidden="1">'P7'!$B$245</definedName>
    <definedName name="QB_ROW_22311" localSheetId="5" hidden="1">'P8'!$B$222</definedName>
    <definedName name="QB_ROW_22311" localSheetId="4" hidden="1">'P9'!$B$232</definedName>
    <definedName name="QB_ROW_22311" localSheetId="3" hidden="1">P9.!$B$234</definedName>
    <definedName name="QB_ROW_22311" localSheetId="17" hidden="1">'TFI &amp; TeKSS-Feb 27-Apr 2'!$B$247</definedName>
    <definedName name="QB_ROW_224270" localSheetId="0" hidden="1">'May VS June'!$H$217</definedName>
    <definedName name="QB_ROW_224270" localSheetId="9" hidden="1">'P5'!#REF!</definedName>
    <definedName name="QB_ROW_224270" localSheetId="8" hidden="1">'P6'!#REF!</definedName>
    <definedName name="QB_ROW_224270" localSheetId="6" hidden="1">'P7'!$H$202</definedName>
    <definedName name="QB_ROW_224270" localSheetId="5" hidden="1">'P8'!$H$176</definedName>
    <definedName name="QB_ROW_224270" localSheetId="4" hidden="1">'P9'!$H$185</definedName>
    <definedName name="QB_ROW_224270" localSheetId="3" hidden="1">P9.!$H$187</definedName>
    <definedName name="QB_ROW_224270" localSheetId="17" hidden="1">'TFI &amp; TeKSS-Feb 27-Apr 2'!$H$214</definedName>
    <definedName name="QB_ROW_225270" localSheetId="0" hidden="1">'May VS June'!$H$216</definedName>
    <definedName name="QB_ROW_225270" localSheetId="2" hidden="1">'P10'!$H$187</definedName>
    <definedName name="QB_ROW_225270" localSheetId="9" hidden="1">'P5'!#REF!</definedName>
    <definedName name="QB_ROW_225270" localSheetId="8" hidden="1">'P6'!#REF!</definedName>
    <definedName name="QB_ROW_225270" localSheetId="6" hidden="1">'P7'!$H$201</definedName>
    <definedName name="QB_ROW_225270" localSheetId="5" hidden="1">'P8'!$H$175</definedName>
    <definedName name="QB_ROW_225270" localSheetId="4" hidden="1">'P9'!$H$184</definedName>
    <definedName name="QB_ROW_225270" localSheetId="3" hidden="1">P9.!$H$186</definedName>
    <definedName name="QB_ROW_225270" localSheetId="17" hidden="1">'TFI &amp; TeKSS-Feb 27-Apr 2'!$H$213</definedName>
    <definedName name="QB_ROW_226060" localSheetId="0" hidden="1">'May VS June'!$G$223</definedName>
    <definedName name="QB_ROW_226060" localSheetId="2" hidden="1">'P10'!$G$191</definedName>
    <definedName name="QB_ROW_226060" localSheetId="9" hidden="1">'P5'!#REF!</definedName>
    <definedName name="QB_ROW_226060" localSheetId="8" hidden="1">'P6'!#REF!</definedName>
    <definedName name="QB_ROW_226060" localSheetId="6" hidden="1">'P7'!$G$208</definedName>
    <definedName name="QB_ROW_226060" localSheetId="5" hidden="1">'P8'!$G$183</definedName>
    <definedName name="QB_ROW_226060" localSheetId="4" hidden="1">'P9'!$G$190</definedName>
    <definedName name="QB_ROW_226060" localSheetId="3" hidden="1">P9.!$G$192</definedName>
    <definedName name="QB_ROW_226060" localSheetId="17" hidden="1">'TFI &amp; TeKSS-Feb 27-Apr 2'!$G$219</definedName>
    <definedName name="QB_ROW_226360" localSheetId="0" hidden="1">'May VS June'!$G$229</definedName>
    <definedName name="QB_ROW_226360" localSheetId="2" hidden="1">'P10'!$G$197</definedName>
    <definedName name="QB_ROW_226360" localSheetId="9" hidden="1">'P5'!#REF!</definedName>
    <definedName name="QB_ROW_226360" localSheetId="8" hidden="1">'P6'!#REF!</definedName>
    <definedName name="QB_ROW_226360" localSheetId="6" hidden="1">'P7'!$G$214</definedName>
    <definedName name="QB_ROW_226360" localSheetId="5" hidden="1">'P8'!$G$189</definedName>
    <definedName name="QB_ROW_226360" localSheetId="4" hidden="1">'P9'!$G$196</definedName>
    <definedName name="QB_ROW_226360" localSheetId="3" hidden="1">P9.!$G$198</definedName>
    <definedName name="QB_ROW_226360" localSheetId="17" hidden="1">'TFI &amp; TeKSS-Feb 27-Apr 2'!$G$224</definedName>
    <definedName name="QB_ROW_227270" localSheetId="0" hidden="1">'May VS June'!$H$224</definedName>
    <definedName name="QB_ROW_227270" localSheetId="2" hidden="1">'P10'!$H$192</definedName>
    <definedName name="QB_ROW_227270" localSheetId="9" hidden="1">'P5'!#REF!</definedName>
    <definedName name="QB_ROW_227270" localSheetId="8" hidden="1">'P6'!#REF!</definedName>
    <definedName name="QB_ROW_227270" localSheetId="6" hidden="1">'P7'!$H$209</definedName>
    <definedName name="QB_ROW_227270" localSheetId="5" hidden="1">'P8'!$H$184</definedName>
    <definedName name="QB_ROW_227270" localSheetId="4" hidden="1">'P9'!$H$191</definedName>
    <definedName name="QB_ROW_227270" localSheetId="3" hidden="1">P9.!$H$193</definedName>
    <definedName name="QB_ROW_227270" localSheetId="17" hidden="1">'TFI &amp; TeKSS-Feb 27-Apr 2'!$H$220</definedName>
    <definedName name="QB_ROW_228270" localSheetId="0" hidden="1">'May VS June'!$H$226</definedName>
    <definedName name="QB_ROW_228270" localSheetId="2" hidden="1">'P10'!$H$194</definedName>
    <definedName name="QB_ROW_228270" localSheetId="9" hidden="1">'P5'!#REF!</definedName>
    <definedName name="QB_ROW_228270" localSheetId="8" hidden="1">'P6'!#REF!</definedName>
    <definedName name="QB_ROW_228270" localSheetId="6" hidden="1">'P7'!$H$211</definedName>
    <definedName name="QB_ROW_228270" localSheetId="5" hidden="1">'P8'!$H$186</definedName>
    <definedName name="QB_ROW_228270" localSheetId="4" hidden="1">'P9'!$H$193</definedName>
    <definedName name="QB_ROW_228270" localSheetId="3" hidden="1">P9.!$H$195</definedName>
    <definedName name="QB_ROW_228270" localSheetId="17" hidden="1">'TFI &amp; TeKSS-Feb 27-Apr 2'!$H$222</definedName>
    <definedName name="QB_ROW_229270" localSheetId="0" hidden="1">'May VS June'!$H$225</definedName>
    <definedName name="QB_ROW_229270" localSheetId="2" hidden="1">'P10'!$H$193</definedName>
    <definedName name="QB_ROW_229270" localSheetId="9" hidden="1">'P5'!#REF!</definedName>
    <definedName name="QB_ROW_229270" localSheetId="8" hidden="1">'P6'!#REF!</definedName>
    <definedName name="QB_ROW_229270" localSheetId="6" hidden="1">'P7'!$H$210</definedName>
    <definedName name="QB_ROW_229270" localSheetId="5" hidden="1">'P8'!$H$185</definedName>
    <definedName name="QB_ROW_229270" localSheetId="4" hidden="1">'P9'!$H$192</definedName>
    <definedName name="QB_ROW_229270" localSheetId="3" hidden="1">P9.!$H$194</definedName>
    <definedName name="QB_ROW_229270" localSheetId="17" hidden="1">'TFI &amp; TeKSS-Feb 27-Apr 2'!$H$221</definedName>
    <definedName name="QB_ROW_23021" localSheetId="2" hidden="1">'P10'!$C$231</definedName>
    <definedName name="QB_ROW_23021" localSheetId="6" hidden="1">'P7'!$C$237</definedName>
    <definedName name="QB_ROW_23021" localSheetId="5" hidden="1">'P8'!$C$214</definedName>
    <definedName name="QB_ROW_23021" localSheetId="4" hidden="1">'P9'!$C$222</definedName>
    <definedName name="QB_ROW_23021" localSheetId="3" hidden="1">P9.!$C$224</definedName>
    <definedName name="QB_ROW_23021" localSheetId="17" hidden="1">'TFI &amp; TeKSS-Feb 27-Apr 2'!$C$242</definedName>
    <definedName name="QB_ROW_230270" localSheetId="0" hidden="1">'May VS June'!$H$227</definedName>
    <definedName name="QB_ROW_230270" localSheetId="2" hidden="1">'P10'!$H$195</definedName>
    <definedName name="QB_ROW_230270" localSheetId="9" hidden="1">'P5'!#REF!</definedName>
    <definedName name="QB_ROW_230270" localSheetId="8" hidden="1">'P6'!#REF!</definedName>
    <definedName name="QB_ROW_230270" localSheetId="6" hidden="1">'P7'!$H$212</definedName>
    <definedName name="QB_ROW_230270" localSheetId="5" hidden="1">'P8'!$H$187</definedName>
    <definedName name="QB_ROW_230270" localSheetId="4" hidden="1">'P9'!$H$194</definedName>
    <definedName name="QB_ROW_230270" localSheetId="3" hidden="1">P9.!$H$196</definedName>
    <definedName name="QB_ROW_230270" localSheetId="17" hidden="1">'TFI &amp; TeKSS-Feb 27-Apr 2'!$H$223</definedName>
    <definedName name="QB_ROW_232060" localSheetId="0" hidden="1">'May VS June'!$G$230</definedName>
    <definedName name="QB_ROW_232060" localSheetId="2" hidden="1">'P10'!$G$198</definedName>
    <definedName name="QB_ROW_232060" localSheetId="9" hidden="1">'P5'!#REF!</definedName>
    <definedName name="QB_ROW_232060" localSheetId="8" hidden="1">'P6'!$G$197</definedName>
    <definedName name="QB_ROW_232060" localSheetId="6" hidden="1">'P7'!$G$215</definedName>
    <definedName name="QB_ROW_232060" localSheetId="5" hidden="1">'P8'!$G$190</definedName>
    <definedName name="QB_ROW_232060" localSheetId="4" hidden="1">'P9'!$G$197</definedName>
    <definedName name="QB_ROW_232060" localSheetId="3" hidden="1">P9.!$G$199</definedName>
    <definedName name="QB_ROW_232060" localSheetId="17" hidden="1">'TFI &amp; TeKSS-Feb 27-Apr 2'!$G$225</definedName>
    <definedName name="QB_ROW_232270" localSheetId="6" hidden="1">'P7'!$H$218</definedName>
    <definedName name="QB_ROW_232360" localSheetId="0" hidden="1">'May VS June'!$G$239</definedName>
    <definedName name="QB_ROW_232360" localSheetId="2" hidden="1">'P10'!$G$209</definedName>
    <definedName name="QB_ROW_232360" localSheetId="9" hidden="1">'P5'!#REF!</definedName>
    <definedName name="QB_ROW_232360" localSheetId="8" hidden="1">'P6'!$G$199</definedName>
    <definedName name="QB_ROW_232360" localSheetId="6" hidden="1">'P7'!$G$219</definedName>
    <definedName name="QB_ROW_232360" localSheetId="5" hidden="1">'P8'!$G$197</definedName>
    <definedName name="QB_ROW_232360" localSheetId="4" hidden="1">'P9'!$G$208</definedName>
    <definedName name="QB_ROW_232360" localSheetId="3" hidden="1">P9.!$G$210</definedName>
    <definedName name="QB_ROW_232360" localSheetId="17" hidden="1">'TFI &amp; TeKSS-Feb 27-Apr 2'!$G$228</definedName>
    <definedName name="QB_ROW_23321" localSheetId="2" hidden="1">'P10'!$C$235</definedName>
    <definedName name="QB_ROW_23321" localSheetId="6" hidden="1">'P7'!$C$241</definedName>
    <definedName name="QB_ROW_23321" localSheetId="5" hidden="1">'P8'!$C$218</definedName>
    <definedName name="QB_ROW_23321" localSheetId="4" hidden="1">'P9'!$C$228</definedName>
    <definedName name="QB_ROW_23321" localSheetId="3" hidden="1">P9.!$C$230</definedName>
    <definedName name="QB_ROW_23321" localSheetId="17" hidden="1">'TFI &amp; TeKSS-Feb 27-Apr 2'!$C$246</definedName>
    <definedName name="QB_ROW_233270" localSheetId="0" hidden="1">'May VS June'!$H$231</definedName>
    <definedName name="QB_ROW_233270" localSheetId="9" hidden="1">'P5'!#REF!</definedName>
    <definedName name="QB_ROW_233270" localSheetId="8" hidden="1">'P6'!#REF!</definedName>
    <definedName name="QB_ROW_238270" localSheetId="0" hidden="1">'May VS June'!$H$232</definedName>
    <definedName name="QB_ROW_238270" localSheetId="2" hidden="1">'P10'!$H$199</definedName>
    <definedName name="QB_ROW_238270" localSheetId="8" hidden="1">'P6'!#REF!</definedName>
    <definedName name="QB_ROW_238270" localSheetId="6" hidden="1">'P7'!$H$216</definedName>
    <definedName name="QB_ROW_238270" localSheetId="5" hidden="1">'P8'!$H$191</definedName>
    <definedName name="QB_ROW_238270" localSheetId="4" hidden="1">'P9'!$H$198</definedName>
    <definedName name="QB_ROW_238270" localSheetId="3" hidden="1">P9.!$H$200</definedName>
    <definedName name="QB_ROW_238270" localSheetId="17" hidden="1">'TFI &amp; TeKSS-Feb 27-Apr 2'!$H$226</definedName>
    <definedName name="QB_ROW_239270" localSheetId="0" hidden="1">'May VS June'!$H$234</definedName>
    <definedName name="QB_ROW_239270" localSheetId="2" hidden="1">'P10'!$H$201</definedName>
    <definedName name="QB_ROW_239270" localSheetId="8" hidden="1">'P6'!#REF!</definedName>
    <definedName name="QB_ROW_240060" localSheetId="0" hidden="1">'May VS June'!$G$240</definedName>
    <definedName name="QB_ROW_240060" localSheetId="2" hidden="1">'P10'!$G$210</definedName>
    <definedName name="QB_ROW_240060" localSheetId="9" hidden="1">'P5'!#REF!</definedName>
    <definedName name="QB_ROW_240060" localSheetId="8" hidden="1">'P6'!#REF!</definedName>
    <definedName name="QB_ROW_24021" localSheetId="6" hidden="1">'P7'!$C$242</definedName>
    <definedName name="QB_ROW_24021" localSheetId="5" hidden="1">'P8'!$C$219</definedName>
    <definedName name="QB_ROW_24021" localSheetId="4" hidden="1">'P9'!$C$229</definedName>
    <definedName name="QB_ROW_24021" localSheetId="3" hidden="1">P9.!$C$231</definedName>
    <definedName name="QB_ROW_240360" localSheetId="0" hidden="1">'May VS June'!$G$245</definedName>
    <definedName name="QB_ROW_240360" localSheetId="2" hidden="1">'P10'!$G$215</definedName>
    <definedName name="QB_ROW_240360" localSheetId="9" hidden="1">'P5'!#REF!</definedName>
    <definedName name="QB_ROW_240360" localSheetId="8" hidden="1">'P6'!#REF!</definedName>
    <definedName name="QB_ROW_241270" localSheetId="0" hidden="1">'May VS June'!$H$242</definedName>
    <definedName name="QB_ROW_241270" localSheetId="2" hidden="1">'P10'!$H$212</definedName>
    <definedName name="QB_ROW_241270" localSheetId="9" hidden="1">'P5'!#REF!</definedName>
    <definedName name="QB_ROW_241270" localSheetId="8" hidden="1">'P6'!#REF!</definedName>
    <definedName name="QB_ROW_242270" localSheetId="0" hidden="1">'May VS June'!$H$241</definedName>
    <definedName name="QB_ROW_242270" localSheetId="2" hidden="1">'P10'!$H$211</definedName>
    <definedName name="QB_ROW_242270" localSheetId="9" hidden="1">'P5'!#REF!</definedName>
    <definedName name="QB_ROW_242270" localSheetId="8" hidden="1">'P6'!#REF!</definedName>
    <definedName name="QB_ROW_24321" localSheetId="6" hidden="1">'P7'!$C$244</definedName>
    <definedName name="QB_ROW_24321" localSheetId="5" hidden="1">'P8'!$C$221</definedName>
    <definedName name="QB_ROW_24321" localSheetId="4" hidden="1">'P9'!$C$231</definedName>
    <definedName name="QB_ROW_24321" localSheetId="3" hidden="1">P9.!$C$233</definedName>
    <definedName name="QB_ROW_243270" localSheetId="0" hidden="1">'May VS June'!$H$95</definedName>
    <definedName name="QB_ROW_243270" localSheetId="2" hidden="1">'P10'!$H$85</definedName>
    <definedName name="QB_ROW_243270" localSheetId="9" hidden="1">'P5'!$H$101</definedName>
    <definedName name="QB_ROW_243270" localSheetId="8" hidden="1">'P6'!$H$90</definedName>
    <definedName name="QB_ROW_244270" localSheetId="0" hidden="1">'May VS June'!$H$243</definedName>
    <definedName name="QB_ROW_244270" localSheetId="2" hidden="1">'P10'!$H$213</definedName>
    <definedName name="QB_ROW_244270" localSheetId="9" hidden="1">'P5'!#REF!</definedName>
    <definedName name="QB_ROW_244270" localSheetId="8" hidden="1">'P6'!#REF!</definedName>
    <definedName name="QB_ROW_245270" localSheetId="0" hidden="1">'May VS June'!$H$244</definedName>
    <definedName name="QB_ROW_245270" localSheetId="2" hidden="1">'P10'!$H$214</definedName>
    <definedName name="QB_ROW_245270" localSheetId="9" hidden="1">'P5'!#REF!</definedName>
    <definedName name="QB_ROW_245270" localSheetId="8" hidden="1">'P6'!#REF!</definedName>
    <definedName name="QB_ROW_246270" localSheetId="0" hidden="1">'May VS June'!$H$97</definedName>
    <definedName name="QB_ROW_246270" localSheetId="2" hidden="1">'P10'!$H$87</definedName>
    <definedName name="QB_ROW_246270" localSheetId="9" hidden="1">'P5'!$H$103</definedName>
    <definedName name="QB_ROW_246270" localSheetId="8" hidden="1">'P6'!$H$92</definedName>
    <definedName name="QB_ROW_247060" localSheetId="0" hidden="1">'May VS June'!$G$195</definedName>
    <definedName name="QB_ROW_247060" localSheetId="2" hidden="1">'P10'!$G$172</definedName>
    <definedName name="QB_ROW_247060" localSheetId="9" hidden="1">'P5'!$G$201</definedName>
    <definedName name="QB_ROW_247060" localSheetId="8" hidden="1">'P6'!$G$190</definedName>
    <definedName name="QB_ROW_247060" localSheetId="6" hidden="1">'P7'!$G$189</definedName>
    <definedName name="QB_ROW_247060" localSheetId="5" hidden="1">'P8'!$G$163</definedName>
    <definedName name="QB_ROW_247060" localSheetId="4" hidden="1">'P9'!$G$171</definedName>
    <definedName name="QB_ROW_247060" localSheetId="3" hidden="1">P9.!$G$173</definedName>
    <definedName name="QB_ROW_247060" localSheetId="17" hidden="1">'TFI &amp; TeKSS-Feb 27-Apr 2'!$G$199</definedName>
    <definedName name="QB_ROW_247360" localSheetId="0" hidden="1">'May VS June'!$G$213</definedName>
    <definedName name="QB_ROW_247360" localSheetId="2" hidden="1">'P10'!$G$184</definedName>
    <definedName name="QB_ROW_247360" localSheetId="9" hidden="1">'P5'!$G$206</definedName>
    <definedName name="QB_ROW_247360" localSheetId="8" hidden="1">'P6'!$G$196</definedName>
    <definedName name="QB_ROW_247360" localSheetId="6" hidden="1">'P7'!$G$198</definedName>
    <definedName name="QB_ROW_247360" localSheetId="5" hidden="1">'P8'!$G$172</definedName>
    <definedName name="QB_ROW_247360" localSheetId="4" hidden="1">'P9'!$G$181</definedName>
    <definedName name="QB_ROW_247360" localSheetId="3" hidden="1">P9.!$G$183</definedName>
    <definedName name="QB_ROW_247360" localSheetId="17" hidden="1">'TFI &amp; TeKSS-Feb 27-Apr 2'!$G$210</definedName>
    <definedName name="QB_ROW_248270" localSheetId="0" hidden="1">'May VS June'!$H$197</definedName>
    <definedName name="QB_ROW_248270" localSheetId="2" hidden="1">'P10'!$H$173</definedName>
    <definedName name="QB_ROW_248270" localSheetId="9" hidden="1">'P5'!$H$203</definedName>
    <definedName name="QB_ROW_248270" localSheetId="8" hidden="1">'P6'!$H$192</definedName>
    <definedName name="QB_ROW_248270" localSheetId="6" hidden="1">'P7'!$H$190</definedName>
    <definedName name="QB_ROW_248270" localSheetId="4" hidden="1">'P9'!$H$172</definedName>
    <definedName name="QB_ROW_248270" localSheetId="3" hidden="1">P9.!$H$174</definedName>
    <definedName name="QB_ROW_248270" localSheetId="17" hidden="1">'TFI &amp; TeKSS-Feb 27-Apr 2'!$H$200</definedName>
    <definedName name="QB_ROW_249270" localSheetId="0" hidden="1">'May VS June'!$H$196</definedName>
    <definedName name="QB_ROW_249270" localSheetId="9" hidden="1">'P5'!$H$202</definedName>
    <definedName name="QB_ROW_249270" localSheetId="8" hidden="1">'P6'!$H$191</definedName>
    <definedName name="QB_ROW_250270" localSheetId="0" hidden="1">'May VS June'!$H$205</definedName>
    <definedName name="QB_ROW_250270" localSheetId="8" hidden="1">'P6'!$H$194</definedName>
    <definedName name="QB_ROW_250270" localSheetId="6" hidden="1">'P7'!$H$193</definedName>
    <definedName name="QB_ROW_250270" localSheetId="4" hidden="1">'P9'!$H$175</definedName>
    <definedName name="QB_ROW_250270" localSheetId="3" hidden="1">P9.!$H$177</definedName>
    <definedName name="QB_ROW_253270" localSheetId="0" hidden="1">'May VS June'!$H$206</definedName>
    <definedName name="QB_ROW_253270" localSheetId="2" hidden="1">'P10'!$H$179</definedName>
    <definedName name="QB_ROW_253270" localSheetId="9" hidden="1">'P5'!#REF!</definedName>
    <definedName name="QB_ROW_253270" localSheetId="8" hidden="1">'P6'!#REF!</definedName>
    <definedName name="QB_ROW_253270" localSheetId="6" hidden="1">'P7'!$H$194</definedName>
    <definedName name="QB_ROW_253270" localSheetId="5" hidden="1">'P8'!$H$166</definedName>
    <definedName name="QB_ROW_253270" localSheetId="4" hidden="1">'P9'!$H$176</definedName>
    <definedName name="QB_ROW_253270" localSheetId="3" hidden="1">P9.!$H$178</definedName>
    <definedName name="QB_ROW_253270" localSheetId="17" hidden="1">'TFI &amp; TeKSS-Feb 27-Apr 2'!$H$207</definedName>
    <definedName name="QB_ROW_254270" localSheetId="0" hidden="1">'May VS June'!$H$207</definedName>
    <definedName name="QB_ROW_254270" localSheetId="2" hidden="1">'P10'!$H$180</definedName>
    <definedName name="QB_ROW_254270" localSheetId="9" hidden="1">'P5'!#REF!</definedName>
    <definedName name="QB_ROW_254270" localSheetId="8" hidden="1">'P6'!#REF!</definedName>
    <definedName name="QB_ROW_254270" localSheetId="6" hidden="1">'P7'!$H$195</definedName>
    <definedName name="QB_ROW_254270" localSheetId="5" hidden="1">'P8'!$H$167</definedName>
    <definedName name="QB_ROW_254270" localSheetId="4" hidden="1">'P9'!$H$177</definedName>
    <definedName name="QB_ROW_254270" localSheetId="3" hidden="1">P9.!$H$179</definedName>
    <definedName name="QB_ROW_254270" localSheetId="17" hidden="1">'TFI &amp; TeKSS-Feb 27-Apr 2'!$H$208</definedName>
    <definedName name="QB_ROW_255280" localSheetId="0" hidden="1">'May VS June'!$I$201</definedName>
    <definedName name="QB_ROW_255280" localSheetId="9" hidden="1">'P5'!#REF!</definedName>
    <definedName name="QB_ROW_255280" localSheetId="8" hidden="1">'P6'!#REF!</definedName>
    <definedName name="QB_ROW_255280" localSheetId="17" hidden="1">'TFI &amp; TeKSS-Feb 27-Apr 2'!$I$203</definedName>
    <definedName name="QB_ROW_256270" localSheetId="0" hidden="1">'May VS June'!$H$212</definedName>
    <definedName name="QB_ROW_256270" localSheetId="2" hidden="1">'P10'!$H$183</definedName>
    <definedName name="QB_ROW_256270" localSheetId="8" hidden="1">'P6'!#REF!</definedName>
    <definedName name="QB_ROW_256270" localSheetId="6" hidden="1">'P7'!$H$197</definedName>
    <definedName name="QB_ROW_256270" localSheetId="5" hidden="1">'P8'!$H$171</definedName>
    <definedName name="QB_ROW_256270" localSheetId="4" hidden="1">'P9'!$H$180</definedName>
    <definedName name="QB_ROW_256270" localSheetId="3" hidden="1">P9.!$H$182</definedName>
    <definedName name="QB_ROW_257270" localSheetId="0" hidden="1">'May VS June'!$H$208</definedName>
    <definedName name="QB_ROW_257270" localSheetId="2" hidden="1">'P10'!$H$181</definedName>
    <definedName name="QB_ROW_257270" localSheetId="9" hidden="1">'P5'!#REF!</definedName>
    <definedName name="QB_ROW_257270" localSheetId="8" hidden="1">'P6'!#REF!</definedName>
    <definedName name="QB_ROW_257270" localSheetId="6" hidden="1">'P7'!$H$196</definedName>
    <definedName name="QB_ROW_257270" localSheetId="5" hidden="1">'P8'!$H$168</definedName>
    <definedName name="QB_ROW_257270" localSheetId="4" hidden="1">'P9'!$H$178</definedName>
    <definedName name="QB_ROW_257270" localSheetId="3" hidden="1">P9.!$H$180</definedName>
    <definedName name="QB_ROW_257270" localSheetId="17" hidden="1">'TFI &amp; TeKSS-Feb 27-Apr 2'!$H$209</definedName>
    <definedName name="QB_ROW_263060" localSheetId="2" hidden="1">'P10'!$G$216</definedName>
    <definedName name="QB_ROW_263060" localSheetId="6" hidden="1">'P7'!$G$220</definedName>
    <definedName name="QB_ROW_263060" localSheetId="5" hidden="1">'P8'!$G$198</definedName>
    <definedName name="QB_ROW_263060" localSheetId="17" hidden="1">'TFI &amp; TeKSS-Feb 27-Apr 2'!$G$229</definedName>
    <definedName name="QB_ROW_263360" localSheetId="2" hidden="1">'P10'!$G$218</definedName>
    <definedName name="QB_ROW_263360" localSheetId="6" hidden="1">'P7'!$G$222</definedName>
    <definedName name="QB_ROW_263360" localSheetId="5" hidden="1">'P8'!$G$200</definedName>
    <definedName name="QB_ROW_263360" localSheetId="17" hidden="1">'TFI &amp; TeKSS-Feb 27-Apr 2'!$G$231</definedName>
    <definedName name="QB_ROW_264270" localSheetId="2" hidden="1">'P10'!$H$217</definedName>
    <definedName name="QB_ROW_264270" localSheetId="6" hidden="1">'P7'!$H$221</definedName>
    <definedName name="QB_ROW_264270" localSheetId="5" hidden="1">'P8'!$H$199</definedName>
    <definedName name="QB_ROW_264270" localSheetId="17" hidden="1">'TFI &amp; TeKSS-Feb 27-Apr 2'!$H$230</definedName>
    <definedName name="QB_ROW_267060" localSheetId="0" hidden="1">'May VS June'!$G$246</definedName>
    <definedName name="QB_ROW_267060" localSheetId="2" hidden="1">'P10'!$G$219</definedName>
    <definedName name="QB_ROW_267060" localSheetId="9" hidden="1">'P5'!$G$207</definedName>
    <definedName name="QB_ROW_267060" localSheetId="8" hidden="1">'P6'!$G$200</definedName>
    <definedName name="QB_ROW_267060" localSheetId="6" hidden="1">'P7'!$G$223</definedName>
    <definedName name="QB_ROW_267060" localSheetId="5" hidden="1">'P8'!$G$201</definedName>
    <definedName name="QB_ROW_267060" localSheetId="4" hidden="1">'P9'!$G$209</definedName>
    <definedName name="QB_ROW_267060" localSheetId="3" hidden="1">P9.!$G$211</definedName>
    <definedName name="QB_ROW_267060" localSheetId="17" hidden="1">'TFI &amp; TeKSS-Feb 27-Apr 2'!$G$232</definedName>
    <definedName name="QB_ROW_267360" localSheetId="0" hidden="1">'May VS June'!$G$253</definedName>
    <definedName name="QB_ROW_267360" localSheetId="2" hidden="1">'P10'!$G$224</definedName>
    <definedName name="QB_ROW_267360" localSheetId="9" hidden="1">'P5'!$G$214</definedName>
    <definedName name="QB_ROW_267360" localSheetId="8" hidden="1">'P6'!$G$206</definedName>
    <definedName name="QB_ROW_267360" localSheetId="6" hidden="1">'P7'!$G$230</definedName>
    <definedName name="QB_ROW_267360" localSheetId="5" hidden="1">'P8'!$G$206</definedName>
    <definedName name="QB_ROW_267360" localSheetId="4" hidden="1">'P9'!$G$215</definedName>
    <definedName name="QB_ROW_267360" localSheetId="3" hidden="1">P9.!$G$217</definedName>
    <definedName name="QB_ROW_267360" localSheetId="17" hidden="1">'TFI &amp; TeKSS-Feb 27-Apr 2'!$G$236</definedName>
    <definedName name="QB_ROW_269270" localSheetId="0" hidden="1">'May VS June'!$H$248</definedName>
    <definedName name="QB_ROW_269270" localSheetId="9" hidden="1">'P5'!$H$209</definedName>
    <definedName name="QB_ROW_269270" localSheetId="8" hidden="1">'P6'!$H$202</definedName>
    <definedName name="QB_ROW_269270" localSheetId="6" hidden="1">'P7'!$H$225</definedName>
    <definedName name="QB_ROW_269270" localSheetId="5" hidden="1">'P8'!$H$203</definedName>
    <definedName name="QB_ROW_269270" localSheetId="4" hidden="1">'P9'!$H$211</definedName>
    <definedName name="QB_ROW_269270" localSheetId="3" hidden="1">P9.!$H$213</definedName>
    <definedName name="QB_ROW_269270" localSheetId="17" hidden="1">'TFI &amp; TeKSS-Feb 27-Apr 2'!$H$234</definedName>
    <definedName name="QB_ROW_277250" localSheetId="0" hidden="1">'May VS June'!$F$6</definedName>
    <definedName name="QB_ROW_277250" localSheetId="2" hidden="1">'P10'!$F$6</definedName>
    <definedName name="QB_ROW_277250" localSheetId="9" hidden="1">'P5'!$F$6</definedName>
    <definedName name="QB_ROW_277250" localSheetId="8" hidden="1">'P6'!$F$6</definedName>
    <definedName name="QB_ROW_277250" localSheetId="6" hidden="1">'P7'!$F$6</definedName>
    <definedName name="QB_ROW_277250" localSheetId="5" hidden="1">'P8'!$F$6</definedName>
    <definedName name="QB_ROW_277250" localSheetId="4" hidden="1">'P9'!$F$6</definedName>
    <definedName name="QB_ROW_277250" localSheetId="3" hidden="1">P9.!$F$6</definedName>
    <definedName name="QB_ROW_277250" localSheetId="17" hidden="1">'TFI &amp; TeKSS-Feb 27-Apr 2'!$F$7</definedName>
    <definedName name="QB_ROW_278270" localSheetId="0" hidden="1">'May VS June'!$H$218</definedName>
    <definedName name="QB_ROW_278270" localSheetId="9" hidden="1">'P5'!#REF!</definedName>
    <definedName name="QB_ROW_278270" localSheetId="8" hidden="1">'P6'!#REF!</definedName>
    <definedName name="QB_ROW_278270" localSheetId="6" hidden="1">'P7'!$H$203</definedName>
    <definedName name="QB_ROW_278270" localSheetId="5" hidden="1">'P8'!$H$177</definedName>
    <definedName name="QB_ROW_278270" localSheetId="4" hidden="1">'P9'!$H$186</definedName>
    <definedName name="QB_ROW_278270" localSheetId="3" hidden="1">P9.!$H$188</definedName>
    <definedName name="QB_ROW_278270" localSheetId="17" hidden="1">'TFI &amp; TeKSS-Feb 27-Apr 2'!$H$215</definedName>
    <definedName name="QB_ROW_279250" localSheetId="0" hidden="1">'May VS June'!$F$7</definedName>
    <definedName name="QB_ROW_279250" localSheetId="2" hidden="1">'P10'!$F$7</definedName>
    <definedName name="QB_ROW_279250" localSheetId="9" hidden="1">'P5'!$F$7</definedName>
    <definedName name="QB_ROW_279250" localSheetId="8" hidden="1">'P6'!$F$7</definedName>
    <definedName name="QB_ROW_279250" localSheetId="6" hidden="1">'P7'!$F$7</definedName>
    <definedName name="QB_ROW_279250" localSheetId="5" hidden="1">'P8'!$F$7</definedName>
    <definedName name="QB_ROW_279250" localSheetId="4" hidden="1">'P9'!$F$7</definedName>
    <definedName name="QB_ROW_279250" localSheetId="3" hidden="1">P9.!$F$7</definedName>
    <definedName name="QB_ROW_279250" localSheetId="17" hidden="1">'TFI &amp; TeKSS-Feb 27-Apr 2'!$F$8</definedName>
    <definedName name="QB_ROW_284270" localSheetId="0" hidden="1">'May VS June'!$H$73</definedName>
    <definedName name="QB_ROW_284270" localSheetId="2" hidden="1">'P10'!$H$65</definedName>
    <definedName name="QB_ROW_284270" localSheetId="9" hidden="1">'P5'!$H$77</definedName>
    <definedName name="QB_ROW_284270" localSheetId="8" hidden="1">'P6'!$H$68</definedName>
    <definedName name="QB_ROW_284270" localSheetId="5" hidden="1">'P8'!$H$64</definedName>
    <definedName name="QB_ROW_284270" localSheetId="4" hidden="1">'P9'!$H$65</definedName>
    <definedName name="QB_ROW_284270" localSheetId="3" hidden="1">P9.!$H$65</definedName>
    <definedName name="QB_ROW_285270" localSheetId="0" hidden="1">'May VS June'!$H$99</definedName>
    <definedName name="QB_ROW_285270" localSheetId="9" hidden="1">'P5'!$H$105</definedName>
    <definedName name="QB_ROW_285270" localSheetId="8" hidden="1">'P6'!$H$94</definedName>
    <definedName name="QB_ROW_285270" localSheetId="6" hidden="1">'P7'!$H$96</definedName>
    <definedName name="QB_ROW_285270" localSheetId="5" hidden="1">'P8'!$H$89</definedName>
    <definedName name="QB_ROW_285270" localSheetId="4" hidden="1">'P9'!$H$89</definedName>
    <definedName name="QB_ROW_285270" localSheetId="3" hidden="1">P9.!$H$92</definedName>
    <definedName name="QB_ROW_286270" localSheetId="0" hidden="1">'May VS June'!$H$204</definedName>
    <definedName name="QB_ROW_286270" localSheetId="9" hidden="1">'P5'!$H$204</definedName>
    <definedName name="QB_ROW_286270" localSheetId="8" hidden="1">'P6'!$H$193</definedName>
    <definedName name="QB_ROW_286270" localSheetId="6" hidden="1">'P7'!$H$192</definedName>
    <definedName name="QB_ROW_286270" localSheetId="17" hidden="1">'TFI &amp; TeKSS-Feb 27-Apr 2'!$H$206</definedName>
    <definedName name="QB_ROW_287270" localSheetId="17" hidden="1">'TFI &amp; TeKSS-Feb 27-Apr 2'!$H$72</definedName>
    <definedName name="QB_ROW_287370" localSheetId="0" hidden="1">'May VS June'!$H$57</definedName>
    <definedName name="QB_ROW_287370" localSheetId="2" hidden="1">'P10'!$H$51</definedName>
    <definedName name="QB_ROW_287370" localSheetId="9" hidden="1">'P5'!$H$60</definedName>
    <definedName name="QB_ROW_287370" localSheetId="8" hidden="1">'P6'!$H$52</definedName>
    <definedName name="QB_ROW_287370" localSheetId="6" hidden="1">'P7'!$H$56</definedName>
    <definedName name="QB_ROW_287370" localSheetId="5" hidden="1">'P8'!$H$53</definedName>
    <definedName name="QB_ROW_287370" localSheetId="4" hidden="1">'P9'!$H$52</definedName>
    <definedName name="QB_ROW_287370" localSheetId="3" hidden="1">P9.!$H$52</definedName>
    <definedName name="QB_ROW_288270" localSheetId="2" hidden="1">'P10'!$H$82</definedName>
    <definedName name="QB_ROW_288270" localSheetId="9" hidden="1">'P5'!$H$98</definedName>
    <definedName name="QB_ROW_288270" localSheetId="6" hidden="1">'P7'!$H$90</definedName>
    <definedName name="QB_ROW_288270" localSheetId="5" hidden="1">'P8'!$H$86</definedName>
    <definedName name="QB_ROW_288270" localSheetId="4" hidden="1">'P9'!$H$86</definedName>
    <definedName name="QB_ROW_288270" localSheetId="3" hidden="1">P9.!$H$86</definedName>
    <definedName name="QB_ROW_288270" localSheetId="17" hidden="1">'TFI &amp; TeKSS-Feb 27-Apr 2'!$H$106</definedName>
    <definedName name="QB_ROW_289270" localSheetId="0" hidden="1">'May VS June'!$H$62</definedName>
    <definedName name="QB_ROW_289270" localSheetId="2" hidden="1">'P10'!$H$56</definedName>
    <definedName name="QB_ROW_289270" localSheetId="9" hidden="1">'P5'!$H$65</definedName>
    <definedName name="QB_ROW_289270" localSheetId="8" hidden="1">'P6'!$H$57</definedName>
    <definedName name="QB_ROW_289270" localSheetId="6" hidden="1">'P7'!$H$61</definedName>
    <definedName name="QB_ROW_289270" localSheetId="5" hidden="1">'P8'!$H$57</definedName>
    <definedName name="QB_ROW_289270" localSheetId="4" hidden="1">'P9'!$H$57</definedName>
    <definedName name="QB_ROW_289270" localSheetId="3" hidden="1">P9.!$H$57</definedName>
    <definedName name="QB_ROW_289270" localSheetId="17" hidden="1">'TFI &amp; TeKSS-Feb 27-Apr 2'!$H$78</definedName>
    <definedName name="QB_ROW_290270" localSheetId="2" hidden="1">'P10'!$H$84</definedName>
    <definedName name="QB_ROW_290270" localSheetId="9" hidden="1">'P5'!$H$100</definedName>
    <definedName name="QB_ROW_290270" localSheetId="6" hidden="1">'P7'!$H$95</definedName>
    <definedName name="QB_ROW_290270" localSheetId="5" hidden="1">'P8'!$H$88</definedName>
    <definedName name="QB_ROW_290270" localSheetId="4" hidden="1">'P9'!$H$88</definedName>
    <definedName name="QB_ROW_290270" localSheetId="3" hidden="1">P9.!$H$91</definedName>
    <definedName name="QB_ROW_291270" localSheetId="2" hidden="1">'P10'!$H$81</definedName>
    <definedName name="QB_ROW_291270" localSheetId="5" hidden="1">'P8'!$H$85</definedName>
    <definedName name="QB_ROW_291270" localSheetId="4" hidden="1">'P9'!$H$85</definedName>
    <definedName name="QB_ROW_291270" localSheetId="3" hidden="1">P9.!$H$85</definedName>
    <definedName name="QB_ROW_292270" localSheetId="0" hidden="1">'May VS June'!$H$63</definedName>
    <definedName name="QB_ROW_292270" localSheetId="2" hidden="1">'P10'!$H$57</definedName>
    <definedName name="QB_ROW_292270" localSheetId="9" hidden="1">'P5'!$H$66</definedName>
    <definedName name="QB_ROW_292270" localSheetId="8" hidden="1">'P6'!$H$58</definedName>
    <definedName name="QB_ROW_292270" localSheetId="6" hidden="1">'P7'!$H$63</definedName>
    <definedName name="QB_ROW_292270" localSheetId="5" hidden="1">'P8'!$H$58</definedName>
    <definedName name="QB_ROW_292270" localSheetId="4" hidden="1">'P9'!$H$58</definedName>
    <definedName name="QB_ROW_292270" localSheetId="3" hidden="1">P9.!$H$58</definedName>
    <definedName name="QB_ROW_292270" localSheetId="17" hidden="1">'TFI &amp; TeKSS-Feb 27-Apr 2'!$H$79</definedName>
    <definedName name="QB_ROW_294270" localSheetId="0" hidden="1">'May VS June'!$H$247</definedName>
    <definedName name="QB_ROW_294270" localSheetId="2" hidden="1">'P10'!$H$220</definedName>
    <definedName name="QB_ROW_294270" localSheetId="9" hidden="1">'P5'!$H$208</definedName>
    <definedName name="QB_ROW_294270" localSheetId="8" hidden="1">'P6'!$H$201</definedName>
    <definedName name="QB_ROW_294270" localSheetId="6" hidden="1">'P7'!$H$224</definedName>
    <definedName name="QB_ROW_294270" localSheetId="5" hidden="1">'P8'!$H$202</definedName>
    <definedName name="QB_ROW_294270" localSheetId="4" hidden="1">'P9'!$H$210</definedName>
    <definedName name="QB_ROW_294270" localSheetId="3" hidden="1">P9.!$H$212</definedName>
    <definedName name="QB_ROW_294270" localSheetId="17" hidden="1">'TFI &amp; TeKSS-Feb 27-Apr 2'!$H$233</definedName>
    <definedName name="QB_ROW_295270" localSheetId="6" hidden="1">'P7'!$H$99</definedName>
    <definedName name="QB_ROW_297270" localSheetId="0" hidden="1">'May VS June'!$H$75</definedName>
    <definedName name="QB_ROW_297270" localSheetId="2" hidden="1">'P10'!$H$67</definedName>
    <definedName name="QB_ROW_297270" localSheetId="9" hidden="1">'P5'!$H$79</definedName>
    <definedName name="QB_ROW_297270" localSheetId="8" hidden="1">'P6'!$H$70</definedName>
    <definedName name="QB_ROW_297270" localSheetId="5" hidden="1">'P8'!$H$66</definedName>
    <definedName name="QB_ROW_297270" localSheetId="4" hidden="1">'P9'!$H$67</definedName>
    <definedName name="QB_ROW_297270" localSheetId="3" hidden="1">P9.!$H$67</definedName>
    <definedName name="QB_ROW_297270" localSheetId="17" hidden="1">'TFI &amp; TeKSS-Feb 27-Apr 2'!$H$89</definedName>
    <definedName name="QB_ROW_298270" localSheetId="0" hidden="1">'May VS June'!$H$219</definedName>
    <definedName name="QB_ROW_298270" localSheetId="9" hidden="1">'P5'!#REF!</definedName>
    <definedName name="QB_ROW_298270" localSheetId="8" hidden="1">'P6'!#REF!</definedName>
    <definedName name="QB_ROW_298270" localSheetId="6" hidden="1">'P7'!$H$204</definedName>
    <definedName name="QB_ROW_298270" localSheetId="5" hidden="1">'P8'!$H$178</definedName>
    <definedName name="QB_ROW_298270" localSheetId="17" hidden="1">'TFI &amp; TeKSS-Feb 27-Apr 2'!$H$216</definedName>
    <definedName name="QB_ROW_302270" localSheetId="0" hidden="1">'May VS June'!$H$93</definedName>
    <definedName name="QB_ROW_302270" localSheetId="2" hidden="1">'P10'!$H$80</definedName>
    <definedName name="QB_ROW_302270" localSheetId="9" hidden="1">'P5'!$H$97</definedName>
    <definedName name="QB_ROW_302270" localSheetId="8" hidden="1">'P6'!$H$88</definedName>
    <definedName name="QB_ROW_302270" localSheetId="6" hidden="1">'P7'!$H$88</definedName>
    <definedName name="QB_ROW_302270" localSheetId="5" hidden="1">'P8'!$H$84</definedName>
    <definedName name="QB_ROW_302270" localSheetId="4" hidden="1">'P9'!$H$84</definedName>
    <definedName name="QB_ROW_302270" localSheetId="3" hidden="1">P9.!$H$84</definedName>
    <definedName name="QB_ROW_302270" localSheetId="17" hidden="1">'TFI &amp; TeKSS-Feb 27-Apr 2'!$H$105</definedName>
    <definedName name="QB_ROW_319270" localSheetId="0" hidden="1">'May VS June'!$H$235</definedName>
    <definedName name="QB_ROW_319270" localSheetId="2" hidden="1">'P10'!$H$202</definedName>
    <definedName name="QB_ROW_319270" localSheetId="9" hidden="1">'P5'!#REF!</definedName>
    <definedName name="QB_ROW_319270" localSheetId="8" hidden="1">'P6'!#REF!</definedName>
    <definedName name="QB_ROW_319270" localSheetId="6" hidden="1">'P7'!$H$217</definedName>
    <definedName name="QB_ROW_319270" localSheetId="5" hidden="1">'P8'!$H$192</definedName>
    <definedName name="QB_ROW_319270" localSheetId="4" hidden="1">'P9'!$H$200</definedName>
    <definedName name="QB_ROW_319270" localSheetId="3" hidden="1">P9.!$H$202</definedName>
    <definedName name="QB_ROW_319270" localSheetId="17" hidden="1">'TFI &amp; TeKSS-Feb 27-Apr 2'!$H$227</definedName>
    <definedName name="QB_ROW_320270" localSheetId="0" hidden="1">'May VS June'!$H$79</definedName>
    <definedName name="QB_ROW_320270" localSheetId="9" hidden="1">'P5'!$H$83</definedName>
    <definedName name="QB_ROW_320270" localSheetId="8" hidden="1">'P6'!$H$74</definedName>
    <definedName name="QB_ROW_320270" localSheetId="6" hidden="1">'P7'!$H$76</definedName>
    <definedName name="QB_ROW_320270" localSheetId="5" hidden="1">'P8'!$H$70</definedName>
    <definedName name="QB_ROW_320270" localSheetId="4" hidden="1">'P9'!$H$70</definedName>
    <definedName name="QB_ROW_320270" localSheetId="3" hidden="1">P9.!$H$70</definedName>
    <definedName name="QB_ROW_320270" localSheetId="17" hidden="1">'TFI &amp; TeKSS-Feb 27-Apr 2'!$H$93</definedName>
    <definedName name="QB_ROW_325260" localSheetId="17" hidden="1">'TFI &amp; TeKSS-Feb 27-Apr 2'!$G$61</definedName>
    <definedName name="QB_ROW_327270" localSheetId="0" hidden="1">'May VS June'!$H$94</definedName>
    <definedName name="QB_ROW_327270" localSheetId="2" hidden="1">'P10'!$H$83</definedName>
    <definedName name="QB_ROW_327270" localSheetId="9" hidden="1">'P5'!$H$99</definedName>
    <definedName name="QB_ROW_327270" localSheetId="8" hidden="1">'P6'!$H$89</definedName>
    <definedName name="QB_ROW_327270" localSheetId="6" hidden="1">'P7'!$H$94</definedName>
    <definedName name="QB_ROW_327270" localSheetId="5" hidden="1">'P8'!$H$87</definedName>
    <definedName name="QB_ROW_327270" localSheetId="4" hidden="1">'P9'!$H$87</definedName>
    <definedName name="QB_ROW_327270" localSheetId="3" hidden="1">P9.!$H$90</definedName>
    <definedName name="QB_ROW_327270" localSheetId="17" hidden="1">'TFI &amp; TeKSS-Feb 27-Apr 2'!$H$107</definedName>
    <definedName name="QB_ROW_328270" localSheetId="0" hidden="1">'May VS June'!$H$87</definedName>
    <definedName name="QB_ROW_328270" localSheetId="9" hidden="1">'P5'!$H$91</definedName>
    <definedName name="QB_ROW_328270" localSheetId="8" hidden="1">'P6'!$H$82</definedName>
    <definedName name="QB_ROW_328270" localSheetId="5" hidden="1">'P8'!$H$78</definedName>
    <definedName name="QB_ROW_328270" localSheetId="4" hidden="1">'P9'!$H$78</definedName>
    <definedName name="QB_ROW_328270" localSheetId="3" hidden="1">P9.!$H$78</definedName>
    <definedName name="QB_ROW_335260" localSheetId="0" hidden="1">'May VS June'!$G$21</definedName>
    <definedName name="QB_ROW_335260" localSheetId="2" hidden="1">'P10'!$G$21</definedName>
    <definedName name="QB_ROW_335260" localSheetId="8" hidden="1">'P6'!$G$17</definedName>
    <definedName name="QB_ROW_335260" localSheetId="6" hidden="1">'P7'!$G$21</definedName>
    <definedName name="QB_ROW_335260" localSheetId="5" hidden="1">'P8'!$G$21</definedName>
    <definedName name="QB_ROW_335260" localSheetId="17" hidden="1">'TFI &amp; TeKSS-Feb 27-Apr 2'!$G$30</definedName>
    <definedName name="QB_ROW_337270" localSheetId="0" hidden="1">'May VS June'!$H$215</definedName>
    <definedName name="QB_ROW_337270" localSheetId="2" hidden="1">'P10'!$H$186</definedName>
    <definedName name="QB_ROW_337270" localSheetId="9" hidden="1">'P5'!#REF!</definedName>
    <definedName name="QB_ROW_337270" localSheetId="8" hidden="1">'P6'!#REF!</definedName>
    <definedName name="QB_ROW_337270" localSheetId="6" hidden="1">'P7'!$H$200</definedName>
    <definedName name="QB_ROW_337270" localSheetId="5" hidden="1">'P8'!$H$174</definedName>
    <definedName name="QB_ROW_337270" localSheetId="4" hidden="1">'P9'!$H$183</definedName>
    <definedName name="QB_ROW_337270" localSheetId="3" hidden="1">P9.!$H$185</definedName>
    <definedName name="QB_ROW_337270" localSheetId="17" hidden="1">'TFI &amp; TeKSS-Feb 27-Apr 2'!$H$212</definedName>
    <definedName name="QB_ROW_342070" localSheetId="0" hidden="1">'May VS June'!$H$59</definedName>
    <definedName name="QB_ROW_342070" localSheetId="2" hidden="1">'P10'!$H$53</definedName>
    <definedName name="QB_ROW_342070" localSheetId="9" hidden="1">'P5'!$H$62</definedName>
    <definedName name="QB_ROW_342070" localSheetId="8" hidden="1">'P6'!$H$54</definedName>
    <definedName name="QB_ROW_342070" localSheetId="6" hidden="1">'P7'!$H$58</definedName>
    <definedName name="QB_ROW_342070" localSheetId="5" hidden="1">'P8'!$H$54</definedName>
    <definedName name="QB_ROW_342070" localSheetId="4" hidden="1">'P9'!$H$54</definedName>
    <definedName name="QB_ROW_342070" localSheetId="3" hidden="1">P9.!$H$54</definedName>
    <definedName name="QB_ROW_342070" localSheetId="17" hidden="1">'TFI &amp; TeKSS-Feb 27-Apr 2'!$H$74</definedName>
    <definedName name="QB_ROW_342280" localSheetId="17" hidden="1">'TFI &amp; TeKSS-Feb 27-Apr 2'!$I$76</definedName>
    <definedName name="QB_ROW_342370" localSheetId="0" hidden="1">'May VS June'!$H$61</definedName>
    <definedName name="QB_ROW_342370" localSheetId="2" hidden="1">'P10'!$H$55</definedName>
    <definedName name="QB_ROW_342370" localSheetId="9" hidden="1">'P5'!$H$64</definedName>
    <definedName name="QB_ROW_342370" localSheetId="8" hidden="1">'P6'!$H$56</definedName>
    <definedName name="QB_ROW_342370" localSheetId="6" hidden="1">'P7'!$H$60</definedName>
    <definedName name="QB_ROW_342370" localSheetId="5" hidden="1">'P8'!$H$56</definedName>
    <definedName name="QB_ROW_342370" localSheetId="4" hidden="1">'P9'!$H$56</definedName>
    <definedName name="QB_ROW_342370" localSheetId="3" hidden="1">P9.!$H$56</definedName>
    <definedName name="QB_ROW_342370" localSheetId="17" hidden="1">'TFI &amp; TeKSS-Feb 27-Apr 2'!$H$77</definedName>
    <definedName name="QB_ROW_34250" localSheetId="19" hidden="1">'TeKSS - Jan 2nd to 29th'!$F$8</definedName>
    <definedName name="QB_ROW_344280" localSheetId="0" hidden="1">'May VS June'!$I$60</definedName>
    <definedName name="QB_ROW_344280" localSheetId="2" hidden="1">'P10'!$I$54</definedName>
    <definedName name="QB_ROW_344280" localSheetId="9" hidden="1">'P5'!$I$63</definedName>
    <definedName name="QB_ROW_344280" localSheetId="8" hidden="1">'P6'!$I$55</definedName>
    <definedName name="QB_ROW_344280" localSheetId="6" hidden="1">'P7'!$I$59</definedName>
    <definedName name="QB_ROW_344280" localSheetId="5" hidden="1">'P8'!$I$55</definedName>
    <definedName name="QB_ROW_344280" localSheetId="4" hidden="1">'P9'!$I$55</definedName>
    <definedName name="QB_ROW_344280" localSheetId="3" hidden="1">P9.!$I$55</definedName>
    <definedName name="QB_ROW_344280" localSheetId="17" hidden="1">'TFI &amp; TeKSS-Feb 27-Apr 2'!$I$75</definedName>
    <definedName name="QB_ROW_346270" localSheetId="6" hidden="1">'P7'!$H$89</definedName>
    <definedName name="QB_ROW_347270" localSheetId="0" hidden="1">'May VS June'!$H$88</definedName>
    <definedName name="QB_ROW_347270" localSheetId="2" hidden="1">'P10'!$H$75</definedName>
    <definedName name="QB_ROW_347270" localSheetId="9" hidden="1">'P5'!$H$92</definedName>
    <definedName name="QB_ROW_347270" localSheetId="8" hidden="1">'P6'!$H$83</definedName>
    <definedName name="QB_ROW_347270" localSheetId="6" hidden="1">'P7'!$H$83</definedName>
    <definedName name="QB_ROW_347270" localSheetId="5" hidden="1">'P8'!$H$79</definedName>
    <definedName name="QB_ROW_347270" localSheetId="4" hidden="1">'P9'!$H$79</definedName>
    <definedName name="QB_ROW_347270" localSheetId="3" hidden="1">P9.!$H$79</definedName>
    <definedName name="QB_ROW_347270" localSheetId="17" hidden="1">'TFI &amp; TeKSS-Feb 27-Apr 2'!$H$100</definedName>
    <definedName name="QB_ROW_349270" localSheetId="6" hidden="1">'P7'!$H$82</definedName>
    <definedName name="QB_ROW_349270" localSheetId="5" hidden="1">'P8'!$H$77</definedName>
    <definedName name="QB_ROW_349270" localSheetId="17" hidden="1">'TFI &amp; TeKSS-Feb 27-Apr 2'!$H$99</definedName>
    <definedName name="QB_ROW_353260" localSheetId="9" hidden="1">'P5'!$G$20</definedName>
    <definedName name="QB_ROW_353260" localSheetId="17" hidden="1">'TFI &amp; TeKSS-Feb 27-Apr 2'!$G$35</definedName>
    <definedName name="QB_ROW_361260" localSheetId="0" hidden="1">'May VS June'!$G$22</definedName>
    <definedName name="QB_ROW_361260" localSheetId="2" hidden="1">'P10'!$G$22</definedName>
    <definedName name="QB_ROW_361260" localSheetId="9" hidden="1">'P5'!$G$17</definedName>
    <definedName name="QB_ROW_361260" localSheetId="8" hidden="1">'P6'!$G$18</definedName>
    <definedName name="QB_ROW_361260" localSheetId="6" hidden="1">'P7'!$G$22</definedName>
    <definedName name="QB_ROW_361260" localSheetId="5" hidden="1">'P8'!$G$22</definedName>
    <definedName name="QB_ROW_361260" localSheetId="4" hidden="1">'P9'!$G$24</definedName>
    <definedName name="QB_ROW_361260" localSheetId="3" hidden="1">P9.!$G$24</definedName>
    <definedName name="QB_ROW_361260" localSheetId="17" hidden="1">'TFI &amp; TeKSS-Feb 27-Apr 2'!$G$31</definedName>
    <definedName name="QB_ROW_384270" localSheetId="0" hidden="1">'May VS June'!$H$80</definedName>
    <definedName name="QB_ROW_384270" localSheetId="9" hidden="1">'P5'!$H$84</definedName>
    <definedName name="QB_ROW_384270" localSheetId="8" hidden="1">'P6'!$H$75</definedName>
    <definedName name="QB_ROW_384270" localSheetId="6" hidden="1">'P7'!$H$77</definedName>
    <definedName name="QB_ROW_384270" localSheetId="5" hidden="1">'P8'!$H$71</definedName>
    <definedName name="QB_ROW_384270" localSheetId="4" hidden="1">'P9'!$H$71</definedName>
    <definedName name="QB_ROW_384270" localSheetId="3" hidden="1">P9.!$H$71</definedName>
    <definedName name="QB_ROW_384270" localSheetId="17" hidden="1">'TFI &amp; TeKSS-Feb 27-Apr 2'!$H$94</definedName>
    <definedName name="QB_ROW_386050" localSheetId="0" hidden="1">'May VS June'!$F$42</definedName>
    <definedName name="QB_ROW_386050" localSheetId="8" hidden="1">'P6'!$F$38</definedName>
    <definedName name="QB_ROW_386050" localSheetId="17" hidden="1">'TFI &amp; TeKSS-Feb 27-Apr 2'!$F$59</definedName>
    <definedName name="QB_ROW_386350" localSheetId="0" hidden="1">'May VS June'!$F$45</definedName>
    <definedName name="QB_ROW_386350" localSheetId="8" hidden="1">'P6'!$F$41</definedName>
    <definedName name="QB_ROW_386350" localSheetId="17" hidden="1">'TFI &amp; TeKSS-Feb 27-Apr 2'!$F$62</definedName>
    <definedName name="QB_ROW_387270" localSheetId="0" hidden="1">'May VS June'!$H$82</definedName>
    <definedName name="QB_ROW_387270" localSheetId="2" hidden="1">'P10'!$H$70</definedName>
    <definedName name="QB_ROW_387270" localSheetId="9" hidden="1">'P5'!$H$86</definedName>
    <definedName name="QB_ROW_387270" localSheetId="8" hidden="1">'P6'!$H$77</definedName>
    <definedName name="QB_ROW_387270" localSheetId="4" hidden="1">'P9'!$H$73</definedName>
    <definedName name="QB_ROW_387270" localSheetId="3" hidden="1">P9.!$H$73</definedName>
    <definedName name="QB_ROW_387270" localSheetId="17" hidden="1">'TFI &amp; TeKSS-Feb 27-Apr 2'!$H$96</definedName>
    <definedName name="QB_ROW_389270" localSheetId="2" hidden="1">'P10'!$H$222</definedName>
    <definedName name="QB_ROW_389270" localSheetId="9" hidden="1">'P5'!$H$212</definedName>
    <definedName name="QB_ROW_389270" localSheetId="4" hidden="1">'P9'!$H$214</definedName>
    <definedName name="QB_ROW_389270" localSheetId="3" hidden="1">P9.!$H$216</definedName>
    <definedName name="QB_ROW_391270" localSheetId="0" hidden="1">'May VS June'!$H$81</definedName>
    <definedName name="QB_ROW_391270" localSheetId="9" hidden="1">'P5'!$H$85</definedName>
    <definedName name="QB_ROW_391270" localSheetId="8" hidden="1">'P6'!$H$76</definedName>
    <definedName name="QB_ROW_391270" localSheetId="17" hidden="1">'TFI &amp; TeKSS-Feb 27-Apr 2'!$H$95</definedName>
    <definedName name="QB_ROW_394060" localSheetId="0" hidden="1">'May VS June'!$G$78</definedName>
    <definedName name="QB_ROW_394060" localSheetId="2" hidden="1">'P10'!$G$69</definedName>
    <definedName name="QB_ROW_394060" localSheetId="9" hidden="1">'P5'!$G$82</definedName>
    <definedName name="QB_ROW_394060" localSheetId="8" hidden="1">'P6'!$G$73</definedName>
    <definedName name="QB_ROW_394060" localSheetId="6" hidden="1">'P7'!$G$75</definedName>
    <definedName name="QB_ROW_394060" localSheetId="5" hidden="1">'P8'!$G$69</definedName>
    <definedName name="QB_ROW_394060" localSheetId="4" hidden="1">'P9'!$G$69</definedName>
    <definedName name="QB_ROW_394060" localSheetId="3" hidden="1">P9.!$G$69</definedName>
    <definedName name="QB_ROW_394060" localSheetId="17" hidden="1">'TFI &amp; TeKSS-Feb 27-Apr 2'!$G$92</definedName>
    <definedName name="QB_ROW_394360" localSheetId="0" hidden="1">'May VS June'!$G$84</definedName>
    <definedName name="QB_ROW_394360" localSheetId="2" hidden="1">'P10'!$G$72</definedName>
    <definedName name="QB_ROW_394360" localSheetId="9" hidden="1">'P5'!$G$88</definedName>
    <definedName name="QB_ROW_394360" localSheetId="8" hidden="1">'P6'!$G$79</definedName>
    <definedName name="QB_ROW_394360" localSheetId="6" hidden="1">'P7'!$G$79</definedName>
    <definedName name="QB_ROW_394360" localSheetId="5" hidden="1">'P8'!$G$74</definedName>
    <definedName name="QB_ROW_394360" localSheetId="4" hidden="1">'P9'!$G$75</definedName>
    <definedName name="QB_ROW_394360" localSheetId="3" hidden="1">P9.!$G$75</definedName>
    <definedName name="QB_ROW_394360" localSheetId="17" hidden="1">'TFI &amp; TeKSS-Feb 27-Apr 2'!$G$97</definedName>
    <definedName name="QB_ROW_395060" localSheetId="0" hidden="1">'May VS June'!$G$53</definedName>
    <definedName name="QB_ROW_395060" localSheetId="2" hidden="1">'P10'!$G$48</definedName>
    <definedName name="QB_ROW_395060" localSheetId="9" hidden="1">'P5'!$G$56</definedName>
    <definedName name="QB_ROW_395060" localSheetId="8" hidden="1">'P6'!$G$48</definedName>
    <definedName name="QB_ROW_395060" localSheetId="6" hidden="1">'P7'!$G$52</definedName>
    <definedName name="QB_ROW_395060" localSheetId="5" hidden="1">'P8'!$G$50</definedName>
    <definedName name="QB_ROW_395060" localSheetId="4" hidden="1">'P9'!$G$49</definedName>
    <definedName name="QB_ROW_395060" localSheetId="3" hidden="1">P9.!$G$49</definedName>
    <definedName name="QB_ROW_395060" localSheetId="17" hidden="1">'TFI &amp; TeKSS-Feb 27-Apr 2'!$G$69</definedName>
    <definedName name="QB_ROW_395270" localSheetId="2" hidden="1">'P10'!$H$59</definedName>
    <definedName name="QB_ROW_395360" localSheetId="0" hidden="1">'May VS June'!$G$68</definedName>
    <definedName name="QB_ROW_395360" localSheetId="2" hidden="1">'P10'!$G$60</definedName>
    <definedName name="QB_ROW_395360" localSheetId="9" hidden="1">'P5'!$G$72</definedName>
    <definedName name="QB_ROW_395360" localSheetId="8" hidden="1">'P6'!$G$63</definedName>
    <definedName name="QB_ROW_395360" localSheetId="6" hidden="1">'P7'!$G$64</definedName>
    <definedName name="QB_ROW_395360" localSheetId="5" hidden="1">'P8'!$G$59</definedName>
    <definedName name="QB_ROW_395360" localSheetId="4" hidden="1">'P9'!$G$60</definedName>
    <definedName name="QB_ROW_395360" localSheetId="3" hidden="1">P9.!$G$60</definedName>
    <definedName name="QB_ROW_395360" localSheetId="17" hidden="1">'TFI &amp; TeKSS-Feb 27-Apr 2'!$G$83</definedName>
    <definedName name="QB_ROW_396060" localSheetId="0" hidden="1">'May VS June'!$G$85</definedName>
    <definedName name="QB_ROW_396060" localSheetId="2" hidden="1">'P10'!$G$73</definedName>
    <definedName name="QB_ROW_396060" localSheetId="9" hidden="1">'P5'!$G$89</definedName>
    <definedName name="QB_ROW_396060" localSheetId="8" hidden="1">'P6'!$G$80</definedName>
    <definedName name="QB_ROW_396060" localSheetId="6" hidden="1">'P7'!$G$80</definedName>
    <definedName name="QB_ROW_396060" localSheetId="5" hidden="1">'P8'!$G$75</definedName>
    <definedName name="QB_ROW_396060" localSheetId="4" hidden="1">'P9'!$G$76</definedName>
    <definedName name="QB_ROW_396060" localSheetId="3" hidden="1">P9.!$G$76</definedName>
    <definedName name="QB_ROW_396060" localSheetId="17" hidden="1">'TFI &amp; TeKSS-Feb 27-Apr 2'!$G$98</definedName>
    <definedName name="QB_ROW_396360" localSheetId="0" hidden="1">'May VS June'!$G$91</definedName>
    <definedName name="QB_ROW_396360" localSheetId="2" hidden="1">'P10'!$G$78</definedName>
    <definedName name="QB_ROW_396360" localSheetId="9" hidden="1">'P5'!$G$95</definedName>
    <definedName name="QB_ROW_396360" localSheetId="8" hidden="1">'P6'!$G$86</definedName>
    <definedName name="QB_ROW_396360" localSheetId="6" hidden="1">'P7'!$G$86</definedName>
    <definedName name="QB_ROW_396360" localSheetId="5" hidden="1">'P8'!$G$82</definedName>
    <definedName name="QB_ROW_396360" localSheetId="4" hidden="1">'P9'!$G$82</definedName>
    <definedName name="QB_ROW_396360" localSheetId="3" hidden="1">P9.!$G$82</definedName>
    <definedName name="QB_ROW_396360" localSheetId="17" hidden="1">'TFI &amp; TeKSS-Feb 27-Apr 2'!$G$103</definedName>
    <definedName name="QB_ROW_397060" localSheetId="0" hidden="1">'May VS June'!$G$92</definedName>
    <definedName name="QB_ROW_397060" localSheetId="2" hidden="1">'P10'!$G$79</definedName>
    <definedName name="QB_ROW_397060" localSheetId="9" hidden="1">'P5'!$G$96</definedName>
    <definedName name="QB_ROW_397060" localSheetId="8" hidden="1">'P6'!$G$87</definedName>
    <definedName name="QB_ROW_397060" localSheetId="6" hidden="1">'P7'!$G$87</definedName>
    <definedName name="QB_ROW_397060" localSheetId="5" hidden="1">'P8'!$G$83</definedName>
    <definedName name="QB_ROW_397060" localSheetId="4" hidden="1">'P9'!$G$83</definedName>
    <definedName name="QB_ROW_397060" localSheetId="3" hidden="1">P9.!$G$83</definedName>
    <definedName name="QB_ROW_397060" localSheetId="17" hidden="1">'TFI &amp; TeKSS-Feb 27-Apr 2'!$G$104</definedName>
    <definedName name="QB_ROW_397360" localSheetId="0" hidden="1">'May VS June'!$G$100</definedName>
    <definedName name="QB_ROW_397360" localSheetId="2" hidden="1">'P10'!$G$88</definedName>
    <definedName name="QB_ROW_397360" localSheetId="9" hidden="1">'P5'!$G$106</definedName>
    <definedName name="QB_ROW_397360" localSheetId="8" hidden="1">'P6'!$G$95</definedName>
    <definedName name="QB_ROW_397360" localSheetId="6" hidden="1">'P7'!$G$97</definedName>
    <definedName name="QB_ROW_397360" localSheetId="5" hidden="1">'P8'!$G$90</definedName>
    <definedName name="QB_ROW_397360" localSheetId="4" hidden="1">'P9'!$G$90</definedName>
    <definedName name="QB_ROW_397360" localSheetId="3" hidden="1">P9.!$G$93</definedName>
    <definedName name="QB_ROW_397360" localSheetId="17" hidden="1">'TFI &amp; TeKSS-Feb 27-Apr 2'!$G$108</definedName>
    <definedName name="QB_ROW_399070" localSheetId="0" hidden="1">'May VS June'!$H$64</definedName>
    <definedName name="QB_ROW_399070" localSheetId="9" hidden="1">'P5'!$H$67</definedName>
    <definedName name="QB_ROW_399070" localSheetId="8" hidden="1">'P6'!$H$59</definedName>
    <definedName name="QB_ROW_399070" localSheetId="17" hidden="1">'TFI &amp; TeKSS-Feb 27-Apr 2'!$H$80</definedName>
    <definedName name="QB_ROW_399370" localSheetId="0" hidden="1">'May VS June'!$H$67</definedName>
    <definedName name="QB_ROW_399370" localSheetId="9" hidden="1">'P5'!$H$70</definedName>
    <definedName name="QB_ROW_399370" localSheetId="8" hidden="1">'P6'!$H$62</definedName>
    <definedName name="QB_ROW_399370" localSheetId="17" hidden="1">'TFI &amp; TeKSS-Feb 27-Apr 2'!$H$82</definedName>
    <definedName name="QB_ROW_400050" localSheetId="0" hidden="1">'May VS June'!$F$188</definedName>
    <definedName name="QB_ROW_400050" localSheetId="2" hidden="1">'P10'!$F$166</definedName>
    <definedName name="QB_ROW_400050" localSheetId="9" hidden="1">'P5'!$F$194</definedName>
    <definedName name="QB_ROW_400050" localSheetId="8" hidden="1">'P6'!$F$183</definedName>
    <definedName name="QB_ROW_400050" localSheetId="6" hidden="1">'P7'!$F$182</definedName>
    <definedName name="QB_ROW_400050" localSheetId="5" hidden="1">'P8'!$F$155</definedName>
    <definedName name="QB_ROW_400050" localSheetId="4" hidden="1">'P9'!$F$164</definedName>
    <definedName name="QB_ROW_400050" localSheetId="3" hidden="1">P9.!$F$166</definedName>
    <definedName name="QB_ROW_400050" localSheetId="17" hidden="1">'TFI &amp; TeKSS-Feb 27-Apr 2'!$F$195</definedName>
    <definedName name="QB_ROW_400260" localSheetId="2" hidden="1">'P10'!$G$225</definedName>
    <definedName name="QB_ROW_400260" localSheetId="6" hidden="1">'P7'!$G$231</definedName>
    <definedName name="QB_ROW_400260" localSheetId="5" hidden="1">'P8'!$G$207</definedName>
    <definedName name="QB_ROW_400260" localSheetId="4" hidden="1">'P9'!$G$216</definedName>
    <definedName name="QB_ROW_400260" localSheetId="3" hidden="1">P9.!$G$218</definedName>
    <definedName name="QB_ROW_400350" localSheetId="0" hidden="1">'May VS June'!$F$254</definedName>
    <definedName name="QB_ROW_400350" localSheetId="2" hidden="1">'P10'!$F$226</definedName>
    <definedName name="QB_ROW_400350" localSheetId="9" hidden="1">'P5'!$F$215</definedName>
    <definedName name="QB_ROW_400350" localSheetId="8" hidden="1">'P6'!$F$207</definedName>
    <definedName name="QB_ROW_400350" localSheetId="6" hidden="1">'P7'!$F$232</definedName>
    <definedName name="QB_ROW_400350" localSheetId="5" hidden="1">'P8'!$F$208</definedName>
    <definedName name="QB_ROW_400350" localSheetId="4" hidden="1">'P9'!$F$217</definedName>
    <definedName name="QB_ROW_400350" localSheetId="3" hidden="1">P9.!$F$219</definedName>
    <definedName name="QB_ROW_400350" localSheetId="17" hidden="1">'TFI &amp; TeKSS-Feb 27-Apr 2'!$F$237</definedName>
    <definedName name="QB_ROW_402270" localSheetId="0" hidden="1">'May VS June'!$H$102</definedName>
    <definedName name="QB_ROW_402270" localSheetId="9" hidden="1">'P5'!$H$108</definedName>
    <definedName name="QB_ROW_402270" localSheetId="8" hidden="1">'P6'!$H$97</definedName>
    <definedName name="QB_ROW_408270" localSheetId="6" hidden="1">'P7'!$H$62</definedName>
    <definedName name="QB_ROW_409270" localSheetId="0" hidden="1">'May VS June'!$H$89</definedName>
    <definedName name="QB_ROW_409270" localSheetId="2" hidden="1">'P10'!$H$76</definedName>
    <definedName name="QB_ROW_409270" localSheetId="9" hidden="1">'P5'!$H$93</definedName>
    <definedName name="QB_ROW_409270" localSheetId="8" hidden="1">'P6'!$H$84</definedName>
    <definedName name="QB_ROW_409270" localSheetId="6" hidden="1">'P7'!$H$84</definedName>
    <definedName name="QB_ROW_409270" localSheetId="5" hidden="1">'P8'!$H$80</definedName>
    <definedName name="QB_ROW_409270" localSheetId="4" hidden="1">'P9'!$H$80</definedName>
    <definedName name="QB_ROW_409270" localSheetId="3" hidden="1">P9.!$H$80</definedName>
    <definedName name="QB_ROW_409270" localSheetId="17" hidden="1">'TFI &amp; TeKSS-Feb 27-Apr 2'!$H$101</definedName>
    <definedName name="QB_ROW_419270" localSheetId="0" hidden="1">'May VS June'!$H$250</definedName>
    <definedName name="QB_ROW_419270" localSheetId="9" hidden="1">'P5'!$H$211</definedName>
    <definedName name="QB_ROW_419270" localSheetId="8" hidden="1">'P6'!#REF!</definedName>
    <definedName name="QB_ROW_419270" localSheetId="6" hidden="1">'P7'!$H$227</definedName>
    <definedName name="QB_ROW_419270" localSheetId="5" hidden="1">'P8'!$H$205</definedName>
    <definedName name="QB_ROW_419270" localSheetId="4" hidden="1">'P9'!$H$213</definedName>
    <definedName name="QB_ROW_419270" localSheetId="3" hidden="1">P9.!$H$215</definedName>
    <definedName name="QB_ROW_437270" localSheetId="0" hidden="1">'May VS June'!$H$252</definedName>
    <definedName name="QB_ROW_437270" localSheetId="2" hidden="1">'P10'!$H$223</definedName>
    <definedName name="QB_ROW_437270" localSheetId="9" hidden="1">'P5'!$H$213</definedName>
    <definedName name="QB_ROW_437270" localSheetId="8" hidden="1">'P6'!$H$205</definedName>
    <definedName name="QB_ROW_437270" localSheetId="6" hidden="1">'P7'!$H$229</definedName>
    <definedName name="QB_ROW_447260" localSheetId="0" hidden="1">'May VS June'!$G$37</definedName>
    <definedName name="QB_ROW_447260" localSheetId="2" hidden="1">'P10'!$G$37</definedName>
    <definedName name="QB_ROW_447260" localSheetId="9" hidden="1">'P5'!$G$38</definedName>
    <definedName name="QB_ROW_447260" localSheetId="8" hidden="1">'P6'!$G$33</definedName>
    <definedName name="QB_ROW_447260" localSheetId="5" hidden="1">'P8'!$G$38</definedName>
    <definedName name="QB_ROW_447260" localSheetId="4" hidden="1">'P9'!$G$38</definedName>
    <definedName name="QB_ROW_447260" localSheetId="3" hidden="1">P9.!$G$38</definedName>
    <definedName name="QB_ROW_447260" localSheetId="17" hidden="1">'TFI &amp; TeKSS-Feb 27-Apr 2'!$G$55</definedName>
    <definedName name="QB_ROW_448260" localSheetId="0" hidden="1">'May VS June'!$G$38</definedName>
    <definedName name="QB_ROW_448260" localSheetId="2" hidden="1">'P10'!$G$38</definedName>
    <definedName name="QB_ROW_448260" localSheetId="9" hidden="1">'P5'!$G$39</definedName>
    <definedName name="QB_ROW_448260" localSheetId="8" hidden="1">'P6'!$G$34</definedName>
    <definedName name="QB_ROW_448260" localSheetId="5" hidden="1">'P8'!$G$39</definedName>
    <definedName name="QB_ROW_448260" localSheetId="4" hidden="1">'P9'!$G$39</definedName>
    <definedName name="QB_ROW_448260" localSheetId="3" hidden="1">P9.!$G$39</definedName>
    <definedName name="QB_ROW_448260" localSheetId="17" hidden="1">'TFI &amp; TeKSS-Feb 27-Apr 2'!$G$56</definedName>
    <definedName name="QB_ROW_449260" localSheetId="0" hidden="1">'May VS June'!$G$39</definedName>
    <definedName name="QB_ROW_449260" localSheetId="2" hidden="1">'P10'!$G$39</definedName>
    <definedName name="QB_ROW_449260" localSheetId="9" hidden="1">'P5'!$G$40</definedName>
    <definedName name="QB_ROW_449260" localSheetId="8" hidden="1">'P6'!$G$35</definedName>
    <definedName name="QB_ROW_449260" localSheetId="5" hidden="1">'P8'!$G$40</definedName>
    <definedName name="QB_ROW_449260" localSheetId="4" hidden="1">'P9'!$G$40</definedName>
    <definedName name="QB_ROW_449260" localSheetId="3" hidden="1">P9.!$G$40</definedName>
    <definedName name="QB_ROW_449260" localSheetId="17" hidden="1">'TFI &amp; TeKSS-Feb 27-Apr 2'!$G$57</definedName>
    <definedName name="QB_ROW_457270" localSheetId="17" hidden="1">'TFI &amp; TeKSS-Feb 27-Apr 2'!$H$110</definedName>
    <definedName name="QB_ROW_460230" localSheetId="6" hidden="1">'P7'!$D$243</definedName>
    <definedName name="QB_ROW_460230" localSheetId="5" hidden="1">'P8'!$D$220</definedName>
    <definedName name="QB_ROW_460230" localSheetId="4" hidden="1">'P9'!$D$230</definedName>
    <definedName name="QB_ROW_460230" localSheetId="3" hidden="1">P9.!$D$232</definedName>
    <definedName name="QB_ROW_467040" localSheetId="0" hidden="1">'May VS June'!$E$4</definedName>
    <definedName name="QB_ROW_467040" localSheetId="2" hidden="1">'P10'!$E$4</definedName>
    <definedName name="QB_ROW_467040" localSheetId="9" hidden="1">'P5'!$E$3</definedName>
    <definedName name="QB_ROW_467040" localSheetId="8" hidden="1">'P6'!$E$4</definedName>
    <definedName name="QB_ROW_467040" localSheetId="6" hidden="1">'P7'!$E$4</definedName>
    <definedName name="QB_ROW_467040" localSheetId="5" hidden="1">'P8'!$E$4</definedName>
    <definedName name="QB_ROW_467040" localSheetId="4" hidden="1">'P9'!$E$4</definedName>
    <definedName name="QB_ROW_467040" localSheetId="3" hidden="1">P9.!$E$4</definedName>
    <definedName name="QB_ROW_467040" localSheetId="17" hidden="1">'TFI &amp; TeKSS-Feb 27-Apr 2'!$E$4</definedName>
    <definedName name="QB_ROW_467250" localSheetId="0" hidden="1">'May VS June'!$F$9</definedName>
    <definedName name="QB_ROW_467250" localSheetId="2" hidden="1">'P10'!$F$12</definedName>
    <definedName name="QB_ROW_467250" localSheetId="9" hidden="1">'P5'!$F$9</definedName>
    <definedName name="QB_ROW_467250" localSheetId="8" hidden="1">'P6'!$F$9</definedName>
    <definedName name="QB_ROW_467250" localSheetId="6" hidden="1">'P7'!$F$12</definedName>
    <definedName name="QB_ROW_467250" localSheetId="5" hidden="1">'P8'!$F$12</definedName>
    <definedName name="QB_ROW_467250" localSheetId="4" hidden="1">'P9'!$F$12</definedName>
    <definedName name="QB_ROW_467250" localSheetId="3" hidden="1">P9.!$F$12</definedName>
    <definedName name="QB_ROW_467340" localSheetId="0" hidden="1">'May VS June'!$E$10</definedName>
    <definedName name="QB_ROW_467340" localSheetId="2" hidden="1">'P10'!$E$13</definedName>
    <definedName name="QB_ROW_467340" localSheetId="9" hidden="1">'P5'!$E$10</definedName>
    <definedName name="QB_ROW_467340" localSheetId="8" hidden="1">'P6'!$E$10</definedName>
    <definedName name="QB_ROW_467340" localSheetId="6" hidden="1">'P7'!$E$13</definedName>
    <definedName name="QB_ROW_467340" localSheetId="5" hidden="1">'P8'!$E$13</definedName>
    <definedName name="QB_ROW_467340" localSheetId="4" hidden="1">'P9'!$E$13</definedName>
    <definedName name="QB_ROW_467340" localSheetId="3" hidden="1">P9.!$E$13</definedName>
    <definedName name="QB_ROW_467340" localSheetId="17" hidden="1">'TFI &amp; TeKSS-Feb 27-Apr 2'!$E$23</definedName>
    <definedName name="QB_ROW_488240" localSheetId="2" hidden="1">'P10'!$E$233</definedName>
    <definedName name="QB_ROW_488240" localSheetId="17" hidden="1">'TFI &amp; TeKSS-Feb 27-Apr 2'!$E$244</definedName>
    <definedName name="QB_ROW_490270" localSheetId="17" hidden="1">'TFI &amp; TeKSS-Feb 27-Apr 2'!$H$90</definedName>
    <definedName name="QB_ROW_491270" localSheetId="2" hidden="1">'P10'!$H$90</definedName>
    <definedName name="QB_ROW_491270" localSheetId="4" hidden="1">'P9'!$H$92</definedName>
    <definedName name="QB_ROW_491270" localSheetId="3" hidden="1">P9.!$H$95</definedName>
    <definedName name="QB_ROW_492060" localSheetId="0" hidden="1">'May VS June'!$G$101</definedName>
    <definedName name="QB_ROW_492060" localSheetId="2" hidden="1">'P10'!$G$89</definedName>
    <definedName name="QB_ROW_492060" localSheetId="9" hidden="1">'P5'!$G$107</definedName>
    <definedName name="QB_ROW_492060" localSheetId="8" hidden="1">'P6'!$G$96</definedName>
    <definedName name="QB_ROW_492060" localSheetId="6" hidden="1">'P7'!$G$98</definedName>
    <definedName name="QB_ROW_492060" localSheetId="4" hidden="1">'P9'!$G$91</definedName>
    <definedName name="QB_ROW_492060" localSheetId="3" hidden="1">P9.!$G$94</definedName>
    <definedName name="QB_ROW_492060" localSheetId="17" hidden="1">'TFI &amp; TeKSS-Feb 27-Apr 2'!$G$109</definedName>
    <definedName name="QB_ROW_492270" localSheetId="4" hidden="1">'P9'!$H$93</definedName>
    <definedName name="QB_ROW_492270" localSheetId="3" hidden="1">P9.!$H$96</definedName>
    <definedName name="QB_ROW_492360" localSheetId="0" hidden="1">'May VS June'!$G$103</definedName>
    <definedName name="QB_ROW_492360" localSheetId="2" hidden="1">'P10'!$G$91</definedName>
    <definedName name="QB_ROW_492360" localSheetId="9" hidden="1">'P5'!$G$109</definedName>
    <definedName name="QB_ROW_492360" localSheetId="8" hidden="1">'P6'!$G$98</definedName>
    <definedName name="QB_ROW_492360" localSheetId="6" hidden="1">'P7'!$G$100</definedName>
    <definedName name="QB_ROW_492360" localSheetId="4" hidden="1">'P9'!$G$94</definedName>
    <definedName name="QB_ROW_492360" localSheetId="3" hidden="1">P9.!$G$97</definedName>
    <definedName name="QB_ROW_492360" localSheetId="17" hidden="1">'TFI &amp; TeKSS-Feb 27-Apr 2'!$G$111</definedName>
    <definedName name="QB_ROW_49240" localSheetId="0" hidden="1">'May VS June'!$E$13</definedName>
    <definedName name="QB_ROW_49240" localSheetId="2" hidden="1">'P10'!$E$16</definedName>
    <definedName name="QB_ROW_49240" localSheetId="9" hidden="1">'P5'!#REF!</definedName>
    <definedName name="QB_ROW_49240" localSheetId="8" hidden="1">'P6'!#REF!</definedName>
    <definedName name="QB_ROW_49240" localSheetId="6" hidden="1">'P7'!$E$16</definedName>
    <definedName name="QB_ROW_49240" localSheetId="5" hidden="1">'P8'!$E$16</definedName>
    <definedName name="QB_ROW_49240" localSheetId="4" hidden="1">'P9'!$E$16</definedName>
    <definedName name="QB_ROW_49240" localSheetId="3" hidden="1">P9.!$E$16</definedName>
    <definedName name="QB_ROW_495070" localSheetId="0" hidden="1">'May VS June'!$H$199</definedName>
    <definedName name="QB_ROW_495070" localSheetId="2" hidden="1">'P10'!$H$175</definedName>
    <definedName name="QB_ROW_495070" localSheetId="9" hidden="1">'P5'!#REF!</definedName>
    <definedName name="QB_ROW_495070" localSheetId="8" hidden="1">'P6'!#REF!</definedName>
    <definedName name="QB_ROW_495070" localSheetId="17" hidden="1">'TFI &amp; TeKSS-Feb 27-Apr 2'!$H$202</definedName>
    <definedName name="QB_ROW_495370" localSheetId="0" hidden="1">'May VS June'!$H$202</definedName>
    <definedName name="QB_ROW_495370" localSheetId="2" hidden="1">'P10'!$H$177</definedName>
    <definedName name="QB_ROW_495370" localSheetId="9" hidden="1">'P5'!#REF!</definedName>
    <definedName name="QB_ROW_495370" localSheetId="8" hidden="1">'P6'!#REF!</definedName>
    <definedName name="QB_ROW_495370" localSheetId="17" hidden="1">'TFI &amp; TeKSS-Feb 27-Apr 2'!$H$204</definedName>
    <definedName name="QB_ROW_507270" localSheetId="0" hidden="1">'May VS June'!$H$96</definedName>
    <definedName name="QB_ROW_507270" localSheetId="2" hidden="1">'P10'!$H$86</definedName>
    <definedName name="QB_ROW_507270" localSheetId="9" hidden="1">'P5'!$H$102</definedName>
    <definedName name="QB_ROW_507270" localSheetId="8" hidden="1">'P6'!$H$91</definedName>
    <definedName name="QB_ROW_511250" localSheetId="0" hidden="1">'May VS June'!$F$8</definedName>
    <definedName name="QB_ROW_511250" localSheetId="2" hidden="1">'P10'!$F$8</definedName>
    <definedName name="QB_ROW_511250" localSheetId="9" hidden="1">'P5'!$F$8</definedName>
    <definedName name="QB_ROW_511250" localSheetId="8" hidden="1">'P6'!$F$8</definedName>
    <definedName name="QB_ROW_511250" localSheetId="6" hidden="1">'P7'!$F$8</definedName>
    <definedName name="QB_ROW_511250" localSheetId="5" hidden="1">'P8'!$F$8</definedName>
    <definedName name="QB_ROW_511250" localSheetId="4" hidden="1">'P9'!$F$8</definedName>
    <definedName name="QB_ROW_511250" localSheetId="3" hidden="1">P9.!$F$8</definedName>
    <definedName name="QB_ROW_511250" localSheetId="17" hidden="1">'TFI &amp; TeKSS-Feb 27-Apr 2'!$F$9</definedName>
    <definedName name="QB_ROW_515250" localSheetId="17" hidden="1">'TFI &amp; TeKSS-Feb 27-Apr 2'!$F$6</definedName>
    <definedName name="QB_ROW_523260" localSheetId="0" hidden="1">'May VS June'!$G$29</definedName>
    <definedName name="QB_ROW_523260" localSheetId="2" hidden="1">'P10'!$G$30</definedName>
    <definedName name="QB_ROW_523260" localSheetId="9" hidden="1">'P5'!$G$31</definedName>
    <definedName name="QB_ROW_523260" localSheetId="8" hidden="1">'P6'!$G$25</definedName>
    <definedName name="QB_ROW_523260" localSheetId="6" hidden="1">'P7'!$G$29</definedName>
    <definedName name="QB_ROW_523260" localSheetId="5" hidden="1">'P8'!$G$30</definedName>
    <definedName name="QB_ROW_523260" localSheetId="4" hidden="1">'P9'!$G$31</definedName>
    <definedName name="QB_ROW_523260" localSheetId="3" hidden="1">P9.!$G$31</definedName>
    <definedName name="QB_ROW_523260" localSheetId="17" hidden="1">'TFI &amp; TeKSS-Feb 27-Apr 2'!$G$49</definedName>
    <definedName name="QB_ROW_526050" localSheetId="0" hidden="1">'May VS June'!$F$33</definedName>
    <definedName name="QB_ROW_526050" localSheetId="2" hidden="1">'P10'!$F$33</definedName>
    <definedName name="QB_ROW_526050" localSheetId="9" hidden="1">'P5'!$F$34</definedName>
    <definedName name="QB_ROW_526050" localSheetId="8" hidden="1">'P6'!$F$29</definedName>
    <definedName name="QB_ROW_526050" localSheetId="5" hidden="1">'P8'!$F$34</definedName>
    <definedName name="QB_ROW_526050" localSheetId="4" hidden="1">'P9'!$F$34</definedName>
    <definedName name="QB_ROW_526050" localSheetId="3" hidden="1">P9.!$F$34</definedName>
    <definedName name="QB_ROW_526050" localSheetId="17" hidden="1">'TFI &amp; TeKSS-Feb 27-Apr 2'!$F$51</definedName>
    <definedName name="QB_ROW_526350" localSheetId="0" hidden="1">'May VS June'!$F$41</definedName>
    <definedName name="QB_ROW_526350" localSheetId="2" hidden="1">'P10'!$F$40</definedName>
    <definedName name="QB_ROW_526350" localSheetId="9" hidden="1">'P5'!$F$42</definedName>
    <definedName name="QB_ROW_526350" localSheetId="8" hidden="1">'P6'!$F$37</definedName>
    <definedName name="QB_ROW_526350" localSheetId="5" hidden="1">'P8'!$F$42</definedName>
    <definedName name="QB_ROW_526350" localSheetId="4" hidden="1">'P9'!$F$41</definedName>
    <definedName name="QB_ROW_526350" localSheetId="3" hidden="1">P9.!$F$41</definedName>
    <definedName name="QB_ROW_526350" localSheetId="17" hidden="1">'TFI &amp; TeKSS-Feb 27-Apr 2'!$F$58</definedName>
    <definedName name="QB_ROW_527050" localSheetId="0" hidden="1">'May VS June'!$F$24</definedName>
    <definedName name="QB_ROW_527050" localSheetId="2" hidden="1">'P10'!$F$24</definedName>
    <definedName name="QB_ROW_527050" localSheetId="9" hidden="1">'P5'!$F$19</definedName>
    <definedName name="QB_ROW_527050" localSheetId="8" hidden="1">'P6'!$F$20</definedName>
    <definedName name="QB_ROW_527050" localSheetId="6" hidden="1">'P7'!$F$24</definedName>
    <definedName name="QB_ROW_527050" localSheetId="5" hidden="1">'P8'!$F$24</definedName>
    <definedName name="QB_ROW_527050" localSheetId="4" hidden="1">'P9'!$F$26</definedName>
    <definedName name="QB_ROW_527050" localSheetId="3" hidden="1">P9.!$F$26</definedName>
    <definedName name="QB_ROW_527050" localSheetId="17" hidden="1">'TFI &amp; TeKSS-Feb 27-Apr 2'!$F$33</definedName>
    <definedName name="QB_ROW_527350" localSheetId="0" hidden="1">'May VS June'!$F$26</definedName>
    <definedName name="QB_ROW_527350" localSheetId="2" hidden="1">'P10'!$F$27</definedName>
    <definedName name="QB_ROW_527350" localSheetId="9" hidden="1">'P5'!$F$27</definedName>
    <definedName name="QB_ROW_527350" localSheetId="8" hidden="1">'P6'!$F$22</definedName>
    <definedName name="QB_ROW_527350" localSheetId="6" hidden="1">'P7'!$F$26</definedName>
    <definedName name="QB_ROW_527350" localSheetId="5" hidden="1">'P8'!$F$27</definedName>
    <definedName name="QB_ROW_527350" localSheetId="4" hidden="1">'P9'!$F$28</definedName>
    <definedName name="QB_ROW_527350" localSheetId="3" hidden="1">P9.!$F$28</definedName>
    <definedName name="QB_ROW_527350" localSheetId="17" hidden="1">'TFI &amp; TeKSS-Feb 27-Apr 2'!$F$46</definedName>
    <definedName name="QB_ROW_542270" localSheetId="0" hidden="1">'May VS June'!$H$192</definedName>
    <definedName name="QB_ROW_542270" localSheetId="2" hidden="1">'P10'!$H$170</definedName>
    <definedName name="QB_ROW_542270" localSheetId="9" hidden="1">'P5'!$H$198</definedName>
    <definedName name="QB_ROW_542270" localSheetId="8" hidden="1">'P6'!$H$187</definedName>
    <definedName name="QB_ROW_542270" localSheetId="5" hidden="1">'P8'!$H$159</definedName>
    <definedName name="QB_ROW_542270" localSheetId="4" hidden="1">'P9'!$H$169</definedName>
    <definedName name="QB_ROW_542270" localSheetId="3" hidden="1">P9.!$H$171</definedName>
    <definedName name="QB_ROW_542270" localSheetId="17" hidden="1">'TFI &amp; TeKSS-Feb 27-Apr 2'!$H$197</definedName>
    <definedName name="QB_ROW_565260" localSheetId="9" hidden="1">'P5'!$G$26</definedName>
    <definedName name="QB_ROW_565260" localSheetId="17" hidden="1">'TFI &amp; TeKSS-Feb 27-Apr 2'!$G$45</definedName>
    <definedName name="QB_ROW_569060" localSheetId="0" hidden="1">'May VS June'!$G$106</definedName>
    <definedName name="QB_ROW_569060" localSheetId="2" hidden="1">'P10'!$G$94</definedName>
    <definedName name="QB_ROW_569060" localSheetId="9" hidden="1">'P5'!$G$112</definedName>
    <definedName name="QB_ROW_569060" localSheetId="8" hidden="1">'P6'!$G$101</definedName>
    <definedName name="QB_ROW_569060" localSheetId="6" hidden="1">'P7'!$G$103</definedName>
    <definedName name="QB_ROW_569060" localSheetId="5" hidden="1">'P8'!$G$93</definedName>
    <definedName name="QB_ROW_569060" localSheetId="4" hidden="1">'P9'!$G$97</definedName>
    <definedName name="QB_ROW_569060" localSheetId="3" hidden="1">P9.!$G$100</definedName>
    <definedName name="QB_ROW_569060" localSheetId="17" hidden="1">'TFI &amp; TeKSS-Feb 27-Apr 2'!$G$114</definedName>
    <definedName name="QB_ROW_569270" localSheetId="2" hidden="1">'P10'!$H$104</definedName>
    <definedName name="QB_ROW_569360" localSheetId="0" hidden="1">'May VS June'!$G$116</definedName>
    <definedName name="QB_ROW_569360" localSheetId="2" hidden="1">'P10'!$G$105</definedName>
    <definedName name="QB_ROW_569360" localSheetId="9" hidden="1">'P5'!$G$125</definedName>
    <definedName name="QB_ROW_569360" localSheetId="8" hidden="1">'P6'!$G$111</definedName>
    <definedName name="QB_ROW_569360" localSheetId="6" hidden="1">'P7'!$G$112</definedName>
    <definedName name="QB_ROW_569360" localSheetId="5" hidden="1">'P8'!$G$103</definedName>
    <definedName name="QB_ROW_569360" localSheetId="4" hidden="1">'P9'!$G$106</definedName>
    <definedName name="QB_ROW_569360" localSheetId="3" hidden="1">P9.!$G$109</definedName>
    <definedName name="QB_ROW_569360" localSheetId="17" hidden="1">'TFI &amp; TeKSS-Feb 27-Apr 2'!$G$120</definedName>
    <definedName name="QB_ROW_570270" localSheetId="0" hidden="1">'May VS June'!$H$113</definedName>
    <definedName name="QB_ROW_570270" localSheetId="2" hidden="1">'P10'!$H$101</definedName>
    <definedName name="QB_ROW_570270" localSheetId="9" hidden="1">'P5'!$H$121</definedName>
    <definedName name="QB_ROW_570270" localSheetId="8" hidden="1">'P6'!$H$108</definedName>
    <definedName name="QB_ROW_570270" localSheetId="5" hidden="1">'P8'!$H$100</definedName>
    <definedName name="QB_ROW_571270" localSheetId="0" hidden="1">'May VS June'!$H$108</definedName>
    <definedName name="QB_ROW_571270" localSheetId="2" hidden="1">'P10'!$H$95</definedName>
    <definedName name="QB_ROW_571270" localSheetId="9" hidden="1">'P5'!$H$114</definedName>
    <definedName name="QB_ROW_571270" localSheetId="8" hidden="1">'P6'!$H$103</definedName>
    <definedName name="QB_ROW_571270" localSheetId="6" hidden="1">'P7'!$H$104</definedName>
    <definedName name="QB_ROW_571270" localSheetId="5" hidden="1">'P8'!$H$95</definedName>
    <definedName name="QB_ROW_571270" localSheetId="4" hidden="1">'P9'!$H$98</definedName>
    <definedName name="QB_ROW_571270" localSheetId="3" hidden="1">P9.!$H$101</definedName>
    <definedName name="QB_ROW_571270" localSheetId="17" hidden="1">'TFI &amp; TeKSS-Feb 27-Apr 2'!$H$115</definedName>
    <definedName name="QB_ROW_573270" localSheetId="0" hidden="1">'May VS June'!$H$114</definedName>
    <definedName name="QB_ROW_573270" localSheetId="2" hidden="1">'P10'!$H$102</definedName>
    <definedName name="QB_ROW_573270" localSheetId="9" hidden="1">'P5'!$H$123</definedName>
    <definedName name="QB_ROW_573270" localSheetId="8" hidden="1">'P6'!$H$109</definedName>
    <definedName name="QB_ROW_573270" localSheetId="6" hidden="1">'P7'!$H$110</definedName>
    <definedName name="QB_ROW_573270" localSheetId="5" hidden="1">'P8'!$H$101</definedName>
    <definedName name="QB_ROW_573270" localSheetId="4" hidden="1">'P9'!$H$104</definedName>
    <definedName name="QB_ROW_573270" localSheetId="3" hidden="1">P9.!$H$107</definedName>
    <definedName name="QB_ROW_573270" localSheetId="17" hidden="1">'TFI &amp; TeKSS-Feb 27-Apr 2'!$H$119</definedName>
    <definedName name="QB_ROW_578270" localSheetId="0" hidden="1">'May VS June'!$H$109</definedName>
    <definedName name="QB_ROW_578270" localSheetId="2" hidden="1">'P10'!$H$97</definedName>
    <definedName name="QB_ROW_578270" localSheetId="9" hidden="1">'P5'!$H$116</definedName>
    <definedName name="QB_ROW_578270" localSheetId="8" hidden="1">'P6'!$H$104</definedName>
    <definedName name="QB_ROW_578270" localSheetId="6" hidden="1">'P7'!$H$106</definedName>
    <definedName name="QB_ROW_578270" localSheetId="5" hidden="1">'P8'!$H$97</definedName>
    <definedName name="QB_ROW_578270" localSheetId="4" hidden="1">'P9'!$H$100</definedName>
    <definedName name="QB_ROW_578270" localSheetId="3" hidden="1">P9.!$H$103</definedName>
    <definedName name="QB_ROW_578270" localSheetId="17" hidden="1">'TFI &amp; TeKSS-Feb 27-Apr 2'!$H$116</definedName>
    <definedName name="QB_ROW_579060" localSheetId="0" hidden="1">'May VS June'!$G$136</definedName>
    <definedName name="QB_ROW_579060" localSheetId="2" hidden="1">'P10'!$G$122</definedName>
    <definedName name="QB_ROW_579060" localSheetId="9" hidden="1">'P5'!$G$145</definedName>
    <definedName name="QB_ROW_579060" localSheetId="8" hidden="1">'P6'!$G$131</definedName>
    <definedName name="QB_ROW_579060" localSheetId="6" hidden="1">'P7'!$G$129</definedName>
    <definedName name="QB_ROW_579060" localSheetId="5" hidden="1">'P8'!$G$119</definedName>
    <definedName name="QB_ROW_579060" localSheetId="4" hidden="1">'P9'!$G$121</definedName>
    <definedName name="QB_ROW_579060" localSheetId="3" hidden="1">P9.!$G$123</definedName>
    <definedName name="QB_ROW_579060" localSheetId="17" hidden="1">'TFI &amp; TeKSS-Feb 27-Apr 2'!$G$139</definedName>
    <definedName name="QB_ROW_579360" localSheetId="0" hidden="1">'May VS June'!$G$142</definedName>
    <definedName name="QB_ROW_579360" localSheetId="2" hidden="1">'P10'!$G$127</definedName>
    <definedName name="QB_ROW_579360" localSheetId="9" hidden="1">'P5'!$G$152</definedName>
    <definedName name="QB_ROW_579360" localSheetId="8" hidden="1">'P6'!$G$137</definedName>
    <definedName name="QB_ROW_579360" localSheetId="6" hidden="1">'P7'!$G$135</definedName>
    <definedName name="QB_ROW_579360" localSheetId="5" hidden="1">'P8'!$G$122</definedName>
    <definedName name="QB_ROW_579360" localSheetId="4" hidden="1">'P9'!$G$125</definedName>
    <definedName name="QB_ROW_579360" localSheetId="3" hidden="1">P9.!$G$127</definedName>
    <definedName name="QB_ROW_579360" localSheetId="17" hidden="1">'TFI &amp; TeKSS-Feb 27-Apr 2'!$G$144</definedName>
    <definedName name="QB_ROW_580270" localSheetId="0" hidden="1">'May VS June'!$H$137</definedName>
    <definedName name="QB_ROW_580270" localSheetId="2" hidden="1">'P10'!$H$123</definedName>
    <definedName name="QB_ROW_580270" localSheetId="9" hidden="1">'P5'!$H$146</definedName>
    <definedName name="QB_ROW_580270" localSheetId="8" hidden="1">'P6'!$H$132</definedName>
    <definedName name="QB_ROW_580270" localSheetId="6" hidden="1">'P7'!$H$130</definedName>
    <definedName name="QB_ROW_580270" localSheetId="4" hidden="1">'P9'!$H$122</definedName>
    <definedName name="QB_ROW_580270" localSheetId="3" hidden="1">P9.!$H$124</definedName>
    <definedName name="QB_ROW_580270" localSheetId="17" hidden="1">'TFI &amp; TeKSS-Feb 27-Apr 2'!$H$140</definedName>
    <definedName name="QB_ROW_581270" localSheetId="6" hidden="1">'P7'!$H$137</definedName>
    <definedName name="QB_ROW_581270" localSheetId="4" hidden="1">'P9'!$H$127</definedName>
    <definedName name="QB_ROW_581270" localSheetId="3" hidden="1">P9.!$H$129</definedName>
    <definedName name="QB_ROW_581270" localSheetId="17" hidden="1">'TFI &amp; TeKSS-Feb 27-Apr 2'!$H$146</definedName>
    <definedName name="QB_ROW_583060" localSheetId="0" hidden="1">'May VS June'!$G$124</definedName>
    <definedName name="QB_ROW_583060" localSheetId="2" hidden="1">'P10'!$G$113</definedName>
    <definedName name="QB_ROW_583060" localSheetId="9" hidden="1">'P5'!$G$133</definedName>
    <definedName name="QB_ROW_583060" localSheetId="8" hidden="1">'P6'!$G$119</definedName>
    <definedName name="QB_ROW_583060" localSheetId="6" hidden="1">'P7'!$G$120</definedName>
    <definedName name="QB_ROW_583060" localSheetId="5" hidden="1">'P8'!$G$112</definedName>
    <definedName name="QB_ROW_583060" localSheetId="4" hidden="1">'P9'!$G$114</definedName>
    <definedName name="QB_ROW_583060" localSheetId="3" hidden="1">P9.!$G$116</definedName>
    <definedName name="QB_ROW_583060" localSheetId="17" hidden="1">'TFI &amp; TeKSS-Feb 27-Apr 2'!$G$127</definedName>
    <definedName name="QB_ROW_583360" localSheetId="0" hidden="1">'May VS June'!$G$129</definedName>
    <definedName name="QB_ROW_583360" localSheetId="2" hidden="1">'P10'!$G$117</definedName>
    <definedName name="QB_ROW_583360" localSheetId="9" hidden="1">'P5'!$G$138</definedName>
    <definedName name="QB_ROW_583360" localSheetId="8" hidden="1">'P6'!$G$124</definedName>
    <definedName name="QB_ROW_583360" localSheetId="6" hidden="1">'P7'!$G$125</definedName>
    <definedName name="QB_ROW_583360" localSheetId="5" hidden="1">'P8'!$G$115</definedName>
    <definedName name="QB_ROW_583360" localSheetId="4" hidden="1">'P9'!$G$117</definedName>
    <definedName name="QB_ROW_583360" localSheetId="3" hidden="1">P9.!$G$119</definedName>
    <definedName name="QB_ROW_583360" localSheetId="17" hidden="1">'TFI &amp; TeKSS-Feb 27-Apr 2'!$G$131</definedName>
    <definedName name="QB_ROW_584270" localSheetId="0" hidden="1">'May VS June'!$H$125</definedName>
    <definedName name="QB_ROW_584270" localSheetId="2" hidden="1">'P10'!$H$114</definedName>
    <definedName name="QB_ROW_584270" localSheetId="9" hidden="1">'P5'!$H$134</definedName>
    <definedName name="QB_ROW_584270" localSheetId="8" hidden="1">'P6'!$H$120</definedName>
    <definedName name="QB_ROW_584270" localSheetId="4" hidden="1">'P9'!$H$115</definedName>
    <definedName name="QB_ROW_584270" localSheetId="3" hidden="1">P9.!$H$117</definedName>
    <definedName name="QB_ROW_585270" localSheetId="0" hidden="1">'May VS June'!$H$126</definedName>
    <definedName name="QB_ROW_585270" localSheetId="9" hidden="1">'P5'!$H$135</definedName>
    <definedName name="QB_ROW_585270" localSheetId="8" hidden="1">'P6'!$H$121</definedName>
    <definedName name="QB_ROW_585270" localSheetId="5" hidden="1">'P8'!$H$113</definedName>
    <definedName name="QB_ROW_587270" localSheetId="0" hidden="1">'May VS June'!$H$138</definedName>
    <definedName name="QB_ROW_587270" localSheetId="2" hidden="1">'P10'!$H$124</definedName>
    <definedName name="QB_ROW_587270" localSheetId="9" hidden="1">'P5'!$H$147</definedName>
    <definedName name="QB_ROW_587270" localSheetId="8" hidden="1">'P6'!$H$133</definedName>
    <definedName name="QB_ROW_587270" localSheetId="6" hidden="1">'P7'!$H$133</definedName>
    <definedName name="QB_ROW_587270" localSheetId="5" hidden="1">'P8'!$H$120</definedName>
    <definedName name="QB_ROW_587270" localSheetId="4" hidden="1">'P9'!$H$123</definedName>
    <definedName name="QB_ROW_587270" localSheetId="3" hidden="1">P9.!$H$125</definedName>
    <definedName name="QB_ROW_587270" localSheetId="17" hidden="1">'TFI &amp; TeKSS-Feb 27-Apr 2'!$H$141</definedName>
    <definedName name="QB_ROW_588270" localSheetId="0" hidden="1">'May VS June'!$H$139</definedName>
    <definedName name="QB_ROW_588270" localSheetId="2" hidden="1">'P10'!$H$125</definedName>
    <definedName name="QB_ROW_588270" localSheetId="9" hidden="1">'P5'!$H$148</definedName>
    <definedName name="QB_ROW_588270" localSheetId="8" hidden="1">'P6'!$H$134</definedName>
    <definedName name="QB_ROW_588270" localSheetId="6" hidden="1">'P7'!$H$134</definedName>
    <definedName name="QB_ROW_588270" localSheetId="5" hidden="1">'P8'!$H$121</definedName>
    <definedName name="QB_ROW_588270" localSheetId="4" hidden="1">'P9'!$H$124</definedName>
    <definedName name="QB_ROW_588270" localSheetId="3" hidden="1">P9.!$H$126</definedName>
    <definedName name="QB_ROW_588270" localSheetId="17" hidden="1">'TFI &amp; TeKSS-Feb 27-Apr 2'!$H$142</definedName>
    <definedName name="QB_ROW_589060" localSheetId="0" hidden="1">'May VS June'!$G$143</definedName>
    <definedName name="QB_ROW_589060" localSheetId="2" hidden="1">'P10'!$G$128</definedName>
    <definedName name="QB_ROW_589060" localSheetId="8" hidden="1">'P6'!$G$138</definedName>
    <definedName name="QB_ROW_589060" localSheetId="6" hidden="1">'P7'!$G$136</definedName>
    <definedName name="QB_ROW_589060" localSheetId="4" hidden="1">'P9'!$G$126</definedName>
    <definedName name="QB_ROW_589060" localSheetId="3" hidden="1">P9.!$G$128</definedName>
    <definedName name="QB_ROW_589060" localSheetId="17" hidden="1">'TFI &amp; TeKSS-Feb 27-Apr 2'!$G$145</definedName>
    <definedName name="QB_ROW_589360" localSheetId="0" hidden="1">'May VS June'!$G$145</definedName>
    <definedName name="QB_ROW_589360" localSheetId="2" hidden="1">'P10'!$G$130</definedName>
    <definedName name="QB_ROW_589360" localSheetId="8" hidden="1">'P6'!$G$140</definedName>
    <definedName name="QB_ROW_589360" localSheetId="6" hidden="1">'P7'!$G$138</definedName>
    <definedName name="QB_ROW_589360" localSheetId="4" hidden="1">'P9'!$G$128</definedName>
    <definedName name="QB_ROW_589360" localSheetId="3" hidden="1">P9.!$G$130</definedName>
    <definedName name="QB_ROW_589360" localSheetId="17" hidden="1">'TFI &amp; TeKSS-Feb 27-Apr 2'!$G$147</definedName>
    <definedName name="QB_ROW_590270" localSheetId="2" hidden="1">'P10'!$H$96</definedName>
    <definedName name="QB_ROW_590270" localSheetId="9" hidden="1">'P5'!$H$115</definedName>
    <definedName name="QB_ROW_590270" localSheetId="6" hidden="1">'P7'!$H$105</definedName>
    <definedName name="QB_ROW_590270" localSheetId="5" hidden="1">'P8'!$H$96</definedName>
    <definedName name="QB_ROW_590270" localSheetId="4" hidden="1">'P9'!$H$99</definedName>
    <definedName name="QB_ROW_590270" localSheetId="3" hidden="1">P9.!$H$102</definedName>
    <definedName name="QB_ROW_591270" localSheetId="0" hidden="1">'May VS June'!$H$107</definedName>
    <definedName name="QB_ROW_591270" localSheetId="9" hidden="1">'P5'!$H$113</definedName>
    <definedName name="QB_ROW_591270" localSheetId="8" hidden="1">'P6'!$H$102</definedName>
    <definedName name="QB_ROW_591270" localSheetId="5" hidden="1">'P8'!$H$94</definedName>
    <definedName name="QB_ROW_592270" localSheetId="2" hidden="1">'P10'!$H$203</definedName>
    <definedName name="QB_ROW_593270" localSheetId="0" hidden="1">'May VS June'!$H$210</definedName>
    <definedName name="QB_ROW_593270" localSheetId="8" hidden="1">'P6'!#REF!</definedName>
    <definedName name="QB_ROW_594270" localSheetId="0" hidden="1">'May VS June'!$H$127</definedName>
    <definedName name="QB_ROW_594270" localSheetId="2" hidden="1">'P10'!$H$115</definedName>
    <definedName name="QB_ROW_594270" localSheetId="9" hidden="1">'P5'!$H$136</definedName>
    <definedName name="QB_ROW_594270" localSheetId="8" hidden="1">'P6'!$H$122</definedName>
    <definedName name="QB_ROW_594270" localSheetId="6" hidden="1">'P7'!$H$123</definedName>
    <definedName name="QB_ROW_594270" localSheetId="5" hidden="1">'P8'!$H$114</definedName>
    <definedName name="QB_ROW_594270" localSheetId="4" hidden="1">'P9'!$H$116</definedName>
    <definedName name="QB_ROW_594270" localSheetId="3" hidden="1">P9.!$H$118</definedName>
    <definedName name="QB_ROW_594270" localSheetId="17" hidden="1">'TFI &amp; TeKSS-Feb 27-Apr 2'!$H$129</definedName>
    <definedName name="QB_ROW_596270" localSheetId="0" hidden="1">'May VS June'!$H$111</definedName>
    <definedName name="QB_ROW_596270" localSheetId="2" hidden="1">'P10'!$H$99</definedName>
    <definedName name="QB_ROW_596270" localSheetId="9" hidden="1">'P5'!$H$118</definedName>
    <definedName name="QB_ROW_596270" localSheetId="8" hidden="1">'P6'!$H$106</definedName>
    <definedName name="QB_ROW_596270" localSheetId="6" hidden="1">'P7'!$H$108</definedName>
    <definedName name="QB_ROW_596270" localSheetId="5" hidden="1">'P8'!$H$99</definedName>
    <definedName name="QB_ROW_596270" localSheetId="4" hidden="1">'P9'!$H$102</definedName>
    <definedName name="QB_ROW_596270" localSheetId="3" hidden="1">P9.!$H$105</definedName>
    <definedName name="QB_ROW_596270" localSheetId="17" hidden="1">'TFI &amp; TeKSS-Feb 27-Apr 2'!$H$117</definedName>
    <definedName name="QB_ROW_599270" localSheetId="17" hidden="1">'TFI &amp; TeKSS-Feb 27-Apr 2'!$H$102</definedName>
    <definedName name="QB_ROW_607270" localSheetId="0" hidden="1">'May VS June'!$H$144</definedName>
    <definedName name="QB_ROW_607270" localSheetId="2" hidden="1">'P10'!$H$129</definedName>
    <definedName name="QB_ROW_607270" localSheetId="8" hidden="1">'P6'!$H$139</definedName>
    <definedName name="QB_ROW_610270" localSheetId="9" hidden="1">'P5'!$H$149</definedName>
    <definedName name="QB_ROW_610270" localSheetId="17" hidden="1">'TFI &amp; TeKSS-Feb 27-Apr 2'!$H$143</definedName>
    <definedName name="QB_ROW_611050" localSheetId="0" hidden="1">'May VS June'!$F$105</definedName>
    <definedName name="QB_ROW_611050" localSheetId="2" hidden="1">'P10'!$F$93</definedName>
    <definedName name="QB_ROW_611050" localSheetId="9" hidden="1">'P5'!$F$111</definedName>
    <definedName name="QB_ROW_611050" localSheetId="8" hidden="1">'P6'!$F$100</definedName>
    <definedName name="QB_ROW_611050" localSheetId="6" hidden="1">'P7'!$F$102</definedName>
    <definedName name="QB_ROW_611050" localSheetId="5" hidden="1">'P8'!$F$92</definedName>
    <definedName name="QB_ROW_611050" localSheetId="4" hidden="1">'P9'!$F$96</definedName>
    <definedName name="QB_ROW_611050" localSheetId="3" hidden="1">P9.!$F$99</definedName>
    <definedName name="QB_ROW_611050" localSheetId="17" hidden="1">'TFI &amp; TeKSS-Feb 27-Apr 2'!$F$113</definedName>
    <definedName name="QB_ROW_611260" localSheetId="0" hidden="1">'May VS June'!$G$146</definedName>
    <definedName name="QB_ROW_611260" localSheetId="2" hidden="1">'P10'!$G$131</definedName>
    <definedName name="QB_ROW_611260" localSheetId="9" hidden="1">'P5'!$G$153</definedName>
    <definedName name="QB_ROW_611260" localSheetId="8" hidden="1">'P6'!$G$141</definedName>
    <definedName name="QB_ROW_611260" localSheetId="6" hidden="1">'P7'!$G$139</definedName>
    <definedName name="QB_ROW_611260" localSheetId="4" hidden="1">'P9'!$G$129</definedName>
    <definedName name="QB_ROW_611260" localSheetId="3" hidden="1">P9.!$G$131</definedName>
    <definedName name="QB_ROW_611350" localSheetId="0" hidden="1">'May VS June'!$F$147</definedName>
    <definedName name="QB_ROW_611350" localSheetId="2" hidden="1">'P10'!$F$132</definedName>
    <definedName name="QB_ROW_611350" localSheetId="9" hidden="1">'P5'!$F$154</definedName>
    <definedName name="QB_ROW_611350" localSheetId="8" hidden="1">'P6'!$F$142</definedName>
    <definedName name="QB_ROW_611350" localSheetId="6" hidden="1">'P7'!$F$140</definedName>
    <definedName name="QB_ROW_611350" localSheetId="5" hidden="1">'P8'!$F$123</definedName>
    <definedName name="QB_ROW_611350" localSheetId="4" hidden="1">'P9'!$F$130</definedName>
    <definedName name="QB_ROW_611350" localSheetId="3" hidden="1">P9.!$F$132</definedName>
    <definedName name="QB_ROW_611350" localSheetId="17" hidden="1">'TFI &amp; TeKSS-Feb 27-Apr 2'!$F$148</definedName>
    <definedName name="QB_ROW_612060" localSheetId="0" hidden="1">'May VS June'!$G$130</definedName>
    <definedName name="QB_ROW_612060" localSheetId="2" hidden="1">'P10'!$G$118</definedName>
    <definedName name="QB_ROW_612060" localSheetId="9" hidden="1">'P5'!$G$139</definedName>
    <definedName name="QB_ROW_612060" localSheetId="8" hidden="1">'P6'!$G$125</definedName>
    <definedName name="QB_ROW_612060" localSheetId="6" hidden="1">'P7'!$G$126</definedName>
    <definedName name="QB_ROW_612060" localSheetId="5" hidden="1">'P8'!$G$116</definedName>
    <definedName name="QB_ROW_612060" localSheetId="4" hidden="1">'P9'!$G$118</definedName>
    <definedName name="QB_ROW_612060" localSheetId="3" hidden="1">P9.!$G$120</definedName>
    <definedName name="QB_ROW_612060" localSheetId="17" hidden="1">'TFI &amp; TeKSS-Feb 27-Apr 2'!$G$132</definedName>
    <definedName name="QB_ROW_612360" localSheetId="0" hidden="1">'May VS June'!$G$135</definedName>
    <definedName name="QB_ROW_612360" localSheetId="2" hidden="1">'P10'!$G$121</definedName>
    <definedName name="QB_ROW_612360" localSheetId="9" hidden="1">'P5'!$G$144</definedName>
    <definedName name="QB_ROW_612360" localSheetId="8" hidden="1">'P6'!$G$130</definedName>
    <definedName name="QB_ROW_612360" localSheetId="6" hidden="1">'P7'!$G$128</definedName>
    <definedName name="QB_ROW_612360" localSheetId="5" hidden="1">'P8'!$G$118</definedName>
    <definedName name="QB_ROW_612360" localSheetId="4" hidden="1">'P9'!$G$120</definedName>
    <definedName name="QB_ROW_612360" localSheetId="3" hidden="1">P9.!$G$122</definedName>
    <definedName name="QB_ROW_612360" localSheetId="17" hidden="1">'TFI &amp; TeKSS-Feb 27-Apr 2'!$G$138</definedName>
    <definedName name="QB_ROW_613270" localSheetId="0" hidden="1">'May VS June'!$H$132</definedName>
    <definedName name="QB_ROW_613270" localSheetId="2" hidden="1">'P10'!$H$119</definedName>
    <definedName name="QB_ROW_613270" localSheetId="9" hidden="1">'P5'!$H$141</definedName>
    <definedName name="QB_ROW_613270" localSheetId="8" hidden="1">'P6'!$H$127</definedName>
    <definedName name="QB_ROW_613270" localSheetId="6" hidden="1">'P7'!$H$127</definedName>
    <definedName name="QB_ROW_613270" localSheetId="5" hidden="1">'P8'!$H$117</definedName>
    <definedName name="QB_ROW_613270" localSheetId="4" hidden="1">'P9'!$H$119</definedName>
    <definedName name="QB_ROW_613270" localSheetId="3" hidden="1">P9.!$H$121</definedName>
    <definedName name="QB_ROW_613270" localSheetId="17" hidden="1">'TFI &amp; TeKSS-Feb 27-Apr 2'!$H$134</definedName>
    <definedName name="QB_ROW_614060" localSheetId="0" hidden="1">'May VS June'!$G$117</definedName>
    <definedName name="QB_ROW_614060" localSheetId="2" hidden="1">'P10'!$G$106</definedName>
    <definedName name="QB_ROW_614060" localSheetId="9" hidden="1">'P5'!$G$126</definedName>
    <definedName name="QB_ROW_614060" localSheetId="8" hidden="1">'P6'!$G$112</definedName>
    <definedName name="QB_ROW_614060" localSheetId="6" hidden="1">'P7'!$G$113</definedName>
    <definedName name="QB_ROW_614060" localSheetId="5" hidden="1">'P8'!$G$104</definedName>
    <definedName name="QB_ROW_614060" localSheetId="4" hidden="1">'P9'!$G$107</definedName>
    <definedName name="QB_ROW_614060" localSheetId="3" hidden="1">P9.!$G$110</definedName>
    <definedName name="QB_ROW_614060" localSheetId="17" hidden="1">'TFI &amp; TeKSS-Feb 27-Apr 2'!$G$121</definedName>
    <definedName name="QB_ROW_614270" localSheetId="2" hidden="1">'P10'!$H$111</definedName>
    <definedName name="QB_ROW_614270" localSheetId="5" hidden="1">'P8'!$H$110</definedName>
    <definedName name="QB_ROW_614360" localSheetId="0" hidden="1">'May VS June'!$G$123</definedName>
    <definedName name="QB_ROW_614360" localSheetId="2" hidden="1">'P10'!$G$112</definedName>
    <definedName name="QB_ROW_614360" localSheetId="9" hidden="1">'P5'!$G$132</definedName>
    <definedName name="QB_ROW_614360" localSheetId="8" hidden="1">'P6'!$G$118</definedName>
    <definedName name="QB_ROW_614360" localSheetId="6" hidden="1">'P7'!#REF!</definedName>
    <definedName name="QB_ROW_614360" localSheetId="5" hidden="1">'P8'!$G$111</definedName>
    <definedName name="QB_ROW_614360" localSheetId="4" hidden="1">'P9'!$G$113</definedName>
    <definedName name="QB_ROW_614360" localSheetId="3" hidden="1">P9.!$G$115</definedName>
    <definedName name="QB_ROW_614360" localSheetId="17" hidden="1">'TFI &amp; TeKSS-Feb 27-Apr 2'!$G$126</definedName>
    <definedName name="QB_ROW_615270" localSheetId="0" hidden="1">'May VS June'!$H$118</definedName>
    <definedName name="QB_ROW_615270" localSheetId="2" hidden="1">'P10'!$H$107</definedName>
    <definedName name="QB_ROW_615270" localSheetId="9" hidden="1">'P5'!$H$127</definedName>
    <definedName name="QB_ROW_615270" localSheetId="8" hidden="1">'P6'!$H$113</definedName>
    <definedName name="QB_ROW_615270" localSheetId="5" hidden="1">'P8'!$H$105</definedName>
    <definedName name="QB_ROW_615270" localSheetId="4" hidden="1">'P9'!$H$108</definedName>
    <definedName name="QB_ROW_615270" localSheetId="3" hidden="1">P9.!$H$111</definedName>
    <definedName name="QB_ROW_615270" localSheetId="17" hidden="1">'TFI &amp; TeKSS-Feb 27-Apr 2'!$H$122</definedName>
    <definedName name="QB_ROW_616270" localSheetId="0" hidden="1">'May VS June'!$H$121</definedName>
    <definedName name="QB_ROW_616270" localSheetId="2" hidden="1">'P10'!$H$110</definedName>
    <definedName name="QB_ROW_616270" localSheetId="9" hidden="1">'P5'!$H$130</definedName>
    <definedName name="QB_ROW_616270" localSheetId="8" hidden="1">'P6'!$H$116</definedName>
    <definedName name="QB_ROW_616270" localSheetId="6" hidden="1">'P7'!#REF!</definedName>
    <definedName name="QB_ROW_616270" localSheetId="5" hidden="1">'P8'!$H$108</definedName>
    <definedName name="QB_ROW_616270" localSheetId="4" hidden="1">'P9'!$H$112</definedName>
    <definedName name="QB_ROW_616270" localSheetId="3" hidden="1">P9.!$H$114</definedName>
    <definedName name="QB_ROW_616270" localSheetId="17" hidden="1">'TFI &amp; TeKSS-Feb 27-Apr 2'!$H$125</definedName>
    <definedName name="QB_ROW_618270" localSheetId="0" hidden="1">'May VS June'!$H$119</definedName>
    <definedName name="QB_ROW_618270" localSheetId="2" hidden="1">'P10'!$H$108</definedName>
    <definedName name="QB_ROW_618270" localSheetId="9" hidden="1">'P5'!$H$128</definedName>
    <definedName name="QB_ROW_618270" localSheetId="8" hidden="1">'P6'!$H$114</definedName>
    <definedName name="QB_ROW_618270" localSheetId="5" hidden="1">'P8'!$H$106</definedName>
    <definedName name="QB_ROW_618270" localSheetId="4" hidden="1">'P9'!$H$109</definedName>
    <definedName name="QB_ROW_618270" localSheetId="3" hidden="1">P9.!$H$112</definedName>
    <definedName name="QB_ROW_618270" localSheetId="17" hidden="1">'TFI &amp; TeKSS-Feb 27-Apr 2'!$H$123</definedName>
    <definedName name="QB_ROW_619270" localSheetId="0" hidden="1">'May VS June'!$H$120</definedName>
    <definedName name="QB_ROW_619270" localSheetId="2" hidden="1">'P10'!$H$109</definedName>
    <definedName name="QB_ROW_619270" localSheetId="9" hidden="1">'P5'!$H$129</definedName>
    <definedName name="QB_ROW_619270" localSheetId="8" hidden="1">'P6'!$H$115</definedName>
    <definedName name="QB_ROW_619270" localSheetId="5" hidden="1">'P8'!$H$107</definedName>
    <definedName name="QB_ROW_619270" localSheetId="4" hidden="1">'P9'!$H$110</definedName>
    <definedName name="QB_ROW_619270" localSheetId="3" hidden="1">P9.!$H$113</definedName>
    <definedName name="QB_ROW_619270" localSheetId="17" hidden="1">'TFI &amp; TeKSS-Feb 27-Apr 2'!$H$124</definedName>
    <definedName name="QB_ROW_628270" localSheetId="17" hidden="1">'TFI &amp; TeKSS-Feb 27-Apr 2'!$H$135</definedName>
    <definedName name="QB_ROW_629270" localSheetId="0" hidden="1">'May VS June'!$H$131</definedName>
    <definedName name="QB_ROW_629270" localSheetId="9" hidden="1">'P5'!$H$140</definedName>
    <definedName name="QB_ROW_629270" localSheetId="8" hidden="1">'P6'!$H$126</definedName>
    <definedName name="QB_ROW_629270" localSheetId="17" hidden="1">'TFI &amp; TeKSS-Feb 27-Apr 2'!$H$133</definedName>
    <definedName name="QB_ROW_630270" localSheetId="0" hidden="1">'May VS June'!$H$140</definedName>
    <definedName name="QB_ROW_630270" localSheetId="2" hidden="1">'P10'!$H$126</definedName>
    <definedName name="QB_ROW_630270" localSheetId="9" hidden="1">'P5'!$H$150</definedName>
    <definedName name="QB_ROW_630270" localSheetId="8" hidden="1">'P6'!$H$135</definedName>
    <definedName name="QB_ROW_632270" localSheetId="0" hidden="1">'May VS June'!$H$156</definedName>
    <definedName name="QB_ROW_632270" localSheetId="2" hidden="1">'P10'!$H$140</definedName>
    <definedName name="QB_ROW_632270" localSheetId="9" hidden="1">'P5'!$H$162</definedName>
    <definedName name="QB_ROW_632270" localSheetId="8" hidden="1">'P6'!$H$151</definedName>
    <definedName name="QB_ROW_632270" localSheetId="6" hidden="1">'P7'!$H$150</definedName>
    <definedName name="QB_ROW_632270" localSheetId="5" hidden="1">'P8'!$H$131</definedName>
    <definedName name="QB_ROW_632270" localSheetId="4" hidden="1">'P9'!$H$138</definedName>
    <definedName name="QB_ROW_632270" localSheetId="3" hidden="1">P9.!$H$140</definedName>
    <definedName name="QB_ROW_632270" localSheetId="17" hidden="1">'TFI &amp; TeKSS-Feb 27-Apr 2'!$H$160</definedName>
    <definedName name="QB_ROW_633050" localSheetId="0" hidden="1">'May VS June'!$F$148</definedName>
    <definedName name="QB_ROW_633050" localSheetId="2" hidden="1">'P10'!$F$133</definedName>
    <definedName name="QB_ROW_633050" localSheetId="9" hidden="1">'P5'!$F$155</definedName>
    <definedName name="QB_ROW_633050" localSheetId="8" hidden="1">'P6'!$F$143</definedName>
    <definedName name="QB_ROW_633050" localSheetId="6" hidden="1">'P7'!$F$141</definedName>
    <definedName name="QB_ROW_633050" localSheetId="5" hidden="1">'P8'!$F$124</definedName>
    <definedName name="QB_ROW_633050" localSheetId="4" hidden="1">'P9'!$F$131</definedName>
    <definedName name="QB_ROW_633050" localSheetId="3" hidden="1">P9.!$F$133</definedName>
    <definedName name="QB_ROW_633050" localSheetId="17" hidden="1">'TFI &amp; TeKSS-Feb 27-Apr 2'!$F$149</definedName>
    <definedName name="QB_ROW_633350" localSheetId="0" hidden="1">'May VS June'!$F$159</definedName>
    <definedName name="QB_ROW_633350" localSheetId="2" hidden="1">'P10'!$F$143</definedName>
    <definedName name="QB_ROW_633350" localSheetId="9" hidden="1">'P5'!$F$165</definedName>
    <definedName name="QB_ROW_633350" localSheetId="8" hidden="1">'P6'!$F$154</definedName>
    <definedName name="QB_ROW_633350" localSheetId="6" hidden="1">'P7'!$F$152</definedName>
    <definedName name="QB_ROW_633350" localSheetId="5" hidden="1">'P8'!$F$133</definedName>
    <definedName name="QB_ROW_633350" localSheetId="4" hidden="1">'P9'!$F$140</definedName>
    <definedName name="QB_ROW_633350" localSheetId="3" hidden="1">P9.!$F$142</definedName>
    <definedName name="QB_ROW_633350" localSheetId="17" hidden="1">'TFI &amp; TeKSS-Feb 27-Apr 2'!$F$162</definedName>
    <definedName name="QB_ROW_634270" localSheetId="0" hidden="1">'May VS June'!$H$151</definedName>
    <definedName name="QB_ROW_634270" localSheetId="2" hidden="1">'P10'!$H$136</definedName>
    <definedName name="QB_ROW_634270" localSheetId="9" hidden="1">'P5'!$H$157</definedName>
    <definedName name="QB_ROW_634270" localSheetId="8" hidden="1">'P6'!$H$146</definedName>
    <definedName name="QB_ROW_634270" localSheetId="6" hidden="1">'P7'!$H$144</definedName>
    <definedName name="QB_ROW_634270" localSheetId="5" hidden="1">'P8'!$H$127</definedName>
    <definedName name="QB_ROW_634270" localSheetId="4" hidden="1">'P9'!$H$134</definedName>
    <definedName name="QB_ROW_634270" localSheetId="3" hidden="1">P9.!$H$136</definedName>
    <definedName name="QB_ROW_637270" localSheetId="0" hidden="1">'May VS June'!$H$155</definedName>
    <definedName name="QB_ROW_637270" localSheetId="2" hidden="1">'P10'!$H$139</definedName>
    <definedName name="QB_ROW_637270" localSheetId="9" hidden="1">'P5'!$H$161</definedName>
    <definedName name="QB_ROW_637270" localSheetId="8" hidden="1">'P6'!$H$150</definedName>
    <definedName name="QB_ROW_637270" localSheetId="6" hidden="1">'P7'!$H$148</definedName>
    <definedName name="QB_ROW_637270" localSheetId="5" hidden="1">'P8'!$H$130</definedName>
    <definedName name="QB_ROW_637270" localSheetId="4" hidden="1">'P9'!$H$137</definedName>
    <definedName name="QB_ROW_637270" localSheetId="3" hidden="1">P9.!$H$139</definedName>
    <definedName name="QB_ROW_637270" localSheetId="17" hidden="1">'TFI &amp; TeKSS-Feb 27-Apr 2'!$H$159</definedName>
    <definedName name="QB_ROW_639050" localSheetId="0" hidden="1">'May VS June'!$F$180</definedName>
    <definedName name="QB_ROW_639050" localSheetId="2" hidden="1">'P10'!$F$163</definedName>
    <definedName name="QB_ROW_639050" localSheetId="9" hidden="1">'P5'!$F$186</definedName>
    <definedName name="QB_ROW_639050" localSheetId="8" hidden="1">'P6'!$F$175</definedName>
    <definedName name="QB_ROW_639050" localSheetId="6" hidden="1">'P7'!$F$174</definedName>
    <definedName name="QB_ROW_639050" localSheetId="5" hidden="1">'P8'!$F$152</definedName>
    <definedName name="QB_ROW_639050" localSheetId="4" hidden="1">'P9'!$F$161</definedName>
    <definedName name="QB_ROW_639050" localSheetId="3" hidden="1">P9.!$F$163</definedName>
    <definedName name="QB_ROW_639050" localSheetId="17" hidden="1">'TFI &amp; TeKSS-Feb 27-Apr 2'!$F$192</definedName>
    <definedName name="QB_ROW_639350" localSheetId="0" hidden="1">'May VS June'!$F$184</definedName>
    <definedName name="QB_ROW_639350" localSheetId="2" hidden="1">'P10'!$F$165</definedName>
    <definedName name="QB_ROW_639350" localSheetId="9" hidden="1">'P5'!$F$190</definedName>
    <definedName name="QB_ROW_639350" localSheetId="8" hidden="1">'P6'!$F$179</definedName>
    <definedName name="QB_ROW_639350" localSheetId="6" hidden="1">'P7'!$F$178</definedName>
    <definedName name="QB_ROW_639350" localSheetId="5" hidden="1">'P8'!$F$154</definedName>
    <definedName name="QB_ROW_639350" localSheetId="4" hidden="1">'P9'!$F$163</definedName>
    <definedName name="QB_ROW_639350" localSheetId="3" hidden="1">P9.!$F$165</definedName>
    <definedName name="QB_ROW_639350" localSheetId="17" hidden="1">'TFI &amp; TeKSS-Feb 27-Apr 2'!$F$194</definedName>
    <definedName name="QB_ROW_640260" localSheetId="0" hidden="1">'May VS June'!$G$181</definedName>
    <definedName name="QB_ROW_640260" localSheetId="9" hidden="1">'P5'!$G$187</definedName>
    <definedName name="QB_ROW_640260" localSheetId="8" hidden="1">'P6'!$G$176</definedName>
    <definedName name="QB_ROW_640260" localSheetId="6" hidden="1">'P7'!$G$175</definedName>
    <definedName name="QB_ROW_641260" localSheetId="2" hidden="1">'P10'!$G$164</definedName>
    <definedName name="QB_ROW_641260" localSheetId="4" hidden="1">'P9'!$G$162</definedName>
    <definedName name="QB_ROW_641260" localSheetId="3" hidden="1">P9.!$G$164</definedName>
    <definedName name="QB_ROW_642260" localSheetId="0" hidden="1">'May VS June'!$G$183</definedName>
    <definedName name="QB_ROW_642260" localSheetId="9" hidden="1">'P5'!$G$189</definedName>
    <definedName name="QB_ROW_642260" localSheetId="8" hidden="1">'P6'!$G$178</definedName>
    <definedName name="QB_ROW_642260" localSheetId="6" hidden="1">'P7'!$G$177</definedName>
    <definedName name="QB_ROW_642260" localSheetId="5" hidden="1">'P8'!$G$153</definedName>
    <definedName name="QB_ROW_642260" localSheetId="17" hidden="1">'TFI &amp; TeKSS-Feb 27-Apr 2'!$G$193</definedName>
    <definedName name="QB_ROW_644270" localSheetId="0" hidden="1">'May VS June'!$H$150</definedName>
    <definedName name="QB_ROW_644270" localSheetId="2" hidden="1">'P10'!$H$135</definedName>
    <definedName name="QB_ROW_644270" localSheetId="8" hidden="1">'P6'!$H$145</definedName>
    <definedName name="QB_ROW_644270" localSheetId="6" hidden="1">'P7'!$H$143</definedName>
    <definedName name="QB_ROW_644270" localSheetId="5" hidden="1">'P8'!$H$126</definedName>
    <definedName name="QB_ROW_644270" localSheetId="4" hidden="1">'P9'!$H$133</definedName>
    <definedName name="QB_ROW_644270" localSheetId="3" hidden="1">P9.!$H$135</definedName>
    <definedName name="QB_ROW_644270" localSheetId="17" hidden="1">'TFI &amp; TeKSS-Feb 27-Apr 2'!$H$151</definedName>
    <definedName name="QB_ROW_645270" localSheetId="0" hidden="1">'May VS June'!$H$157</definedName>
    <definedName name="QB_ROW_645270" localSheetId="2" hidden="1">'P10'!$H$141</definedName>
    <definedName name="QB_ROW_645270" localSheetId="9" hidden="1">'P5'!$H$163</definedName>
    <definedName name="QB_ROW_645270" localSheetId="8" hidden="1">'P6'!$H$152</definedName>
    <definedName name="QB_ROW_646250" localSheetId="9" hidden="1">'P5'!$F$5</definedName>
    <definedName name="QB_ROW_648270" localSheetId="0" hidden="1">'May VS June'!$H$141</definedName>
    <definedName name="QB_ROW_648270" localSheetId="9" hidden="1">'P5'!$H$151</definedName>
    <definedName name="QB_ROW_648270" localSheetId="8" hidden="1">'P6'!$H$136</definedName>
    <definedName name="QB_ROW_650260" localSheetId="0" hidden="1">'May VS June'!$G$182</definedName>
    <definedName name="QB_ROW_650260" localSheetId="9" hidden="1">'P5'!$G$188</definedName>
    <definedName name="QB_ROW_650260" localSheetId="8" hidden="1">'P6'!$G$177</definedName>
    <definedName name="QB_ROW_659270" localSheetId="0" hidden="1">'May VS June'!$H$58</definedName>
    <definedName name="QB_ROW_659270" localSheetId="2" hidden="1">'P10'!$H$52</definedName>
    <definedName name="QB_ROW_659270" localSheetId="9" hidden="1">'P5'!$H$61</definedName>
    <definedName name="QB_ROW_659270" localSheetId="8" hidden="1">'P6'!$H$53</definedName>
    <definedName name="QB_ROW_659270" localSheetId="6" hidden="1">'P7'!$H$57</definedName>
    <definedName name="QB_ROW_659270" localSheetId="4" hidden="1">'P9'!$H$53</definedName>
    <definedName name="QB_ROW_659270" localSheetId="3" hidden="1">P9.!$H$53</definedName>
    <definedName name="QB_ROW_659270" localSheetId="17" hidden="1">'TFI &amp; TeKSS-Feb 27-Apr 2'!$H$73</definedName>
    <definedName name="QB_ROW_671050" localSheetId="2" hidden="1">'P10'!$F$9</definedName>
    <definedName name="QB_ROW_671050" localSheetId="6" hidden="1">'P7'!$F$9</definedName>
    <definedName name="QB_ROW_671050" localSheetId="5" hidden="1">'P8'!$F$9</definedName>
    <definedName name="QB_ROW_671050" localSheetId="4" hidden="1">'P9'!$F$9</definedName>
    <definedName name="QB_ROW_671050" localSheetId="3" hidden="1">P9.!$F$9</definedName>
    <definedName name="QB_ROW_671050" localSheetId="17" hidden="1">'TFI &amp; TeKSS-Feb 27-Apr 2'!$F$10</definedName>
    <definedName name="QB_ROW_671350" localSheetId="2" hidden="1">'P10'!$F$11</definedName>
    <definedName name="QB_ROW_671350" localSheetId="6" hidden="1">'P7'!$F$11</definedName>
    <definedName name="QB_ROW_671350" localSheetId="5" hidden="1">'P8'!$F$11</definedName>
    <definedName name="QB_ROW_671350" localSheetId="4" hidden="1">'P9'!$F$11</definedName>
    <definedName name="QB_ROW_671350" localSheetId="3" hidden="1">P9.!$F$11</definedName>
    <definedName name="QB_ROW_671350" localSheetId="17" hidden="1">'TFI &amp; TeKSS-Feb 27-Apr 2'!$F$22</definedName>
    <definedName name="QB_ROW_672260" localSheetId="6" hidden="1">'P7'!$G$10</definedName>
    <definedName name="QB_ROW_672260" localSheetId="17" hidden="1">'TFI &amp; TeKSS-Feb 27-Apr 2'!$G$11</definedName>
    <definedName name="QB_ROW_673260" localSheetId="2" hidden="1">'P10'!$G$10</definedName>
    <definedName name="QB_ROW_673260" localSheetId="5" hidden="1">'P8'!$G$10</definedName>
    <definedName name="QB_ROW_673260" localSheetId="4" hidden="1">'P9'!$G$10</definedName>
    <definedName name="QB_ROW_673260" localSheetId="3" hidden="1">P9.!$G$10</definedName>
    <definedName name="QB_ROW_673260" localSheetId="17" hidden="1">'TFI &amp; TeKSS-Feb 27-Apr 2'!$G$13</definedName>
    <definedName name="QB_ROW_675260" localSheetId="17" hidden="1">'TFI &amp; TeKSS-Feb 27-Apr 2'!$G$16</definedName>
    <definedName name="QB_ROW_676260" localSheetId="17" hidden="1">'TFI &amp; TeKSS-Feb 27-Apr 2'!$G$17</definedName>
    <definedName name="QB_ROW_677260" localSheetId="17" hidden="1">'TFI &amp; TeKSS-Feb 27-Apr 2'!$G$14</definedName>
    <definedName name="QB_ROW_678260" localSheetId="17" hidden="1">'TFI &amp; TeKSS-Feb 27-Apr 2'!$G$12</definedName>
    <definedName name="QB_ROW_681260" localSheetId="17" hidden="1">'TFI &amp; TeKSS-Feb 27-Apr 2'!$G$15</definedName>
    <definedName name="QB_ROW_685260" localSheetId="17" hidden="1">'TFI &amp; TeKSS-Feb 27-Apr 2'!$G$19</definedName>
    <definedName name="QB_ROW_686260" localSheetId="17" hidden="1">'TFI &amp; TeKSS-Feb 27-Apr 2'!$G$20</definedName>
    <definedName name="QB_ROW_689260" localSheetId="17" hidden="1">'TFI &amp; TeKSS-Feb 27-Apr 2'!$G$18</definedName>
    <definedName name="QB_ROW_690270" localSheetId="0" hidden="1">'May VS June'!$H$133</definedName>
    <definedName name="QB_ROW_690270" localSheetId="9" hidden="1">'P5'!$H$142</definedName>
    <definedName name="QB_ROW_690270" localSheetId="8" hidden="1">'P6'!$H$128</definedName>
    <definedName name="QB_ROW_690270" localSheetId="17" hidden="1">'TFI &amp; TeKSS-Feb 27-Apr 2'!$H$136</definedName>
    <definedName name="QB_ROW_692270" localSheetId="0" hidden="1">'May VS June'!$H$112</definedName>
    <definedName name="QB_ROW_692270" localSheetId="2" hidden="1">'P10'!$H$100</definedName>
    <definedName name="QB_ROW_692270" localSheetId="9" hidden="1">'P5'!$H$119</definedName>
    <definedName name="QB_ROW_692270" localSheetId="8" hidden="1">'P6'!$H$107</definedName>
    <definedName name="QB_ROW_692270" localSheetId="6" hidden="1">'P7'!$H$109</definedName>
    <definedName name="QB_ROW_692270" localSheetId="4" hidden="1">'P9'!$H$103</definedName>
    <definedName name="QB_ROW_692270" localSheetId="3" hidden="1">P9.!$H$106</definedName>
    <definedName name="QB_ROW_692270" localSheetId="17" hidden="1">'TFI &amp; TeKSS-Feb 27-Apr 2'!$H$118</definedName>
    <definedName name="QB_ROW_696260" localSheetId="9" hidden="1">'P5'!$G$21</definedName>
    <definedName name="QB_ROW_696260" localSheetId="17" hidden="1">'TFI &amp; TeKSS-Feb 27-Apr 2'!$G$36</definedName>
    <definedName name="QB_ROW_697260" localSheetId="9" hidden="1">'P5'!$G$22</definedName>
    <definedName name="QB_ROW_697260" localSheetId="5" hidden="1">'P8'!$G$25</definedName>
    <definedName name="QB_ROW_697260" localSheetId="17" hidden="1">'TFI &amp; TeKSS-Feb 27-Apr 2'!$G$37</definedName>
    <definedName name="QB_ROW_698260" localSheetId="9" hidden="1">'P5'!$G$23</definedName>
    <definedName name="QB_ROW_698260" localSheetId="17" hidden="1">'TFI &amp; TeKSS-Feb 27-Apr 2'!$G$38</definedName>
    <definedName name="QB_ROW_699260" localSheetId="9" hidden="1">'P5'!$G$24</definedName>
    <definedName name="QB_ROW_699260" localSheetId="5" hidden="1">'P8'!$G$26</definedName>
    <definedName name="QB_ROW_699260" localSheetId="17" hidden="1">'TFI &amp; TeKSS-Feb 27-Apr 2'!$G$39</definedName>
    <definedName name="QB_ROW_700260" localSheetId="17" hidden="1">'TFI &amp; TeKSS-Feb 27-Apr 2'!$G$40</definedName>
    <definedName name="QB_ROW_701260" localSheetId="17" hidden="1">'TFI &amp; TeKSS-Feb 27-Apr 2'!$G$41</definedName>
    <definedName name="QB_ROW_703260" localSheetId="2" hidden="1">'P10'!$G$25</definedName>
    <definedName name="QB_ROW_703260" localSheetId="4" hidden="1">'P9'!$G$27</definedName>
    <definedName name="QB_ROW_703260" localSheetId="3" hidden="1">P9.!$G$27</definedName>
    <definedName name="QB_ROW_703260" localSheetId="17" hidden="1">'TFI &amp; TeKSS-Feb 27-Apr 2'!$G$42</definedName>
    <definedName name="QB_ROW_7040" localSheetId="19" hidden="1">'TeKSS - Jan 2nd to 29th'!$E$7</definedName>
    <definedName name="QB_ROW_704260" localSheetId="17" hidden="1">'TFI &amp; TeKSS-Feb 27-Apr 2'!$G$21</definedName>
    <definedName name="QB_ROW_706260" localSheetId="0" hidden="1">'May VS June'!$G$25</definedName>
    <definedName name="QB_ROW_706260" localSheetId="2" hidden="1">'P10'!$G$26</definedName>
    <definedName name="QB_ROW_706260" localSheetId="9" hidden="1">'P5'!$G$25</definedName>
    <definedName name="QB_ROW_706260" localSheetId="8" hidden="1">'P6'!$G$21</definedName>
    <definedName name="QB_ROW_706260" localSheetId="6" hidden="1">'P7'!$G$25</definedName>
    <definedName name="QB_ROW_706260" localSheetId="17" hidden="1">'TFI &amp; TeKSS-Feb 27-Apr 2'!$G$43</definedName>
    <definedName name="QB_ROW_707260" localSheetId="17" hidden="1">'TFI &amp; TeKSS-Feb 27-Apr 2'!$G$44</definedName>
    <definedName name="QB_ROW_709260" localSheetId="9" hidden="1">'P5'!$G$30</definedName>
    <definedName name="QB_ROW_713270" localSheetId="0" hidden="1">'May VS June'!$H$134</definedName>
    <definedName name="QB_ROW_713270" localSheetId="2" hidden="1">'P10'!$H$120</definedName>
    <definedName name="QB_ROW_713270" localSheetId="9" hidden="1">'P5'!$H$143</definedName>
    <definedName name="QB_ROW_713270" localSheetId="8" hidden="1">'P6'!$H$129</definedName>
    <definedName name="QB_ROW_713270" localSheetId="17" hidden="1">'TFI &amp; TeKSS-Feb 27-Apr 2'!$H$137</definedName>
    <definedName name="QB_ROW_719050" localSheetId="17" hidden="1">'TFI &amp; TeKSS-Feb 27-Apr 2'!$F$163</definedName>
    <definedName name="QB_ROW_719350" localSheetId="17" hidden="1">'TFI &amp; TeKSS-Feb 27-Apr 2'!$F$174</definedName>
    <definedName name="QB_ROW_722060" localSheetId="17" hidden="1">'TFI &amp; TeKSS-Feb 27-Apr 2'!$G$168</definedName>
    <definedName name="QB_ROW_722360" localSheetId="17" hidden="1">'TFI &amp; TeKSS-Feb 27-Apr 2'!$G$173</definedName>
    <definedName name="QB_ROW_723270" localSheetId="17" hidden="1">'TFI &amp; TeKSS-Feb 27-Apr 2'!$H$169</definedName>
    <definedName name="QB_ROW_724270" localSheetId="17" hidden="1">'TFI &amp; TeKSS-Feb 27-Apr 2'!$H$172</definedName>
    <definedName name="QB_ROW_726270" localSheetId="17" hidden="1">'TFI &amp; TeKSS-Feb 27-Apr 2'!$H$170</definedName>
    <definedName name="QB_ROW_727270" localSheetId="17" hidden="1">'TFI &amp; TeKSS-Feb 27-Apr 2'!$H$171</definedName>
    <definedName name="QB_ROW_729270" localSheetId="17" hidden="1">'TFI &amp; TeKSS-Feb 27-Apr 2'!$H$166</definedName>
    <definedName name="QB_ROW_7340" localSheetId="19" hidden="1">'TeKSS - Jan 2nd to 29th'!$E$9</definedName>
    <definedName name="QB_ROW_736270" localSheetId="17" hidden="1">'TFI &amp; TeKSS-Feb 27-Apr 2'!$H$165</definedName>
    <definedName name="QB_ROW_740050" localSheetId="0" hidden="1">'May VS June'!$F$160</definedName>
    <definedName name="QB_ROW_740050" localSheetId="2" hidden="1">'P10'!$F$144</definedName>
    <definedName name="QB_ROW_740050" localSheetId="9" hidden="1">'P5'!$F$166</definedName>
    <definedName name="QB_ROW_740050" localSheetId="8" hidden="1">'P6'!$F$155</definedName>
    <definedName name="QB_ROW_740050" localSheetId="6" hidden="1">'P7'!$F$153</definedName>
    <definedName name="QB_ROW_740050" localSheetId="5" hidden="1">'P8'!$F$134</definedName>
    <definedName name="QB_ROW_740050" localSheetId="4" hidden="1">'P9'!$F$141</definedName>
    <definedName name="QB_ROW_740050" localSheetId="3" hidden="1">P9.!$F$143</definedName>
    <definedName name="QB_ROW_740050" localSheetId="17" hidden="1">'TFI &amp; TeKSS-Feb 27-Apr 2'!$F$175</definedName>
    <definedName name="QB_ROW_740350" localSheetId="0" hidden="1">'May VS June'!$F$179</definedName>
    <definedName name="QB_ROW_740350" localSheetId="2" hidden="1">'P10'!$F$162</definedName>
    <definedName name="QB_ROW_740350" localSheetId="9" hidden="1">'P5'!$F$185</definedName>
    <definedName name="QB_ROW_740350" localSheetId="8" hidden="1">'P6'!$F$174</definedName>
    <definedName name="QB_ROW_740350" localSheetId="6" hidden="1">'P7'!$F$173</definedName>
    <definedName name="QB_ROW_740350" localSheetId="5" hidden="1">'P8'!$F$151</definedName>
    <definedName name="QB_ROW_740350" localSheetId="4" hidden="1">'P9'!$F$160</definedName>
    <definedName name="QB_ROW_740350" localSheetId="3" hidden="1">P9.!$F$162</definedName>
    <definedName name="QB_ROW_740350" localSheetId="17" hidden="1">'TFI &amp; TeKSS-Feb 27-Apr 2'!$F$191</definedName>
    <definedName name="QB_ROW_741060" localSheetId="0" hidden="1">'May VS June'!$G$161</definedName>
    <definedName name="QB_ROW_741060" localSheetId="2" hidden="1">'P10'!$G$145</definedName>
    <definedName name="QB_ROW_741060" localSheetId="9" hidden="1">'P5'!$G$167</definedName>
    <definedName name="QB_ROW_741060" localSheetId="8" hidden="1">'P6'!$G$156</definedName>
    <definedName name="QB_ROW_741060" localSheetId="6" hidden="1">'P7'!$G$154</definedName>
    <definedName name="QB_ROW_741060" localSheetId="5" hidden="1">'P8'!$G$135</definedName>
    <definedName name="QB_ROW_741060" localSheetId="4" hidden="1">'P9'!$G$142</definedName>
    <definedName name="QB_ROW_741060" localSheetId="3" hidden="1">P9.!$G$144</definedName>
    <definedName name="QB_ROW_741060" localSheetId="17" hidden="1">'TFI &amp; TeKSS-Feb 27-Apr 2'!$G$176</definedName>
    <definedName name="QB_ROW_741360" localSheetId="0" hidden="1">'May VS June'!$G$168</definedName>
    <definedName name="QB_ROW_741360" localSheetId="2" hidden="1">'P10'!$G$152</definedName>
    <definedName name="QB_ROW_741360" localSheetId="9" hidden="1">'P5'!$G$174</definedName>
    <definedName name="QB_ROW_741360" localSheetId="8" hidden="1">'P6'!$G$163</definedName>
    <definedName name="QB_ROW_741360" localSheetId="6" hidden="1">'P7'!$G$160</definedName>
    <definedName name="QB_ROW_741360" localSheetId="5" hidden="1">'P8'!$G$140</definedName>
    <definedName name="QB_ROW_741360" localSheetId="4" hidden="1">'P9'!$G$149</definedName>
    <definedName name="QB_ROW_741360" localSheetId="3" hidden="1">P9.!$G$151</definedName>
    <definedName name="QB_ROW_741360" localSheetId="17" hidden="1">'TFI &amp; TeKSS-Feb 27-Apr 2'!$G$182</definedName>
    <definedName name="QB_ROW_742070" localSheetId="0" hidden="1">'May VS June'!$H$163</definedName>
    <definedName name="QB_ROW_742070" localSheetId="2" hidden="1">'P10'!$H$147</definedName>
    <definedName name="QB_ROW_742070" localSheetId="9" hidden="1">'P5'!$H$169</definedName>
    <definedName name="QB_ROW_742070" localSheetId="8" hidden="1">'P6'!$H$158</definedName>
    <definedName name="QB_ROW_742070" localSheetId="6" hidden="1">'P7'!$H$156</definedName>
    <definedName name="QB_ROW_742070" localSheetId="5" hidden="1">'P8'!$H$136</definedName>
    <definedName name="QB_ROW_742070" localSheetId="4" hidden="1">'P9'!$H$144</definedName>
    <definedName name="QB_ROW_742070" localSheetId="3" hidden="1">P9.!$H$146</definedName>
    <definedName name="QB_ROW_742070" localSheetId="17" hidden="1">'TFI &amp; TeKSS-Feb 27-Apr 2'!$H$178</definedName>
    <definedName name="QB_ROW_742280" localSheetId="0" hidden="1">'May VS June'!$I$165</definedName>
    <definedName name="QB_ROW_742280" localSheetId="2" hidden="1">'P10'!$I$149</definedName>
    <definedName name="QB_ROW_742280" localSheetId="9" hidden="1">'P5'!$I$171</definedName>
    <definedName name="QB_ROW_742280" localSheetId="8" hidden="1">'P6'!$I$160</definedName>
    <definedName name="QB_ROW_742280" localSheetId="6" hidden="1">'P7'!$I$158</definedName>
    <definedName name="QB_ROW_742280" localSheetId="5" hidden="1">'P8'!$I$138</definedName>
    <definedName name="QB_ROW_742280" localSheetId="4" hidden="1">'P9'!$I$146</definedName>
    <definedName name="QB_ROW_742280" localSheetId="3" hidden="1">P9.!$I$148</definedName>
    <definedName name="QB_ROW_742280" localSheetId="17" hidden="1">'TFI &amp; TeKSS-Feb 27-Apr 2'!$I$180</definedName>
    <definedName name="QB_ROW_742370" localSheetId="0" hidden="1">'May VS June'!$H$166</definedName>
    <definedName name="QB_ROW_742370" localSheetId="2" hidden="1">'P10'!$H$150</definedName>
    <definedName name="QB_ROW_742370" localSheetId="9" hidden="1">'P5'!$H$172</definedName>
    <definedName name="QB_ROW_742370" localSheetId="8" hidden="1">'P6'!$H$161</definedName>
    <definedName name="QB_ROW_742370" localSheetId="6" hidden="1">'P7'!$H$159</definedName>
    <definedName name="QB_ROW_742370" localSheetId="5" hidden="1">'P8'!$H$139</definedName>
    <definedName name="QB_ROW_742370" localSheetId="4" hidden="1">'P9'!$H$147</definedName>
    <definedName name="QB_ROW_742370" localSheetId="3" hidden="1">P9.!$H$149</definedName>
    <definedName name="QB_ROW_742370" localSheetId="17" hidden="1">'TFI &amp; TeKSS-Feb 27-Apr 2'!$H$181</definedName>
    <definedName name="QB_ROW_74270" localSheetId="0" hidden="1">'May VS June'!$H$209</definedName>
    <definedName name="QB_ROW_74270" localSheetId="2" hidden="1">'P10'!$H$182</definedName>
    <definedName name="QB_ROW_74270" localSheetId="9" hidden="1">'P5'!#REF!</definedName>
    <definedName name="QB_ROW_74270" localSheetId="8" hidden="1">'P6'!#REF!</definedName>
    <definedName name="QB_ROW_74270" localSheetId="6" hidden="1">'P7'!#REF!</definedName>
    <definedName name="QB_ROW_74270" localSheetId="5" hidden="1">'P8'!$H$169</definedName>
    <definedName name="QB_ROW_743060" localSheetId="0" hidden="1">'May VS June'!$G$175</definedName>
    <definedName name="QB_ROW_743060" localSheetId="2" hidden="1">'P10'!$G$158</definedName>
    <definedName name="QB_ROW_743060" localSheetId="9" hidden="1">'P5'!$G$181</definedName>
    <definedName name="QB_ROW_743060" localSheetId="8" hidden="1">'P6'!$G$170</definedName>
    <definedName name="QB_ROW_743060" localSheetId="6" hidden="1">'P7'!$G$161</definedName>
    <definedName name="QB_ROW_743060" localSheetId="5" hidden="1">'P8'!$G$147</definedName>
    <definedName name="QB_ROW_743060" localSheetId="4" hidden="1">'P9'!$G$155</definedName>
    <definedName name="QB_ROW_743060" localSheetId="3" hidden="1">P9.!$G$157</definedName>
    <definedName name="QB_ROW_743060" localSheetId="17" hidden="1">'TFI &amp; TeKSS-Feb 27-Apr 2'!$G$188</definedName>
    <definedName name="QB_ROW_743360" localSheetId="0" hidden="1">'May VS June'!$G$178</definedName>
    <definedName name="QB_ROW_743360" localSheetId="2" hidden="1">'P10'!$G$161</definedName>
    <definedName name="QB_ROW_743360" localSheetId="9" hidden="1">'P5'!$G$184</definedName>
    <definedName name="QB_ROW_743360" localSheetId="8" hidden="1">'P6'!$G$173</definedName>
    <definedName name="QB_ROW_743360" localSheetId="6" hidden="1">'P7'!$G$164</definedName>
    <definedName name="QB_ROW_743360" localSheetId="5" hidden="1">'P8'!$G$150</definedName>
    <definedName name="QB_ROW_743360" localSheetId="4" hidden="1">'P9'!$G$159</definedName>
    <definedName name="QB_ROW_743360" localSheetId="3" hidden="1">P9.!$G$161</definedName>
    <definedName name="QB_ROW_743360" localSheetId="17" hidden="1">'TFI &amp; TeKSS-Feb 27-Apr 2'!$G$190</definedName>
    <definedName name="QB_ROW_744270" localSheetId="0" hidden="1">'May VS June'!$H$176</definedName>
    <definedName name="QB_ROW_744270" localSheetId="2" hidden="1">'P10'!$H$159</definedName>
    <definedName name="QB_ROW_744270" localSheetId="9" hidden="1">'P5'!$H$182</definedName>
    <definedName name="QB_ROW_744270" localSheetId="8" hidden="1">'P6'!$H$171</definedName>
    <definedName name="QB_ROW_744270" localSheetId="6" hidden="1">'P7'!$H$162</definedName>
    <definedName name="QB_ROW_744270" localSheetId="5" hidden="1">'P8'!$H$148</definedName>
    <definedName name="QB_ROW_744270" localSheetId="4" hidden="1">'P9'!$H$157</definedName>
    <definedName name="QB_ROW_744270" localSheetId="3" hidden="1">P9.!$H$159</definedName>
    <definedName name="QB_ROW_745270" localSheetId="0" hidden="1">'May VS June'!$H$251</definedName>
    <definedName name="QB_ROW_745270" localSheetId="8" hidden="1">'P6'!$H$204</definedName>
    <definedName name="QB_ROW_745270" localSheetId="6" hidden="1">'P7'!$H$228</definedName>
    <definedName name="QB_ROW_750240" localSheetId="4" hidden="1">'P9'!$E$226</definedName>
    <definedName name="QB_ROW_750240" localSheetId="3" hidden="1">P9.!$E$228</definedName>
    <definedName name="QB_ROW_752060" localSheetId="0" hidden="1">'May VS June'!$G$169</definedName>
    <definedName name="QB_ROW_752060" localSheetId="2" hidden="1">'P10'!$G$153</definedName>
    <definedName name="QB_ROW_752060" localSheetId="9" hidden="1">'P5'!$G$175</definedName>
    <definedName name="QB_ROW_752060" localSheetId="8" hidden="1">'P6'!$G$164</definedName>
    <definedName name="QB_ROW_752060" localSheetId="5" hidden="1">'P8'!$G$141</definedName>
    <definedName name="QB_ROW_752060" localSheetId="4" hidden="1">'P9'!$G$150</definedName>
    <definedName name="QB_ROW_752060" localSheetId="3" hidden="1">P9.!$G$152</definedName>
    <definedName name="QB_ROW_752060" localSheetId="17" hidden="1">'TFI &amp; TeKSS-Feb 27-Apr 2'!$G$183</definedName>
    <definedName name="QB_ROW_752360" localSheetId="0" hidden="1">'May VS June'!$G$174</definedName>
    <definedName name="QB_ROW_752360" localSheetId="2" hidden="1">'P10'!$G$157</definedName>
    <definedName name="QB_ROW_752360" localSheetId="9" hidden="1">'P5'!$G$180</definedName>
    <definedName name="QB_ROW_752360" localSheetId="8" hidden="1">'P6'!$G$169</definedName>
    <definedName name="QB_ROW_752360" localSheetId="5" hidden="1">'P8'!$G$146</definedName>
    <definedName name="QB_ROW_752360" localSheetId="4" hidden="1">'P9'!$G$154</definedName>
    <definedName name="QB_ROW_752360" localSheetId="3" hidden="1">P9.!$G$156</definedName>
    <definedName name="QB_ROW_752360" localSheetId="17" hidden="1">'TFI &amp; TeKSS-Feb 27-Apr 2'!$G$187</definedName>
    <definedName name="QB_ROW_753270" localSheetId="0" hidden="1">'May VS June'!$H$170</definedName>
    <definedName name="QB_ROW_753270" localSheetId="2" hidden="1">'P10'!$H$154</definedName>
    <definedName name="QB_ROW_753270" localSheetId="9" hidden="1">'P5'!$H$176</definedName>
    <definedName name="QB_ROW_753270" localSheetId="8" hidden="1">'P6'!$H$165</definedName>
    <definedName name="QB_ROW_753270" localSheetId="5" hidden="1">'P8'!$H$142</definedName>
    <definedName name="QB_ROW_753270" localSheetId="4" hidden="1">'P9'!$H$151</definedName>
    <definedName name="QB_ROW_753270" localSheetId="3" hidden="1">P9.!$H$153</definedName>
    <definedName name="QB_ROW_753270" localSheetId="17" hidden="1">'TFI &amp; TeKSS-Feb 27-Apr 2'!$H$184</definedName>
    <definedName name="QB_ROW_754270" localSheetId="0" hidden="1">'May VS June'!$H$171</definedName>
    <definedName name="QB_ROW_754270" localSheetId="2" hidden="1">'P10'!$H$155</definedName>
    <definedName name="QB_ROW_754270" localSheetId="9" hidden="1">'P5'!$H$177</definedName>
    <definedName name="QB_ROW_754270" localSheetId="8" hidden="1">'P6'!$H$166</definedName>
    <definedName name="QB_ROW_754270" localSheetId="5" hidden="1">'P8'!$H$143</definedName>
    <definedName name="QB_ROW_754270" localSheetId="4" hidden="1">'P9'!$H$152</definedName>
    <definedName name="QB_ROW_754270" localSheetId="3" hidden="1">P9.!$H$154</definedName>
    <definedName name="QB_ROW_754270" localSheetId="17" hidden="1">'TFI &amp; TeKSS-Feb 27-Apr 2'!$H$185</definedName>
    <definedName name="QB_ROW_755270" localSheetId="0" hidden="1">'May VS June'!$H$172</definedName>
    <definedName name="QB_ROW_755270" localSheetId="2" hidden="1">'P10'!$H$156</definedName>
    <definedName name="QB_ROW_755270" localSheetId="9" hidden="1">'P5'!$H$178</definedName>
    <definedName name="QB_ROW_755270" localSheetId="8" hidden="1">'P6'!$H$167</definedName>
    <definedName name="QB_ROW_755270" localSheetId="5" hidden="1">'P8'!$H$144</definedName>
    <definedName name="QB_ROW_755270" localSheetId="4" hidden="1">'P9'!$H$153</definedName>
    <definedName name="QB_ROW_755270" localSheetId="3" hidden="1">P9.!$H$155</definedName>
    <definedName name="QB_ROW_755270" localSheetId="17" hidden="1">'TFI &amp; TeKSS-Feb 27-Apr 2'!$H$186</definedName>
    <definedName name="QB_ROW_757060" localSheetId="0" hidden="1">'May VS June'!$G$149</definedName>
    <definedName name="QB_ROW_757060" localSheetId="2" hidden="1">'P10'!$G$134</definedName>
    <definedName name="QB_ROW_757060" localSheetId="9" hidden="1">'P5'!$G$156</definedName>
    <definedName name="QB_ROW_757060" localSheetId="8" hidden="1">'P6'!$G$144</definedName>
    <definedName name="QB_ROW_757060" localSheetId="6" hidden="1">'P7'!$G$142</definedName>
    <definedName name="QB_ROW_757060" localSheetId="5" hidden="1">'P8'!$G$125</definedName>
    <definedName name="QB_ROW_757060" localSheetId="4" hidden="1">'P9'!$G$132</definedName>
    <definedName name="QB_ROW_757060" localSheetId="3" hidden="1">P9.!$G$134</definedName>
    <definedName name="QB_ROW_757060" localSheetId="17" hidden="1">'TFI &amp; TeKSS-Feb 27-Apr 2'!$G$150</definedName>
    <definedName name="QB_ROW_757360" localSheetId="0" hidden="1">'May VS June'!$G$153</definedName>
    <definedName name="QB_ROW_757360" localSheetId="2" hidden="1">'P10'!$G$137</definedName>
    <definedName name="QB_ROW_757360" localSheetId="9" hidden="1">'P5'!$G$159</definedName>
    <definedName name="QB_ROW_757360" localSheetId="8" hidden="1">'P6'!$G$148</definedName>
    <definedName name="QB_ROW_757360" localSheetId="6" hidden="1">'P7'!$G$146</definedName>
    <definedName name="QB_ROW_757360" localSheetId="5" hidden="1">'P8'!$G$128</definedName>
    <definedName name="QB_ROW_757360" localSheetId="4" hidden="1">'P9'!$G$135</definedName>
    <definedName name="QB_ROW_757360" localSheetId="3" hidden="1">P9.!$G$137</definedName>
    <definedName name="QB_ROW_757360" localSheetId="17" hidden="1">'TFI &amp; TeKSS-Feb 27-Apr 2'!$G$154</definedName>
    <definedName name="QB_ROW_758060" localSheetId="0" hidden="1">'May VS June'!$G$154</definedName>
    <definedName name="QB_ROW_758060" localSheetId="2" hidden="1">'P10'!$G$138</definedName>
    <definedName name="QB_ROW_758060" localSheetId="9" hidden="1">'P5'!$G$160</definedName>
    <definedName name="QB_ROW_758060" localSheetId="8" hidden="1">'P6'!$G$149</definedName>
    <definedName name="QB_ROW_758060" localSheetId="6" hidden="1">'P7'!$G$147</definedName>
    <definedName name="QB_ROW_758060" localSheetId="5" hidden="1">'P8'!$G$129</definedName>
    <definedName name="QB_ROW_758060" localSheetId="4" hidden="1">'P9'!$G$136</definedName>
    <definedName name="QB_ROW_758060" localSheetId="3" hidden="1">P9.!$G$138</definedName>
    <definedName name="QB_ROW_758060" localSheetId="17" hidden="1">'TFI &amp; TeKSS-Feb 27-Apr 2'!$G$158</definedName>
    <definedName name="QB_ROW_758360" localSheetId="0" hidden="1">'May VS June'!$G$158</definedName>
    <definedName name="QB_ROW_758360" localSheetId="2" hidden="1">'P10'!$G$142</definedName>
    <definedName name="QB_ROW_758360" localSheetId="9" hidden="1">'P5'!$G$164</definedName>
    <definedName name="QB_ROW_758360" localSheetId="8" hidden="1">'P6'!$G$153</definedName>
    <definedName name="QB_ROW_758360" localSheetId="6" hidden="1">'P7'!$G$151</definedName>
    <definedName name="QB_ROW_758360" localSheetId="5" hidden="1">'P8'!$G$132</definedName>
    <definedName name="QB_ROW_758360" localSheetId="4" hidden="1">'P9'!$G$139</definedName>
    <definedName name="QB_ROW_758360" localSheetId="3" hidden="1">P9.!$G$141</definedName>
    <definedName name="QB_ROW_758360" localSheetId="17" hidden="1">'TFI &amp; TeKSS-Feb 27-Apr 2'!$G$161</definedName>
    <definedName name="QB_ROW_759060" localSheetId="17" hidden="1">'TFI &amp; TeKSS-Feb 27-Apr 2'!$G$164</definedName>
    <definedName name="QB_ROW_759360" localSheetId="17" hidden="1">'TFI &amp; TeKSS-Feb 27-Apr 2'!$G$167</definedName>
    <definedName name="QB_ROW_763270" localSheetId="0" hidden="1">'May VS June'!$H$152</definedName>
    <definedName name="QB_ROW_763270" localSheetId="9" hidden="1">'P5'!$H$158</definedName>
    <definedName name="QB_ROW_763270" localSheetId="8" hidden="1">'P6'!$H$147</definedName>
    <definedName name="QB_ROW_766270" localSheetId="0" hidden="1">'May VS June'!$H$167</definedName>
    <definedName name="QB_ROW_766270" localSheetId="2" hidden="1">'P10'!$H$151</definedName>
    <definedName name="QB_ROW_766270" localSheetId="9" hidden="1">'P5'!$H$173</definedName>
    <definedName name="QB_ROW_766270" localSheetId="8" hidden="1">'P6'!$H$162</definedName>
    <definedName name="QB_ROW_766270" localSheetId="4" hidden="1">'P9'!$H$148</definedName>
    <definedName name="QB_ROW_766270" localSheetId="3" hidden="1">P9.!$H$150</definedName>
    <definedName name="QB_ROW_767270" localSheetId="0" hidden="1">'May VS June'!$H$177</definedName>
    <definedName name="QB_ROW_767270" localSheetId="2" hidden="1">'P10'!$H$160</definedName>
    <definedName name="QB_ROW_767270" localSheetId="9" hidden="1">'P5'!$H$183</definedName>
    <definedName name="QB_ROW_767270" localSheetId="8" hidden="1">'P6'!$H$172</definedName>
    <definedName name="QB_ROW_767270" localSheetId="6" hidden="1">'P7'!$H$163</definedName>
    <definedName name="QB_ROW_767270" localSheetId="5" hidden="1">'P8'!$H$149</definedName>
    <definedName name="QB_ROW_767270" localSheetId="4" hidden="1">'P9'!$H$158</definedName>
    <definedName name="QB_ROW_767270" localSheetId="3" hidden="1">P9.!$H$160</definedName>
    <definedName name="QB_ROW_767270" localSheetId="17" hidden="1">'TFI &amp; TeKSS-Feb 27-Apr 2'!$H$189</definedName>
    <definedName name="QB_ROW_774270" localSheetId="0" hidden="1">'May VS June'!$H$220</definedName>
    <definedName name="QB_ROW_774270" localSheetId="2" hidden="1">'P10'!$H$188</definedName>
    <definedName name="QB_ROW_774270" localSheetId="9" hidden="1">'P5'!#REF!</definedName>
    <definedName name="QB_ROW_774270" localSheetId="8" hidden="1">'P6'!#REF!</definedName>
    <definedName name="QB_ROW_774270" localSheetId="6" hidden="1">'P7'!$H$205</definedName>
    <definedName name="QB_ROW_774270" localSheetId="5" hidden="1">'P8'!$H$179</definedName>
    <definedName name="QB_ROW_774270" localSheetId="4" hidden="1">'P9'!$H$187</definedName>
    <definedName name="QB_ROW_774270" localSheetId="3" hidden="1">P9.!$H$189</definedName>
    <definedName name="QB_ROW_774270" localSheetId="17" hidden="1">'TFI &amp; TeKSS-Feb 27-Apr 2'!$H$217</definedName>
    <definedName name="QB_ROW_777280" localSheetId="0" hidden="1">'May VS June'!$I$164</definedName>
    <definedName name="QB_ROW_777280" localSheetId="2" hidden="1">'P10'!$I$148</definedName>
    <definedName name="QB_ROW_777280" localSheetId="9" hidden="1">'P5'!$I$170</definedName>
    <definedName name="QB_ROW_777280" localSheetId="8" hidden="1">'P6'!$I$159</definedName>
    <definedName name="QB_ROW_777280" localSheetId="6" hidden="1">'P7'!$I$157</definedName>
    <definedName name="QB_ROW_777280" localSheetId="5" hidden="1">'P8'!$I$137</definedName>
    <definedName name="QB_ROW_777280" localSheetId="4" hidden="1">'P9'!$I$145</definedName>
    <definedName name="QB_ROW_777280" localSheetId="3" hidden="1">P9.!$I$147</definedName>
    <definedName name="QB_ROW_777280" localSheetId="17" hidden="1">'TFI &amp; TeKSS-Feb 27-Apr 2'!$I$179</definedName>
    <definedName name="QB_ROW_779270" localSheetId="0" hidden="1">'May VS June'!$H$128</definedName>
    <definedName name="QB_ROW_779270" localSheetId="2" hidden="1">'P10'!$H$116</definedName>
    <definedName name="QB_ROW_779270" localSheetId="9" hidden="1">'P5'!$H$137</definedName>
    <definedName name="QB_ROW_779270" localSheetId="8" hidden="1">'P6'!$H$123</definedName>
    <definedName name="QB_ROW_779270" localSheetId="6" hidden="1">'P7'!$H$124</definedName>
    <definedName name="QB_ROW_779270" localSheetId="17" hidden="1">'TFI &amp; TeKSS-Feb 27-Apr 2'!$H$130</definedName>
    <definedName name="QB_ROW_783260" localSheetId="4" hidden="1">'P9'!$G$19</definedName>
    <definedName name="QB_ROW_783260" localSheetId="3" hidden="1">P9.!$G$19</definedName>
    <definedName name="QB_ROW_786270" localSheetId="0" hidden="1">'May VS June'!$H$162</definedName>
    <definedName name="QB_ROW_786270" localSheetId="2" hidden="1">'P10'!$H$146</definedName>
    <definedName name="QB_ROW_786270" localSheetId="9" hidden="1">'P5'!$H$168</definedName>
    <definedName name="QB_ROW_786270" localSheetId="8" hidden="1">'P6'!$H$157</definedName>
    <definedName name="QB_ROW_786270" localSheetId="6" hidden="1">'P7'!$H$155</definedName>
    <definedName name="QB_ROW_786270" localSheetId="4" hidden="1">'P9'!$H$143</definedName>
    <definedName name="QB_ROW_786270" localSheetId="3" hidden="1">P9.!$H$145</definedName>
    <definedName name="QB_ROW_786270" localSheetId="17" hidden="1">'TFI &amp; TeKSS-Feb 27-Apr 2'!$H$177</definedName>
    <definedName name="QB_ROW_787270" localSheetId="6" hidden="1">'P7'!$H$145</definedName>
    <definedName name="QB_ROW_788260" localSheetId="17" hidden="1">'TFI &amp; TeKSS-Feb 27-Apr 2'!$G$34</definedName>
    <definedName name="QB_ROW_792050" localSheetId="0" hidden="1">'May VS June'!$F$185</definedName>
    <definedName name="QB_ROW_792050" localSheetId="9" hidden="1">'P5'!$F$191</definedName>
    <definedName name="QB_ROW_792050" localSheetId="8" hidden="1">'P6'!$F$180</definedName>
    <definedName name="QB_ROW_792050" localSheetId="6" hidden="1">'P7'!$F$179</definedName>
    <definedName name="QB_ROW_792350" localSheetId="0" hidden="1">'May VS June'!$F$187</definedName>
    <definedName name="QB_ROW_792350" localSheetId="9" hidden="1">'P5'!$F$193</definedName>
    <definedName name="QB_ROW_792350" localSheetId="8" hidden="1">'P6'!$F$182</definedName>
    <definedName name="QB_ROW_792350" localSheetId="6" hidden="1">'P7'!$F$181</definedName>
    <definedName name="QB_ROW_793260" localSheetId="0" hidden="1">'May VS June'!$G$186</definedName>
    <definedName name="QB_ROW_793260" localSheetId="9" hidden="1">'P5'!$G$192</definedName>
    <definedName name="QB_ROW_793260" localSheetId="8" hidden="1">'P6'!$G$181</definedName>
    <definedName name="QB_ROW_793260" localSheetId="6" hidden="1">'P7'!$G$180</definedName>
    <definedName name="QB_ROW_809070" localSheetId="0" hidden="1">'May VS June'!$H$236</definedName>
    <definedName name="QB_ROW_809070" localSheetId="2" hidden="1">'P10'!$H$204</definedName>
    <definedName name="QB_ROW_809070" localSheetId="8" hidden="1">'P6'!#REF!</definedName>
    <definedName name="QB_ROW_809070" localSheetId="5" hidden="1">'P8'!$H$193</definedName>
    <definedName name="QB_ROW_809070" localSheetId="4" hidden="1">'P9'!$H$202</definedName>
    <definedName name="QB_ROW_809070" localSheetId="3" hidden="1">P9.!$H$204</definedName>
    <definedName name="QB_ROW_809280" localSheetId="5" hidden="1">'P8'!$I$195</definedName>
    <definedName name="QB_ROW_809280" localSheetId="4" hidden="1">'P9'!$I$206</definedName>
    <definedName name="QB_ROW_809280" localSheetId="3" hidden="1">P9.!$I$208</definedName>
    <definedName name="QB_ROW_809370" localSheetId="0" hidden="1">'May VS June'!$H$238</definedName>
    <definedName name="QB_ROW_809370" localSheetId="2" hidden="1">'P10'!$H$208</definedName>
    <definedName name="QB_ROW_809370" localSheetId="8" hidden="1">'P6'!#REF!</definedName>
    <definedName name="QB_ROW_809370" localSheetId="5" hidden="1">'P8'!$H$196</definedName>
    <definedName name="QB_ROW_809370" localSheetId="4" hidden="1">'P9'!$H$207</definedName>
    <definedName name="QB_ROW_809370" localSheetId="3" hidden="1">P9.!$H$209</definedName>
    <definedName name="QB_ROW_810280" localSheetId="2" hidden="1">'P10'!$I$205</definedName>
    <definedName name="QB_ROW_810280" localSheetId="4" hidden="1">'P9'!$I$203</definedName>
    <definedName name="QB_ROW_810280" localSheetId="3" hidden="1">P9.!$I$205</definedName>
    <definedName name="QB_ROW_811280" localSheetId="0" hidden="1">'May VS June'!$I$237</definedName>
    <definedName name="QB_ROW_811280" localSheetId="2" hidden="1">'P10'!$I$206</definedName>
    <definedName name="QB_ROW_811280" localSheetId="8" hidden="1">'P6'!#REF!</definedName>
    <definedName name="QB_ROW_811280" localSheetId="5" hidden="1">'P8'!$I$194</definedName>
    <definedName name="QB_ROW_811280" localSheetId="4" hidden="1">'P9'!$I$204</definedName>
    <definedName name="QB_ROW_811280" localSheetId="3" hidden="1">P9.!$I$206</definedName>
    <definedName name="QB_ROW_822050" localSheetId="9" hidden="1">'P5'!$F$43</definedName>
    <definedName name="QB_ROW_822350" localSheetId="9" hidden="1">'P5'!$F$49</definedName>
    <definedName name="QB_ROW_825260" localSheetId="9" hidden="1">'P5'!$G$44</definedName>
    <definedName name="QB_ROW_828260" localSheetId="5" hidden="1">'P8'!$G$32</definedName>
    <definedName name="QB_ROW_829270" localSheetId="0" hidden="1">'May VS June'!$H$221</definedName>
    <definedName name="QB_ROW_829270" localSheetId="2" hidden="1">'P10'!$H$189</definedName>
    <definedName name="QB_ROW_829270" localSheetId="9" hidden="1">'P5'!#REF!</definedName>
    <definedName name="QB_ROW_829270" localSheetId="8" hidden="1">'P6'!#REF!</definedName>
    <definedName name="QB_ROW_829270" localSheetId="6" hidden="1">'P7'!$H$206</definedName>
    <definedName name="QB_ROW_829270" localSheetId="5" hidden="1">'P8'!$H$180</definedName>
    <definedName name="QB_ROW_829270" localSheetId="4" hidden="1">'P9'!$H$188</definedName>
    <definedName name="QB_ROW_829270" localSheetId="3" hidden="1">P9.!$H$190</definedName>
    <definedName name="QB_ROW_830270" localSheetId="0" hidden="1">'May VS June'!$H$90</definedName>
    <definedName name="QB_ROW_830270" localSheetId="2" hidden="1">'P10'!$H$77</definedName>
    <definedName name="QB_ROW_830270" localSheetId="9" hidden="1">'P5'!$H$94</definedName>
    <definedName name="QB_ROW_830270" localSheetId="8" hidden="1">'P6'!$H$85</definedName>
    <definedName name="QB_ROW_830270" localSheetId="6" hidden="1">'P7'!$H$85</definedName>
    <definedName name="QB_ROW_830270" localSheetId="5" hidden="1">'P8'!$H$81</definedName>
    <definedName name="QB_ROW_830270" localSheetId="4" hidden="1">'P9'!$H$81</definedName>
    <definedName name="QB_ROW_830270" localSheetId="3" hidden="1">P9.!$H$81</definedName>
    <definedName name="QB_ROW_841270" localSheetId="0" hidden="1">'May VS June'!$H$83</definedName>
    <definedName name="QB_ROW_841270" localSheetId="2" hidden="1">'P10'!$H$71</definedName>
    <definedName name="QB_ROW_841270" localSheetId="9" hidden="1">'P5'!$H$87</definedName>
    <definedName name="QB_ROW_841270" localSheetId="8" hidden="1">'P6'!$H$78</definedName>
    <definedName name="QB_ROW_841270" localSheetId="6" hidden="1">'P7'!$H$78</definedName>
    <definedName name="QB_ROW_841270" localSheetId="5" hidden="1">'P8'!$H$73</definedName>
    <definedName name="QB_ROW_841270" localSheetId="4" hidden="1">'P9'!$H$74</definedName>
    <definedName name="QB_ROW_841270" localSheetId="3" hidden="1">P9.!$H$74</definedName>
    <definedName name="QB_ROW_845270" localSheetId="0" hidden="1">'May VS June'!$H$110</definedName>
    <definedName name="QB_ROW_845270" localSheetId="2" hidden="1">'P10'!$H$98</definedName>
    <definedName name="QB_ROW_845270" localSheetId="9" hidden="1">'P5'!$H$117</definedName>
    <definedName name="QB_ROW_845270" localSheetId="8" hidden="1">'P6'!$H$105</definedName>
    <definedName name="QB_ROW_845270" localSheetId="6" hidden="1">'P7'!$H$107</definedName>
    <definedName name="QB_ROW_845270" localSheetId="5" hidden="1">'P8'!$H$98</definedName>
    <definedName name="QB_ROW_845270" localSheetId="4" hidden="1">'P9'!$H$101</definedName>
    <definedName name="QB_ROW_845270" localSheetId="3" hidden="1">P9.!$H$104</definedName>
    <definedName name="QB_ROW_846270" localSheetId="0" hidden="1">'May VS June'!$H$115</definedName>
    <definedName name="QB_ROW_846270" localSheetId="2" hidden="1">'P10'!$H$103</definedName>
    <definedName name="QB_ROW_846270" localSheetId="9" hidden="1">'P5'!$H$124</definedName>
    <definedName name="QB_ROW_846270" localSheetId="8" hidden="1">'P6'!$H$110</definedName>
    <definedName name="QB_ROW_846270" localSheetId="6" hidden="1">'P7'!$H$111</definedName>
    <definedName name="QB_ROW_846270" localSheetId="5" hidden="1">'P8'!$H$102</definedName>
    <definedName name="QB_ROW_846270" localSheetId="4" hidden="1">'P9'!$H$105</definedName>
    <definedName name="QB_ROW_846270" localSheetId="3" hidden="1">P9.!$H$108</definedName>
    <definedName name="QB_ROW_847270" localSheetId="9" hidden="1">'P5'!$H$120</definedName>
    <definedName name="QB_ROW_849270" localSheetId="9" hidden="1">'P5'!$H$122</definedName>
    <definedName name="QB_ROW_855270" localSheetId="0" hidden="1">'May VS June'!$H$211</definedName>
    <definedName name="QB_ROW_855270" localSheetId="9" hidden="1">'P5'!$H$205</definedName>
    <definedName name="QB_ROW_855270" localSheetId="8" hidden="1">'P6'!$H$195</definedName>
    <definedName name="QB_ROW_855270" localSheetId="5" hidden="1">'P8'!$H$170</definedName>
    <definedName name="QB_ROW_855270" localSheetId="4" hidden="1">'P9'!$H$179</definedName>
    <definedName name="QB_ROW_855270" localSheetId="3" hidden="1">P9.!$H$181</definedName>
    <definedName name="QB_ROW_861270" localSheetId="0" hidden="1">'May VS June'!$H$193</definedName>
    <definedName name="QB_ROW_861270" localSheetId="9" hidden="1">'P5'!$H$199</definedName>
    <definedName name="QB_ROW_861270" localSheetId="8" hidden="1">'P6'!$H$188</definedName>
    <definedName name="QB_ROW_861270" localSheetId="5" hidden="1">'P8'!$H$160</definedName>
    <definedName name="QB_ROW_86321" localSheetId="0" hidden="1">'May VS June'!$C$49</definedName>
    <definedName name="QB_ROW_86321" localSheetId="2" hidden="1">'P10'!$C$44</definedName>
    <definedName name="QB_ROW_86321" localSheetId="9" hidden="1">'P5'!$C$52</definedName>
    <definedName name="QB_ROW_86321" localSheetId="8" hidden="1">'P6'!$C$44</definedName>
    <definedName name="QB_ROW_86321" localSheetId="6" hidden="1">'P7'!$C$48</definedName>
    <definedName name="QB_ROW_86321" localSheetId="5" hidden="1">'P8'!$C$46</definedName>
    <definedName name="QB_ROW_86321" localSheetId="4" hidden="1">'P9'!$C$45</definedName>
    <definedName name="QB_ROW_86321" localSheetId="3" hidden="1">P9.!$C$45</definedName>
    <definedName name="QB_ROW_86321" localSheetId="19" hidden="1">'TeKSS - Jan 2nd to 29th'!$C$11</definedName>
    <definedName name="QB_ROW_86321" localSheetId="17" hidden="1">'TFI &amp; TeKSS-Feb 27-Apr 2'!$C$65</definedName>
    <definedName name="QB_ROW_87031" localSheetId="0" hidden="1">'May VS June'!$D$12</definedName>
    <definedName name="QB_ROW_87031" localSheetId="2" hidden="1">'P10'!$D$15</definedName>
    <definedName name="QB_ROW_87031" localSheetId="9" hidden="1">'P5'!$D$12</definedName>
    <definedName name="QB_ROW_87031" localSheetId="8" hidden="1">'P6'!$D$12</definedName>
    <definedName name="QB_ROW_87031" localSheetId="6" hidden="1">'P7'!$D$15</definedName>
    <definedName name="QB_ROW_87031" localSheetId="5" hidden="1">'P8'!$D$15</definedName>
    <definedName name="QB_ROW_87031" localSheetId="4" hidden="1">'P9'!$D$15</definedName>
    <definedName name="QB_ROW_87031" localSheetId="3" hidden="1">P9.!$D$15</definedName>
    <definedName name="QB_ROW_87031" localSheetId="17" hidden="1">'TFI &amp; TeKSS-Feb 27-Apr 2'!$D$25</definedName>
    <definedName name="QB_ROW_87331" localSheetId="0" hidden="1">'May VS June'!$D$48</definedName>
    <definedName name="QB_ROW_87331" localSheetId="2" hidden="1">'P10'!$D$43</definedName>
    <definedName name="QB_ROW_87331" localSheetId="9" hidden="1">'P5'!$D$51</definedName>
    <definedName name="QB_ROW_87331" localSheetId="8" hidden="1">'P6'!$D$43</definedName>
    <definedName name="QB_ROW_87331" localSheetId="6" hidden="1">'P7'!$D$47</definedName>
    <definedName name="QB_ROW_87331" localSheetId="5" hidden="1">'P8'!$D$45</definedName>
    <definedName name="QB_ROW_87331" localSheetId="4" hidden="1">'P9'!$D$44</definedName>
    <definedName name="QB_ROW_87331" localSheetId="3" hidden="1">P9.!$D$44</definedName>
    <definedName name="QB_ROW_87331" localSheetId="17" hidden="1">'TFI &amp; TeKSS-Feb 27-Apr 2'!$D$64</definedName>
    <definedName name="QB_ROW_876270" localSheetId="0" hidden="1">'May VS June'!$H$228</definedName>
    <definedName name="QB_ROW_876270" localSheetId="2" hidden="1">'P10'!$H$196</definedName>
    <definedName name="QB_ROW_876270" localSheetId="9" hidden="1">'P5'!#REF!</definedName>
    <definedName name="QB_ROW_876270" localSheetId="8" hidden="1">'P6'!#REF!</definedName>
    <definedName name="QB_ROW_876270" localSheetId="6" hidden="1">'P7'!$H$213</definedName>
    <definedName name="QB_ROW_876270" localSheetId="5" hidden="1">'P8'!$H$188</definedName>
    <definedName name="QB_ROW_876270" localSheetId="4" hidden="1">'P9'!$H$195</definedName>
    <definedName name="QB_ROW_876270" localSheetId="3" hidden="1">P9.!$H$197</definedName>
    <definedName name="QB_ROW_908060" localSheetId="9" hidden="1">'P5'!$G$45</definedName>
    <definedName name="QB_ROW_908360" localSheetId="9" hidden="1">'P5'!$G$48</definedName>
    <definedName name="QB_ROW_910270" localSheetId="9" hidden="1">'P5'!$H$46</definedName>
    <definedName name="QB_ROW_911270" localSheetId="9" hidden="1">'P5'!$H$47</definedName>
    <definedName name="QB_ROW_912270" localSheetId="4" hidden="1">'P9'!$H$156</definedName>
    <definedName name="QB_ROW_912270" localSheetId="3" hidden="1">P9.!$H$158</definedName>
    <definedName name="QB_ROW_914260" localSheetId="0" hidden="1">'May VS June'!$G$40</definedName>
    <definedName name="QB_ROW_914260" localSheetId="9" hidden="1">'P5'!$G$41</definedName>
    <definedName name="QB_ROW_914260" localSheetId="8" hidden="1">'P6'!$G$36</definedName>
    <definedName name="QB_ROW_914260" localSheetId="5" hidden="1">'P8'!$G$41</definedName>
    <definedName name="QB_ROW_915270" localSheetId="0" hidden="1">'May VS June'!$H$76</definedName>
    <definedName name="QB_ROW_915270" localSheetId="9" hidden="1">'P5'!$H$80</definedName>
    <definedName name="QB_ROW_915270" localSheetId="8" hidden="1">'P6'!$H$71</definedName>
    <definedName name="QB_ROW_915270" localSheetId="5" hidden="1">'P8'!$H$67</definedName>
    <definedName name="QB_ROW_916270" localSheetId="0" hidden="1">'May VS June'!$H$122</definedName>
    <definedName name="QB_ROW_916270" localSheetId="9" hidden="1">'P5'!$H$131</definedName>
    <definedName name="QB_ROW_916270" localSheetId="8" hidden="1">'P6'!$H$117</definedName>
    <definedName name="QB_ROW_916270" localSheetId="5" hidden="1">'P8'!$H$109</definedName>
    <definedName name="QB_ROW_917270" localSheetId="0" hidden="1">'May VS June'!$H$173</definedName>
    <definedName name="QB_ROW_917270" localSheetId="9" hidden="1">'P5'!$H$179</definedName>
    <definedName name="QB_ROW_917270" localSheetId="8" hidden="1">'P6'!$H$168</definedName>
    <definedName name="QB_ROW_917270" localSheetId="5" hidden="1">'P8'!$H$145</definedName>
    <definedName name="QB_ROW_928260" localSheetId="0" hidden="1">'May VS June'!$G$44</definedName>
    <definedName name="QB_ROW_928260" localSheetId="8" hidden="1">'P6'!$G$40</definedName>
    <definedName name="QB_ROW_929270" localSheetId="0" hidden="1">'May VS June'!$H$98</definedName>
    <definedName name="QB_ROW_929270" localSheetId="9" hidden="1">'P5'!$H$104</definedName>
    <definedName name="QB_ROW_929270" localSheetId="8" hidden="1">'P6'!$H$93</definedName>
    <definedName name="QB_ROW_931240" localSheetId="0" hidden="1">'May VS June'!$E$256</definedName>
    <definedName name="QB_ROW_931240" localSheetId="8" hidden="1">'P6'!$E$209</definedName>
    <definedName name="QB_ROW_931240" localSheetId="5" hidden="1">'P8'!$E$210</definedName>
    <definedName name="QB_ROW_933260" localSheetId="0" hidden="1">'May VS June'!$G$31</definedName>
    <definedName name="QB_ROW_933260" localSheetId="8" hidden="1">'P6'!$G$27</definedName>
    <definedName name="QB_ROW_946270" localSheetId="5" hidden="1">'P8'!$H$72</definedName>
    <definedName name="QB_ROW_946270" localSheetId="4" hidden="1">'P9'!$H$72</definedName>
    <definedName name="QB_ROW_946270" localSheetId="3" hidden="1">P9.!$H$72</definedName>
    <definedName name="QB_ROW_950270" localSheetId="5" hidden="1">'P8'!$H$161</definedName>
    <definedName name="QB_ROW_954280" localSheetId="2" hidden="1">'P10'!$I$207</definedName>
    <definedName name="QB_ROW_954280" localSheetId="4" hidden="1">'P9'!$I$205</definedName>
    <definedName name="QB_ROW_954280" localSheetId="3" hidden="1">P9.!$I$207</definedName>
    <definedName name="QBCANSUPPORTUPDATE" localSheetId="0">TRUE</definedName>
    <definedName name="QBCANSUPPORTUPDATE" localSheetId="2">TRUE</definedName>
    <definedName name="QBCANSUPPORTUPDATE" localSheetId="9">TRUE</definedName>
    <definedName name="QBCANSUPPORTUPDATE" localSheetId="8">TRUE</definedName>
    <definedName name="QBCANSUPPORTUPDATE" localSheetId="6">TRUE</definedName>
    <definedName name="QBCANSUPPORTUPDATE" localSheetId="5">TRUE</definedName>
    <definedName name="QBCANSUPPORTUPDATE" localSheetId="4">TRUE</definedName>
    <definedName name="QBCANSUPPORTUPDATE" localSheetId="3">TRUE</definedName>
    <definedName name="QBCANSUPPORTUPDATE" localSheetId="19">TRUE</definedName>
    <definedName name="QBCANSUPPORTUPDATE" localSheetId="17">TRUE</definedName>
    <definedName name="QBCOMPANYFILENAME" localSheetId="0">"\\10.0.0.41\QuickBooks\QB-TFI-SL\TFI-SL.QBW"</definedName>
    <definedName name="QBCOMPANYFILENAME" localSheetId="2">"\\10.0.0.41\QuickBooks\QB-TFI-SL\TFI-SL.QBW"</definedName>
    <definedName name="QBCOMPANYFILENAME" localSheetId="9">"\\10.0.0.41\QuickBooks\QB-TFI-SL\TFI-SL.QBW"</definedName>
    <definedName name="QBCOMPANYFILENAME" localSheetId="8">"\\10.0.0.41\QuickBooks\QB-TFI-SL\TFI-SL.QBW"</definedName>
    <definedName name="QBCOMPANYFILENAME" localSheetId="6">"\\10.0.0.41\QuickBooks\QB-TFI-SL\TFI-SL.QBW"</definedName>
    <definedName name="QBCOMPANYFILENAME" localSheetId="5">"\\10.0.0.41\QuickBooks\QB-TFI-SL\TFI-SL.QBW"</definedName>
    <definedName name="QBCOMPANYFILENAME" localSheetId="4">"\\SRV-QBWOX-001\QuickBooks\QB-TFI-SL\TFI-SL.QBW"</definedName>
    <definedName name="QBCOMPANYFILENAME" localSheetId="3">"\\10.0.0.41\QuickBooks\QB-TFI-SL\TFI-SL.QBW"</definedName>
    <definedName name="QBCOMPANYFILENAME" localSheetId="19">"\\SRV-QBWOX-001\QuickBooks\QB-TKSS\TeKnowledge Shared Services (Pvt) Ltd.QBW"</definedName>
    <definedName name="QBCOMPANYFILENAME" localSheetId="17">"\\SRV-QBWOX-001\QuickBooks\QB-TFI-SL\TFI-SL.QBW"</definedName>
    <definedName name="QBENDDATE" localSheetId="0">20160630</definedName>
    <definedName name="QBENDDATE" localSheetId="2">20161027</definedName>
    <definedName name="QBENDDATE" localSheetId="9">20160526</definedName>
    <definedName name="QBENDDATE" localSheetId="8">20160630</definedName>
    <definedName name="QBENDDATE" localSheetId="6">20160728</definedName>
    <definedName name="QBENDDATE" localSheetId="5">20160825</definedName>
    <definedName name="QBENDDATE" localSheetId="4">20160929</definedName>
    <definedName name="QBENDDATE" localSheetId="3">20160929</definedName>
    <definedName name="QBENDDATE" localSheetId="19">20150129</definedName>
    <definedName name="QBENDDATE" localSheetId="17">20150226</definedName>
    <definedName name="QBHEADERSONSCREEN" localSheetId="0">FALSE</definedName>
    <definedName name="QBHEADERSONSCREEN" localSheetId="2">FALSE</definedName>
    <definedName name="QBHEADERSONSCREEN" localSheetId="9">FALSE</definedName>
    <definedName name="QBHEADERSONSCREEN" localSheetId="8">FALSE</definedName>
    <definedName name="QBHEADERSONSCREEN" localSheetId="6">FALSE</definedName>
    <definedName name="QBHEADERSONSCREEN" localSheetId="5">FALSE</definedName>
    <definedName name="QBHEADERSONSCREEN" localSheetId="4">FALSE</definedName>
    <definedName name="QBHEADERSONSCREEN" localSheetId="3">FALSE</definedName>
    <definedName name="QBHEADERSONSCREEN" localSheetId="19">FALSE</definedName>
    <definedName name="QBHEADERSONSCREEN" localSheetId="17">FALSE</definedName>
    <definedName name="QBMETADATASIZE" localSheetId="0">5785</definedName>
    <definedName name="QBMETADATASIZE" localSheetId="2">5785</definedName>
    <definedName name="QBMETADATASIZE" localSheetId="9">5785</definedName>
    <definedName name="QBMETADATASIZE" localSheetId="8">5785</definedName>
    <definedName name="QBMETADATASIZE" localSheetId="6">5785</definedName>
    <definedName name="QBMETADATASIZE" localSheetId="5">5785</definedName>
    <definedName name="QBMETADATASIZE" localSheetId="4">5785</definedName>
    <definedName name="QBMETADATASIZE" localSheetId="3">5785</definedName>
    <definedName name="QBMETADATASIZE" localSheetId="19">5785</definedName>
    <definedName name="QBMETADATASIZE" localSheetId="17">5785</definedName>
    <definedName name="QBPRESERVECOLOR" localSheetId="0">TRUE</definedName>
    <definedName name="QBPRESERVECOLOR" localSheetId="2">TRUE</definedName>
    <definedName name="QBPRESERVECOLOR" localSheetId="9">TRUE</definedName>
    <definedName name="QBPRESERVECOLOR" localSheetId="8">TRUE</definedName>
    <definedName name="QBPRESERVECOLOR" localSheetId="6">TRUE</definedName>
    <definedName name="QBPRESERVECOLOR" localSheetId="5">TRUE</definedName>
    <definedName name="QBPRESERVECOLOR" localSheetId="4">TRUE</definedName>
    <definedName name="QBPRESERVECOLOR" localSheetId="3">TRUE</definedName>
    <definedName name="QBPRESERVECOLOR" localSheetId="19">TRUE</definedName>
    <definedName name="QBPRESERVECOLOR" localSheetId="17">TRUE</definedName>
    <definedName name="QBPRESERVEFONT" localSheetId="0">TRUE</definedName>
    <definedName name="QBPRESERVEFONT" localSheetId="2">TRUE</definedName>
    <definedName name="QBPRESERVEFONT" localSheetId="9">TRUE</definedName>
    <definedName name="QBPRESERVEFONT" localSheetId="8">TRUE</definedName>
    <definedName name="QBPRESERVEFONT" localSheetId="6">TRUE</definedName>
    <definedName name="QBPRESERVEFONT" localSheetId="5">TRUE</definedName>
    <definedName name="QBPRESERVEFONT" localSheetId="4">TRUE</definedName>
    <definedName name="QBPRESERVEFONT" localSheetId="3">TRUE</definedName>
    <definedName name="QBPRESERVEFONT" localSheetId="19">TRUE</definedName>
    <definedName name="QBPRESERVEFONT" localSheetId="17">TRUE</definedName>
    <definedName name="QBPRESERVEROWHEIGHT" localSheetId="0">TRUE</definedName>
    <definedName name="QBPRESERVEROWHEIGHT" localSheetId="2">FALSE</definedName>
    <definedName name="QBPRESERVEROWHEIGHT" localSheetId="9">TRUE</definedName>
    <definedName name="QBPRESERVEROWHEIGHT" localSheetId="8">TRUE</definedName>
    <definedName name="QBPRESERVEROWHEIGHT" localSheetId="6">FALSE</definedName>
    <definedName name="QBPRESERVEROWHEIGHT" localSheetId="5">FALSE</definedName>
    <definedName name="QBPRESERVEROWHEIGHT" localSheetId="4">TRUE</definedName>
    <definedName name="QBPRESERVEROWHEIGHT" localSheetId="3">TRUE</definedName>
    <definedName name="QBPRESERVEROWHEIGHT" localSheetId="19">TRUE</definedName>
    <definedName name="QBPRESERVEROWHEIGHT" localSheetId="17">TRUE</definedName>
    <definedName name="QBPRESERVESPACE" localSheetId="0">TRUE</definedName>
    <definedName name="QBPRESERVESPACE" localSheetId="2">FALSE</definedName>
    <definedName name="QBPRESERVESPACE" localSheetId="9">TRUE</definedName>
    <definedName name="QBPRESERVESPACE" localSheetId="8">TRUE</definedName>
    <definedName name="QBPRESERVESPACE" localSheetId="6">FALSE</definedName>
    <definedName name="QBPRESERVESPACE" localSheetId="5">FALSE</definedName>
    <definedName name="QBPRESERVESPACE" localSheetId="4">TRUE</definedName>
    <definedName name="QBPRESERVESPACE" localSheetId="3">TRUE</definedName>
    <definedName name="QBPRESERVESPACE" localSheetId="19">FALSE</definedName>
    <definedName name="QBPRESERVESPACE" localSheetId="17">TRUE</definedName>
    <definedName name="QBREPORTCOLAXIS" localSheetId="0">0</definedName>
    <definedName name="QBREPORTCOLAXIS" localSheetId="2">0</definedName>
    <definedName name="QBREPORTCOLAXIS" localSheetId="9">0</definedName>
    <definedName name="QBREPORTCOLAXIS" localSheetId="8">0</definedName>
    <definedName name="QBREPORTCOLAXIS" localSheetId="6">0</definedName>
    <definedName name="QBREPORTCOLAXIS" localSheetId="5">0</definedName>
    <definedName name="QBREPORTCOLAXIS" localSheetId="4">0</definedName>
    <definedName name="QBREPORTCOLAXIS" localSheetId="3">0</definedName>
    <definedName name="QBREPORTCOLAXIS" localSheetId="19">0</definedName>
    <definedName name="QBREPORTCOLAXIS" localSheetId="17">0</definedName>
    <definedName name="QBREPORTCOMPANYID" localSheetId="0">"e9b894c4907c4b609f78f1fc62702593"</definedName>
    <definedName name="QBREPORTCOMPANYID" localSheetId="2">"e9b894c4907c4b609f78f1fc62702593"</definedName>
    <definedName name="QBREPORTCOMPANYID" localSheetId="9">"e9b894c4907c4b609f78f1fc62702593"</definedName>
    <definedName name="QBREPORTCOMPANYID" localSheetId="8">"e9b894c4907c4b609f78f1fc62702593"</definedName>
    <definedName name="QBREPORTCOMPANYID" localSheetId="6">"e9b894c4907c4b609f78f1fc62702593"</definedName>
    <definedName name="QBREPORTCOMPANYID" localSheetId="5">"e9b894c4907c4b609f78f1fc62702593"</definedName>
    <definedName name="QBREPORTCOMPANYID" localSheetId="4">"e9b894c4907c4b609f78f1fc62702593"</definedName>
    <definedName name="QBREPORTCOMPANYID" localSheetId="3">"e9b894c4907c4b609f78f1fc62702593"</definedName>
    <definedName name="QBREPORTCOMPANYID" localSheetId="19">"17bd790dcc7f4be595f1527e8c49a7d2"</definedName>
    <definedName name="QBREPORTCOMPANYID" localSheetId="17">"e9b894c4907c4b609f78f1fc62702593"</definedName>
    <definedName name="QBREPORTCOMPARECOL_ANNUALBUDGET" localSheetId="0">FALSE</definedName>
    <definedName name="QBREPORTCOMPARECOL_ANNUALBUDGET" localSheetId="2">FALSE</definedName>
    <definedName name="QBREPORTCOMPARECOL_ANNUALBUDGET" localSheetId="9">FALSE</definedName>
    <definedName name="QBREPORTCOMPARECOL_ANNUALBUDGET" localSheetId="8">FALSE</definedName>
    <definedName name="QBREPORTCOMPARECOL_ANNUALBUDGET" localSheetId="6">FALSE</definedName>
    <definedName name="QBREPORTCOMPARECOL_ANNUALBUDGET" localSheetId="5">FALSE</definedName>
    <definedName name="QBREPORTCOMPARECOL_ANNUALBUDGET" localSheetId="4">FALSE</definedName>
    <definedName name="QBREPORTCOMPARECOL_ANNUALBUDGET" localSheetId="3">FALSE</definedName>
    <definedName name="QBREPORTCOMPARECOL_ANNUALBUDGET" localSheetId="19">FALSE</definedName>
    <definedName name="QBREPORTCOMPARECOL_ANNUALBUDGET" localSheetId="17">FALSE</definedName>
    <definedName name="QBREPORTCOMPARECOL_AVGCOGS" localSheetId="0">FALSE</definedName>
    <definedName name="QBREPORTCOMPARECOL_AVGCOGS" localSheetId="2">FALSE</definedName>
    <definedName name="QBREPORTCOMPARECOL_AVGCOGS" localSheetId="9">FALSE</definedName>
    <definedName name="QBREPORTCOMPARECOL_AVGCOGS" localSheetId="8">FALSE</definedName>
    <definedName name="QBREPORTCOMPARECOL_AVGCOGS" localSheetId="6">FALSE</definedName>
    <definedName name="QBREPORTCOMPARECOL_AVGCOGS" localSheetId="5">FALSE</definedName>
    <definedName name="QBREPORTCOMPARECOL_AVGCOGS" localSheetId="4">FALSE</definedName>
    <definedName name="QBREPORTCOMPARECOL_AVGCOGS" localSheetId="3">FALSE</definedName>
    <definedName name="QBREPORTCOMPARECOL_AVGCOGS" localSheetId="19">FALSE</definedName>
    <definedName name="QBREPORTCOMPARECOL_AVGCOGS" localSheetId="17">FALSE</definedName>
    <definedName name="QBREPORTCOMPARECOL_AVGPRICE" localSheetId="0">FALSE</definedName>
    <definedName name="QBREPORTCOMPARECOL_AVGPRICE" localSheetId="2">FALSE</definedName>
    <definedName name="QBREPORTCOMPARECOL_AVGPRICE" localSheetId="9">FALSE</definedName>
    <definedName name="QBREPORTCOMPARECOL_AVGPRICE" localSheetId="8">FALSE</definedName>
    <definedName name="QBREPORTCOMPARECOL_AVGPRICE" localSheetId="6">FALSE</definedName>
    <definedName name="QBREPORTCOMPARECOL_AVGPRICE" localSheetId="5">FALSE</definedName>
    <definedName name="QBREPORTCOMPARECOL_AVGPRICE" localSheetId="4">FALSE</definedName>
    <definedName name="QBREPORTCOMPARECOL_AVGPRICE" localSheetId="3">FALSE</definedName>
    <definedName name="QBREPORTCOMPARECOL_AVGPRICE" localSheetId="19">FALSE</definedName>
    <definedName name="QBREPORTCOMPARECOL_AVGPRICE" localSheetId="17">FALSE</definedName>
    <definedName name="QBREPORTCOMPARECOL_BUDDIFF" localSheetId="0">FALSE</definedName>
    <definedName name="QBREPORTCOMPARECOL_BUDDIFF" localSheetId="2">FALSE</definedName>
    <definedName name="QBREPORTCOMPARECOL_BUDDIFF" localSheetId="9">FALSE</definedName>
    <definedName name="QBREPORTCOMPARECOL_BUDDIFF" localSheetId="8">FALSE</definedName>
    <definedName name="QBREPORTCOMPARECOL_BUDDIFF" localSheetId="6">FALSE</definedName>
    <definedName name="QBREPORTCOMPARECOL_BUDDIFF" localSheetId="5">FALSE</definedName>
    <definedName name="QBREPORTCOMPARECOL_BUDDIFF" localSheetId="4">FALSE</definedName>
    <definedName name="QBREPORTCOMPARECOL_BUDDIFF" localSheetId="3">FALSE</definedName>
    <definedName name="QBREPORTCOMPARECOL_BUDDIFF" localSheetId="19">FALSE</definedName>
    <definedName name="QBREPORTCOMPARECOL_BUDDIFF" localSheetId="17">FALSE</definedName>
    <definedName name="QBREPORTCOMPARECOL_BUDGET" localSheetId="0">FALSE</definedName>
    <definedName name="QBREPORTCOMPARECOL_BUDGET" localSheetId="2">FALSE</definedName>
    <definedName name="QBREPORTCOMPARECOL_BUDGET" localSheetId="9">FALSE</definedName>
    <definedName name="QBREPORTCOMPARECOL_BUDGET" localSheetId="8">FALSE</definedName>
    <definedName name="QBREPORTCOMPARECOL_BUDGET" localSheetId="6">FALSE</definedName>
    <definedName name="QBREPORTCOMPARECOL_BUDGET" localSheetId="5">FALSE</definedName>
    <definedName name="QBREPORTCOMPARECOL_BUDGET" localSheetId="4">FALSE</definedName>
    <definedName name="QBREPORTCOMPARECOL_BUDGET" localSheetId="3">FALSE</definedName>
    <definedName name="QBREPORTCOMPARECOL_BUDGET" localSheetId="19">FALSE</definedName>
    <definedName name="QBREPORTCOMPARECOL_BUDGET" localSheetId="17">FALSE</definedName>
    <definedName name="QBREPORTCOMPARECOL_BUDPCT" localSheetId="0">FALSE</definedName>
    <definedName name="QBREPORTCOMPARECOL_BUDPCT" localSheetId="2">FALSE</definedName>
    <definedName name="QBREPORTCOMPARECOL_BUDPCT" localSheetId="9">FALSE</definedName>
    <definedName name="QBREPORTCOMPARECOL_BUDPCT" localSheetId="8">FALSE</definedName>
    <definedName name="QBREPORTCOMPARECOL_BUDPCT" localSheetId="6">FALSE</definedName>
    <definedName name="QBREPORTCOMPARECOL_BUDPCT" localSheetId="5">FALSE</definedName>
    <definedName name="QBREPORTCOMPARECOL_BUDPCT" localSheetId="4">FALSE</definedName>
    <definedName name="QBREPORTCOMPARECOL_BUDPCT" localSheetId="3">FALSE</definedName>
    <definedName name="QBREPORTCOMPARECOL_BUDPCT" localSheetId="19">FALSE</definedName>
    <definedName name="QBREPORTCOMPARECOL_BUDPCT" localSheetId="17">FALSE</definedName>
    <definedName name="QBREPORTCOMPARECOL_COGS" localSheetId="0">FALSE</definedName>
    <definedName name="QBREPORTCOMPARECOL_COGS" localSheetId="2">FALSE</definedName>
    <definedName name="QBREPORTCOMPARECOL_COGS" localSheetId="9">FALSE</definedName>
    <definedName name="QBREPORTCOMPARECOL_COGS" localSheetId="8">FALSE</definedName>
    <definedName name="QBREPORTCOMPARECOL_COGS" localSheetId="6">FALSE</definedName>
    <definedName name="QBREPORTCOMPARECOL_COGS" localSheetId="5">FALSE</definedName>
    <definedName name="QBREPORTCOMPARECOL_COGS" localSheetId="4">FALSE</definedName>
    <definedName name="QBREPORTCOMPARECOL_COGS" localSheetId="3">FALSE</definedName>
    <definedName name="QBREPORTCOMPARECOL_COGS" localSheetId="19">FALSE</definedName>
    <definedName name="QBREPORTCOMPARECOL_COGS" localSheetId="17">FALSE</definedName>
    <definedName name="QBREPORTCOMPARECOL_EXCLUDEAMOUNT" localSheetId="0">FALSE</definedName>
    <definedName name="QBREPORTCOMPARECOL_EXCLUDEAMOUNT" localSheetId="2">FALSE</definedName>
    <definedName name="QBREPORTCOMPARECOL_EXCLUDEAMOUNT" localSheetId="9">FALSE</definedName>
    <definedName name="QBREPORTCOMPARECOL_EXCLUDEAMOUNT" localSheetId="8">FALSE</definedName>
    <definedName name="QBREPORTCOMPARECOL_EXCLUDEAMOUNT" localSheetId="6">FALSE</definedName>
    <definedName name="QBREPORTCOMPARECOL_EXCLUDEAMOUNT" localSheetId="5">FALSE</definedName>
    <definedName name="QBREPORTCOMPARECOL_EXCLUDEAMOUNT" localSheetId="4">FALSE</definedName>
    <definedName name="QBREPORTCOMPARECOL_EXCLUDEAMOUNT" localSheetId="3">FALSE</definedName>
    <definedName name="QBREPORTCOMPARECOL_EXCLUDEAMOUNT" localSheetId="19">FALSE</definedName>
    <definedName name="QBREPORTCOMPARECOL_EXCLUDEAMOUNT" localSheetId="17">FALSE</definedName>
    <definedName name="QBREPORTCOMPARECOL_EXCLUDECURPERIOD" localSheetId="0">FALSE</definedName>
    <definedName name="QBREPORTCOMPARECOL_EXCLUDECURPERIOD" localSheetId="2">FALSE</definedName>
    <definedName name="QBREPORTCOMPARECOL_EXCLUDECURPERIOD" localSheetId="9">FALSE</definedName>
    <definedName name="QBREPORTCOMPARECOL_EXCLUDECURPERIOD" localSheetId="8">FALSE</definedName>
    <definedName name="QBREPORTCOMPARECOL_EXCLUDECURPERIOD" localSheetId="6">FALSE</definedName>
    <definedName name="QBREPORTCOMPARECOL_EXCLUDECURPERIOD" localSheetId="5">FALSE</definedName>
    <definedName name="QBREPORTCOMPARECOL_EXCLUDECURPERIOD" localSheetId="4">FALSE</definedName>
    <definedName name="QBREPORTCOMPARECOL_EXCLUDECURPERIOD" localSheetId="3">FALSE</definedName>
    <definedName name="QBREPORTCOMPARECOL_EXCLUDECURPERIOD" localSheetId="19">FALSE</definedName>
    <definedName name="QBREPORTCOMPARECOL_EXCLUDECURPERIOD" localSheetId="17">FALSE</definedName>
    <definedName name="QBREPORTCOMPARECOL_FORECAST" localSheetId="0">FALSE</definedName>
    <definedName name="QBREPORTCOMPARECOL_FORECAST" localSheetId="2">FALSE</definedName>
    <definedName name="QBREPORTCOMPARECOL_FORECAST" localSheetId="9">FALSE</definedName>
    <definedName name="QBREPORTCOMPARECOL_FORECAST" localSheetId="8">FALSE</definedName>
    <definedName name="QBREPORTCOMPARECOL_FORECAST" localSheetId="6">FALSE</definedName>
    <definedName name="QBREPORTCOMPARECOL_FORECAST" localSheetId="5">FALSE</definedName>
    <definedName name="QBREPORTCOMPARECOL_FORECAST" localSheetId="4">FALSE</definedName>
    <definedName name="QBREPORTCOMPARECOL_FORECAST" localSheetId="3">FALSE</definedName>
    <definedName name="QBREPORTCOMPARECOL_FORECAST" localSheetId="19">FALSE</definedName>
    <definedName name="QBREPORTCOMPARECOL_FORECAST" localSheetId="17">FALSE</definedName>
    <definedName name="QBREPORTCOMPARECOL_GROSSMARGIN" localSheetId="0">FALSE</definedName>
    <definedName name="QBREPORTCOMPARECOL_GROSSMARGIN" localSheetId="2">FALSE</definedName>
    <definedName name="QBREPORTCOMPARECOL_GROSSMARGIN" localSheetId="9">FALSE</definedName>
    <definedName name="QBREPORTCOMPARECOL_GROSSMARGIN" localSheetId="8">FALSE</definedName>
    <definedName name="QBREPORTCOMPARECOL_GROSSMARGIN" localSheetId="6">FALSE</definedName>
    <definedName name="QBREPORTCOMPARECOL_GROSSMARGIN" localSheetId="5">FALSE</definedName>
    <definedName name="QBREPORTCOMPARECOL_GROSSMARGIN" localSheetId="4">FALSE</definedName>
    <definedName name="QBREPORTCOMPARECOL_GROSSMARGIN" localSheetId="3">FALSE</definedName>
    <definedName name="QBREPORTCOMPARECOL_GROSSMARGIN" localSheetId="19">FALSE</definedName>
    <definedName name="QBREPORTCOMPARECOL_GROSSMARGIN" localSheetId="17">FALSE</definedName>
    <definedName name="QBREPORTCOMPARECOL_GROSSMARGINPCT" localSheetId="0">FALSE</definedName>
    <definedName name="QBREPORTCOMPARECOL_GROSSMARGINPCT" localSheetId="2">FALSE</definedName>
    <definedName name="QBREPORTCOMPARECOL_GROSSMARGINPCT" localSheetId="9">FALSE</definedName>
    <definedName name="QBREPORTCOMPARECOL_GROSSMARGINPCT" localSheetId="8">FALSE</definedName>
    <definedName name="QBREPORTCOMPARECOL_GROSSMARGINPCT" localSheetId="6">FALSE</definedName>
    <definedName name="QBREPORTCOMPARECOL_GROSSMARGINPCT" localSheetId="5">FALSE</definedName>
    <definedName name="QBREPORTCOMPARECOL_GROSSMARGINPCT" localSheetId="4">FALSE</definedName>
    <definedName name="QBREPORTCOMPARECOL_GROSSMARGINPCT" localSheetId="3">FALSE</definedName>
    <definedName name="QBREPORTCOMPARECOL_GROSSMARGINPCT" localSheetId="19">FALSE</definedName>
    <definedName name="QBREPORTCOMPARECOL_GROSSMARGINPCT" localSheetId="17">FALSE</definedName>
    <definedName name="QBREPORTCOMPARECOL_HOURS" localSheetId="0">FALSE</definedName>
    <definedName name="QBREPORTCOMPARECOL_HOURS" localSheetId="2">FALSE</definedName>
    <definedName name="QBREPORTCOMPARECOL_HOURS" localSheetId="9">FALSE</definedName>
    <definedName name="QBREPORTCOMPARECOL_HOURS" localSheetId="8">FALSE</definedName>
    <definedName name="QBREPORTCOMPARECOL_HOURS" localSheetId="6">FALSE</definedName>
    <definedName name="QBREPORTCOMPARECOL_HOURS" localSheetId="5">FALSE</definedName>
    <definedName name="QBREPORTCOMPARECOL_HOURS" localSheetId="4">FALSE</definedName>
    <definedName name="QBREPORTCOMPARECOL_HOURS" localSheetId="3">FALSE</definedName>
    <definedName name="QBREPORTCOMPARECOL_HOURS" localSheetId="19">FALSE</definedName>
    <definedName name="QBREPORTCOMPARECOL_HOURS" localSheetId="17">FALSE</definedName>
    <definedName name="QBREPORTCOMPARECOL_PCTCOL" localSheetId="0">FALSE</definedName>
    <definedName name="QBREPORTCOMPARECOL_PCTCOL" localSheetId="2">FALSE</definedName>
    <definedName name="QBREPORTCOMPARECOL_PCTCOL" localSheetId="9">FALSE</definedName>
    <definedName name="QBREPORTCOMPARECOL_PCTCOL" localSheetId="8">FALSE</definedName>
    <definedName name="QBREPORTCOMPARECOL_PCTCOL" localSheetId="6">FALSE</definedName>
    <definedName name="QBREPORTCOMPARECOL_PCTCOL" localSheetId="5">FALSE</definedName>
    <definedName name="QBREPORTCOMPARECOL_PCTCOL" localSheetId="4">FALSE</definedName>
    <definedName name="QBREPORTCOMPARECOL_PCTCOL" localSheetId="3">FALSE</definedName>
    <definedName name="QBREPORTCOMPARECOL_PCTCOL" localSheetId="19">FALSE</definedName>
    <definedName name="QBREPORTCOMPARECOL_PCTCOL" localSheetId="17">FALSE</definedName>
    <definedName name="QBREPORTCOMPARECOL_PCTEXPENSE" localSheetId="0">FALSE</definedName>
    <definedName name="QBREPORTCOMPARECOL_PCTEXPENSE" localSheetId="2">FALSE</definedName>
    <definedName name="QBREPORTCOMPARECOL_PCTEXPENSE" localSheetId="9">FALSE</definedName>
    <definedName name="QBREPORTCOMPARECOL_PCTEXPENSE" localSheetId="8">FALSE</definedName>
    <definedName name="QBREPORTCOMPARECOL_PCTEXPENSE" localSheetId="6">FALSE</definedName>
    <definedName name="QBREPORTCOMPARECOL_PCTEXPENSE" localSheetId="5">FALSE</definedName>
    <definedName name="QBREPORTCOMPARECOL_PCTEXPENSE" localSheetId="4">FALSE</definedName>
    <definedName name="QBREPORTCOMPARECOL_PCTEXPENSE" localSheetId="3">FALSE</definedName>
    <definedName name="QBREPORTCOMPARECOL_PCTEXPENSE" localSheetId="19">FALSE</definedName>
    <definedName name="QBREPORTCOMPARECOL_PCTEXPENSE" localSheetId="17">FALSE</definedName>
    <definedName name="QBREPORTCOMPARECOL_PCTINCOME" localSheetId="0">FALSE</definedName>
    <definedName name="QBREPORTCOMPARECOL_PCTINCOME" localSheetId="2">FALSE</definedName>
    <definedName name="QBREPORTCOMPARECOL_PCTINCOME" localSheetId="9">FALSE</definedName>
    <definedName name="QBREPORTCOMPARECOL_PCTINCOME" localSheetId="8">FALSE</definedName>
    <definedName name="QBREPORTCOMPARECOL_PCTINCOME" localSheetId="6">FALSE</definedName>
    <definedName name="QBREPORTCOMPARECOL_PCTINCOME" localSheetId="5">FALSE</definedName>
    <definedName name="QBREPORTCOMPARECOL_PCTINCOME" localSheetId="4">FALSE</definedName>
    <definedName name="QBREPORTCOMPARECOL_PCTINCOME" localSheetId="3">FALSE</definedName>
    <definedName name="QBREPORTCOMPARECOL_PCTINCOME" localSheetId="19">FALSE</definedName>
    <definedName name="QBREPORTCOMPARECOL_PCTINCOME" localSheetId="17">FALSE</definedName>
    <definedName name="QBREPORTCOMPARECOL_PCTOFSALES" localSheetId="0">FALSE</definedName>
    <definedName name="QBREPORTCOMPARECOL_PCTOFSALES" localSheetId="2">FALSE</definedName>
    <definedName name="QBREPORTCOMPARECOL_PCTOFSALES" localSheetId="9">FALSE</definedName>
    <definedName name="QBREPORTCOMPARECOL_PCTOFSALES" localSheetId="8">FALSE</definedName>
    <definedName name="QBREPORTCOMPARECOL_PCTOFSALES" localSheetId="6">FALSE</definedName>
    <definedName name="QBREPORTCOMPARECOL_PCTOFSALES" localSheetId="5">FALSE</definedName>
    <definedName name="QBREPORTCOMPARECOL_PCTOFSALES" localSheetId="4">FALSE</definedName>
    <definedName name="QBREPORTCOMPARECOL_PCTOFSALES" localSheetId="3">FALSE</definedName>
    <definedName name="QBREPORTCOMPARECOL_PCTOFSALES" localSheetId="19">FALSE</definedName>
    <definedName name="QBREPORTCOMPARECOL_PCTOFSALES" localSheetId="17">FALSE</definedName>
    <definedName name="QBREPORTCOMPARECOL_PCTROW" localSheetId="0">FALSE</definedName>
    <definedName name="QBREPORTCOMPARECOL_PCTROW" localSheetId="2">FALSE</definedName>
    <definedName name="QBREPORTCOMPARECOL_PCTROW" localSheetId="9">FALSE</definedName>
    <definedName name="QBREPORTCOMPARECOL_PCTROW" localSheetId="8">FALSE</definedName>
    <definedName name="QBREPORTCOMPARECOL_PCTROW" localSheetId="6">FALSE</definedName>
    <definedName name="QBREPORTCOMPARECOL_PCTROW" localSheetId="5">FALSE</definedName>
    <definedName name="QBREPORTCOMPARECOL_PCTROW" localSheetId="4">FALSE</definedName>
    <definedName name="QBREPORTCOMPARECOL_PCTROW" localSheetId="3">FALSE</definedName>
    <definedName name="QBREPORTCOMPARECOL_PCTROW" localSheetId="19">FALSE</definedName>
    <definedName name="QBREPORTCOMPARECOL_PCTROW" localSheetId="17">FALSE</definedName>
    <definedName name="QBREPORTCOMPARECOL_PPDIFF" localSheetId="0">FALSE</definedName>
    <definedName name="QBREPORTCOMPARECOL_PPDIFF" localSheetId="2">FALSE</definedName>
    <definedName name="QBREPORTCOMPARECOL_PPDIFF" localSheetId="9">FALSE</definedName>
    <definedName name="QBREPORTCOMPARECOL_PPDIFF" localSheetId="8">FALSE</definedName>
    <definedName name="QBREPORTCOMPARECOL_PPDIFF" localSheetId="6">FALSE</definedName>
    <definedName name="QBREPORTCOMPARECOL_PPDIFF" localSheetId="5">FALSE</definedName>
    <definedName name="QBREPORTCOMPARECOL_PPDIFF" localSheetId="4">FALSE</definedName>
    <definedName name="QBREPORTCOMPARECOL_PPDIFF" localSheetId="3">FALSE</definedName>
    <definedName name="QBREPORTCOMPARECOL_PPDIFF" localSheetId="19">FALSE</definedName>
    <definedName name="QBREPORTCOMPARECOL_PPDIFF" localSheetId="17">FALSE</definedName>
    <definedName name="QBREPORTCOMPARECOL_PPPCT" localSheetId="0">FALSE</definedName>
    <definedName name="QBREPORTCOMPARECOL_PPPCT" localSheetId="2">FALSE</definedName>
    <definedName name="QBREPORTCOMPARECOL_PPPCT" localSheetId="9">FALSE</definedName>
    <definedName name="QBREPORTCOMPARECOL_PPPCT" localSheetId="8">FALSE</definedName>
    <definedName name="QBREPORTCOMPARECOL_PPPCT" localSheetId="6">FALSE</definedName>
    <definedName name="QBREPORTCOMPARECOL_PPPCT" localSheetId="5">FALSE</definedName>
    <definedName name="QBREPORTCOMPARECOL_PPPCT" localSheetId="4">FALSE</definedName>
    <definedName name="QBREPORTCOMPARECOL_PPPCT" localSheetId="3">FALSE</definedName>
    <definedName name="QBREPORTCOMPARECOL_PPPCT" localSheetId="19">FALSE</definedName>
    <definedName name="QBREPORTCOMPARECOL_PPPCT" localSheetId="17">FALSE</definedName>
    <definedName name="QBREPORTCOMPARECOL_PREVPERIOD" localSheetId="0">FALSE</definedName>
    <definedName name="QBREPORTCOMPARECOL_PREVPERIOD" localSheetId="2">FALSE</definedName>
    <definedName name="QBREPORTCOMPARECOL_PREVPERIOD" localSheetId="9">FALSE</definedName>
    <definedName name="QBREPORTCOMPARECOL_PREVPERIOD" localSheetId="8">FALSE</definedName>
    <definedName name="QBREPORTCOMPARECOL_PREVPERIOD" localSheetId="6">FALSE</definedName>
    <definedName name="QBREPORTCOMPARECOL_PREVPERIOD" localSheetId="5">FALSE</definedName>
    <definedName name="QBREPORTCOMPARECOL_PREVPERIOD" localSheetId="4">FALSE</definedName>
    <definedName name="QBREPORTCOMPARECOL_PREVPERIOD" localSheetId="3">FALSE</definedName>
    <definedName name="QBREPORTCOMPARECOL_PREVPERIOD" localSheetId="19">FALSE</definedName>
    <definedName name="QBREPORTCOMPARECOL_PREVPERIOD" localSheetId="17">FALSE</definedName>
    <definedName name="QBREPORTCOMPARECOL_PREVYEAR" localSheetId="0">FALSE</definedName>
    <definedName name="QBREPORTCOMPARECOL_PREVYEAR" localSheetId="2">FALSE</definedName>
    <definedName name="QBREPORTCOMPARECOL_PREVYEAR" localSheetId="9">FALSE</definedName>
    <definedName name="QBREPORTCOMPARECOL_PREVYEAR" localSheetId="8">FALSE</definedName>
    <definedName name="QBREPORTCOMPARECOL_PREVYEAR" localSheetId="6">FALSE</definedName>
    <definedName name="QBREPORTCOMPARECOL_PREVYEAR" localSheetId="5">FALSE</definedName>
    <definedName name="QBREPORTCOMPARECOL_PREVYEAR" localSheetId="4">FALSE</definedName>
    <definedName name="QBREPORTCOMPARECOL_PREVYEAR" localSheetId="3">FALSE</definedName>
    <definedName name="QBREPORTCOMPARECOL_PREVYEAR" localSheetId="19">FALSE</definedName>
    <definedName name="QBREPORTCOMPARECOL_PREVYEAR" localSheetId="17">FALSE</definedName>
    <definedName name="QBREPORTCOMPARECOL_PYDIFF" localSheetId="0">FALSE</definedName>
    <definedName name="QBREPORTCOMPARECOL_PYDIFF" localSheetId="2">FALSE</definedName>
    <definedName name="QBREPORTCOMPARECOL_PYDIFF" localSheetId="9">FALSE</definedName>
    <definedName name="QBREPORTCOMPARECOL_PYDIFF" localSheetId="8">FALSE</definedName>
    <definedName name="QBREPORTCOMPARECOL_PYDIFF" localSheetId="6">FALSE</definedName>
    <definedName name="QBREPORTCOMPARECOL_PYDIFF" localSheetId="5">FALSE</definedName>
    <definedName name="QBREPORTCOMPARECOL_PYDIFF" localSheetId="4">FALSE</definedName>
    <definedName name="QBREPORTCOMPARECOL_PYDIFF" localSheetId="3">FALSE</definedName>
    <definedName name="QBREPORTCOMPARECOL_PYDIFF" localSheetId="19">FALSE</definedName>
    <definedName name="QBREPORTCOMPARECOL_PYDIFF" localSheetId="17">FALSE</definedName>
    <definedName name="QBREPORTCOMPARECOL_PYPCT" localSheetId="0">FALSE</definedName>
    <definedName name="QBREPORTCOMPARECOL_PYPCT" localSheetId="2">FALSE</definedName>
    <definedName name="QBREPORTCOMPARECOL_PYPCT" localSheetId="9">FALSE</definedName>
    <definedName name="QBREPORTCOMPARECOL_PYPCT" localSheetId="8">FALSE</definedName>
    <definedName name="QBREPORTCOMPARECOL_PYPCT" localSheetId="6">FALSE</definedName>
    <definedName name="QBREPORTCOMPARECOL_PYPCT" localSheetId="5">FALSE</definedName>
    <definedName name="QBREPORTCOMPARECOL_PYPCT" localSheetId="4">FALSE</definedName>
    <definedName name="QBREPORTCOMPARECOL_PYPCT" localSheetId="3">FALSE</definedName>
    <definedName name="QBREPORTCOMPARECOL_PYPCT" localSheetId="19">FALSE</definedName>
    <definedName name="QBREPORTCOMPARECOL_PYPCT" localSheetId="17">FALSE</definedName>
    <definedName name="QBREPORTCOMPARECOL_QTY" localSheetId="0">FALSE</definedName>
    <definedName name="QBREPORTCOMPARECOL_QTY" localSheetId="2">FALSE</definedName>
    <definedName name="QBREPORTCOMPARECOL_QTY" localSheetId="9">FALSE</definedName>
    <definedName name="QBREPORTCOMPARECOL_QTY" localSheetId="8">FALSE</definedName>
    <definedName name="QBREPORTCOMPARECOL_QTY" localSheetId="6">FALSE</definedName>
    <definedName name="QBREPORTCOMPARECOL_QTY" localSheetId="5">FALSE</definedName>
    <definedName name="QBREPORTCOMPARECOL_QTY" localSheetId="4">FALSE</definedName>
    <definedName name="QBREPORTCOMPARECOL_QTY" localSheetId="3">FALSE</definedName>
    <definedName name="QBREPORTCOMPARECOL_QTY" localSheetId="19">FALSE</definedName>
    <definedName name="QBREPORTCOMPARECOL_QTY" localSheetId="17">FALSE</definedName>
    <definedName name="QBREPORTCOMPARECOL_RATE" localSheetId="0">FALSE</definedName>
    <definedName name="QBREPORTCOMPARECOL_RATE" localSheetId="2">FALSE</definedName>
    <definedName name="QBREPORTCOMPARECOL_RATE" localSheetId="9">FALSE</definedName>
    <definedName name="QBREPORTCOMPARECOL_RATE" localSheetId="8">FALSE</definedName>
    <definedName name="QBREPORTCOMPARECOL_RATE" localSheetId="6">FALSE</definedName>
    <definedName name="QBREPORTCOMPARECOL_RATE" localSheetId="5">FALSE</definedName>
    <definedName name="QBREPORTCOMPARECOL_RATE" localSheetId="4">FALSE</definedName>
    <definedName name="QBREPORTCOMPARECOL_RATE" localSheetId="3">FALSE</definedName>
    <definedName name="QBREPORTCOMPARECOL_RATE" localSheetId="19">FALSE</definedName>
    <definedName name="QBREPORTCOMPARECOL_RATE" localSheetId="17">FALSE</definedName>
    <definedName name="QBREPORTCOMPARECOL_TRIPBILLEDMILES" localSheetId="0">FALSE</definedName>
    <definedName name="QBREPORTCOMPARECOL_TRIPBILLEDMILES" localSheetId="2">FALSE</definedName>
    <definedName name="QBREPORTCOMPARECOL_TRIPBILLEDMILES" localSheetId="9">FALSE</definedName>
    <definedName name="QBREPORTCOMPARECOL_TRIPBILLEDMILES" localSheetId="8">FALSE</definedName>
    <definedName name="QBREPORTCOMPARECOL_TRIPBILLEDMILES" localSheetId="6">FALSE</definedName>
    <definedName name="QBREPORTCOMPARECOL_TRIPBILLEDMILES" localSheetId="5">FALSE</definedName>
    <definedName name="QBREPORTCOMPARECOL_TRIPBILLEDMILES" localSheetId="4">FALSE</definedName>
    <definedName name="QBREPORTCOMPARECOL_TRIPBILLEDMILES" localSheetId="3">FALSE</definedName>
    <definedName name="QBREPORTCOMPARECOL_TRIPBILLEDMILES" localSheetId="19">FALSE</definedName>
    <definedName name="QBREPORTCOMPARECOL_TRIPBILLEDMILES" localSheetId="17">FALSE</definedName>
    <definedName name="QBREPORTCOMPARECOL_TRIPBILLINGAMOUNT" localSheetId="0">FALSE</definedName>
    <definedName name="QBREPORTCOMPARECOL_TRIPBILLINGAMOUNT" localSheetId="2">FALSE</definedName>
    <definedName name="QBREPORTCOMPARECOL_TRIPBILLINGAMOUNT" localSheetId="9">FALSE</definedName>
    <definedName name="QBREPORTCOMPARECOL_TRIPBILLINGAMOUNT" localSheetId="8">FALSE</definedName>
    <definedName name="QBREPORTCOMPARECOL_TRIPBILLINGAMOUNT" localSheetId="6">FALSE</definedName>
    <definedName name="QBREPORTCOMPARECOL_TRIPBILLINGAMOUNT" localSheetId="5">FALSE</definedName>
    <definedName name="QBREPORTCOMPARECOL_TRIPBILLINGAMOUNT" localSheetId="4">FALSE</definedName>
    <definedName name="QBREPORTCOMPARECOL_TRIPBILLINGAMOUNT" localSheetId="3">FALSE</definedName>
    <definedName name="QBREPORTCOMPARECOL_TRIPBILLINGAMOUNT" localSheetId="19">FALSE</definedName>
    <definedName name="QBREPORTCOMPARECOL_TRIPBILLINGAMOUNT" localSheetId="17">FALSE</definedName>
    <definedName name="QBREPORTCOMPARECOL_TRIPMILES" localSheetId="0">FALSE</definedName>
    <definedName name="QBREPORTCOMPARECOL_TRIPMILES" localSheetId="2">FALSE</definedName>
    <definedName name="QBREPORTCOMPARECOL_TRIPMILES" localSheetId="9">FALSE</definedName>
    <definedName name="QBREPORTCOMPARECOL_TRIPMILES" localSheetId="8">FALSE</definedName>
    <definedName name="QBREPORTCOMPARECOL_TRIPMILES" localSheetId="6">FALSE</definedName>
    <definedName name="QBREPORTCOMPARECOL_TRIPMILES" localSheetId="5">FALSE</definedName>
    <definedName name="QBREPORTCOMPARECOL_TRIPMILES" localSheetId="4">FALSE</definedName>
    <definedName name="QBREPORTCOMPARECOL_TRIPMILES" localSheetId="3">FALSE</definedName>
    <definedName name="QBREPORTCOMPARECOL_TRIPMILES" localSheetId="19">FALSE</definedName>
    <definedName name="QBREPORTCOMPARECOL_TRIPMILES" localSheetId="17">FALSE</definedName>
    <definedName name="QBREPORTCOMPARECOL_TRIPNOTBILLABLEMILES" localSheetId="0">FALSE</definedName>
    <definedName name="QBREPORTCOMPARECOL_TRIPNOTBILLABLEMILES" localSheetId="2">FALSE</definedName>
    <definedName name="QBREPORTCOMPARECOL_TRIPNOTBILLABLEMILES" localSheetId="9">FALSE</definedName>
    <definedName name="QBREPORTCOMPARECOL_TRIPNOTBILLABLEMILES" localSheetId="8">FALSE</definedName>
    <definedName name="QBREPORTCOMPARECOL_TRIPNOTBILLABLEMILES" localSheetId="6">FALSE</definedName>
    <definedName name="QBREPORTCOMPARECOL_TRIPNOTBILLABLEMILES" localSheetId="5">FALSE</definedName>
    <definedName name="QBREPORTCOMPARECOL_TRIPNOTBILLABLEMILES" localSheetId="4">FALSE</definedName>
    <definedName name="QBREPORTCOMPARECOL_TRIPNOTBILLABLEMILES" localSheetId="3">FALSE</definedName>
    <definedName name="QBREPORTCOMPARECOL_TRIPNOTBILLABLEMILES" localSheetId="19">FALSE</definedName>
    <definedName name="QBREPORTCOMPARECOL_TRIPNOTBILLABLEMILES" localSheetId="17">FALSE</definedName>
    <definedName name="QBREPORTCOMPARECOL_TRIPTAXDEDUCTIBLEAMOUNT" localSheetId="0">FALSE</definedName>
    <definedName name="QBREPORTCOMPARECOL_TRIPTAXDEDUCTIBLEAMOUNT" localSheetId="2">FALSE</definedName>
    <definedName name="QBREPORTCOMPARECOL_TRIPTAXDEDUCTIBLEAMOUNT" localSheetId="9">FALSE</definedName>
    <definedName name="QBREPORTCOMPARECOL_TRIPTAXDEDUCTIBLEAMOUNT" localSheetId="8">FALSE</definedName>
    <definedName name="QBREPORTCOMPARECOL_TRIPTAXDEDUCTIBLEAMOUNT" localSheetId="6">FALSE</definedName>
    <definedName name="QBREPORTCOMPARECOL_TRIPTAXDEDUCTIBLEAMOUNT" localSheetId="5">FALSE</definedName>
    <definedName name="QBREPORTCOMPARECOL_TRIPTAXDEDUCTIBLEAMOUNT" localSheetId="4">FALSE</definedName>
    <definedName name="QBREPORTCOMPARECOL_TRIPTAXDEDUCTIBLEAMOUNT" localSheetId="3">FALSE</definedName>
    <definedName name="QBREPORTCOMPARECOL_TRIPTAXDEDUCTIBLEAMOUNT" localSheetId="19">FALSE</definedName>
    <definedName name="QBREPORTCOMPARECOL_TRIPTAXDEDUCTIBLEAMOUNT" localSheetId="17">FALSE</definedName>
    <definedName name="QBREPORTCOMPARECOL_TRIPUNBILLEDMILES" localSheetId="0">FALSE</definedName>
    <definedName name="QBREPORTCOMPARECOL_TRIPUNBILLEDMILES" localSheetId="2">FALSE</definedName>
    <definedName name="QBREPORTCOMPARECOL_TRIPUNBILLEDMILES" localSheetId="9">FALSE</definedName>
    <definedName name="QBREPORTCOMPARECOL_TRIPUNBILLEDMILES" localSheetId="8">FALSE</definedName>
    <definedName name="QBREPORTCOMPARECOL_TRIPUNBILLEDMILES" localSheetId="6">FALSE</definedName>
    <definedName name="QBREPORTCOMPARECOL_TRIPUNBILLEDMILES" localSheetId="5">FALSE</definedName>
    <definedName name="QBREPORTCOMPARECOL_TRIPUNBILLEDMILES" localSheetId="4">FALSE</definedName>
    <definedName name="QBREPORTCOMPARECOL_TRIPUNBILLEDMILES" localSheetId="3">FALSE</definedName>
    <definedName name="QBREPORTCOMPARECOL_TRIPUNBILLEDMILES" localSheetId="19">FALSE</definedName>
    <definedName name="QBREPORTCOMPARECOL_TRIPUNBILLEDMILES" localSheetId="17">FALSE</definedName>
    <definedName name="QBREPORTCOMPARECOL_YTD" localSheetId="0">FALSE</definedName>
    <definedName name="QBREPORTCOMPARECOL_YTD" localSheetId="2">FALSE</definedName>
    <definedName name="QBREPORTCOMPARECOL_YTD" localSheetId="9">FALSE</definedName>
    <definedName name="QBREPORTCOMPARECOL_YTD" localSheetId="8">FALSE</definedName>
    <definedName name="QBREPORTCOMPARECOL_YTD" localSheetId="6">FALSE</definedName>
    <definedName name="QBREPORTCOMPARECOL_YTD" localSheetId="5">FALSE</definedName>
    <definedName name="QBREPORTCOMPARECOL_YTD" localSheetId="4">FALSE</definedName>
    <definedName name="QBREPORTCOMPARECOL_YTD" localSheetId="3">FALSE</definedName>
    <definedName name="QBREPORTCOMPARECOL_YTD" localSheetId="19">FALSE</definedName>
    <definedName name="QBREPORTCOMPARECOL_YTD" localSheetId="17">FALSE</definedName>
    <definedName name="QBREPORTCOMPARECOL_YTDBUDGET" localSheetId="0">FALSE</definedName>
    <definedName name="QBREPORTCOMPARECOL_YTDBUDGET" localSheetId="2">FALSE</definedName>
    <definedName name="QBREPORTCOMPARECOL_YTDBUDGET" localSheetId="9">FALSE</definedName>
    <definedName name="QBREPORTCOMPARECOL_YTDBUDGET" localSheetId="8">FALSE</definedName>
    <definedName name="QBREPORTCOMPARECOL_YTDBUDGET" localSheetId="6">FALSE</definedName>
    <definedName name="QBREPORTCOMPARECOL_YTDBUDGET" localSheetId="5">FALSE</definedName>
    <definedName name="QBREPORTCOMPARECOL_YTDBUDGET" localSheetId="4">FALSE</definedName>
    <definedName name="QBREPORTCOMPARECOL_YTDBUDGET" localSheetId="3">FALSE</definedName>
    <definedName name="QBREPORTCOMPARECOL_YTDBUDGET" localSheetId="19">FALSE</definedName>
    <definedName name="QBREPORTCOMPARECOL_YTDBUDGET" localSheetId="17">FALSE</definedName>
    <definedName name="QBREPORTCOMPARECOL_YTDPCT" localSheetId="0">FALSE</definedName>
    <definedName name="QBREPORTCOMPARECOL_YTDPCT" localSheetId="2">FALSE</definedName>
    <definedName name="QBREPORTCOMPARECOL_YTDPCT" localSheetId="9">FALSE</definedName>
    <definedName name="QBREPORTCOMPARECOL_YTDPCT" localSheetId="8">FALSE</definedName>
    <definedName name="QBREPORTCOMPARECOL_YTDPCT" localSheetId="6">FALSE</definedName>
    <definedName name="QBREPORTCOMPARECOL_YTDPCT" localSheetId="5">FALSE</definedName>
    <definedName name="QBREPORTCOMPARECOL_YTDPCT" localSheetId="4">FALSE</definedName>
    <definedName name="QBREPORTCOMPARECOL_YTDPCT" localSheetId="3">FALSE</definedName>
    <definedName name="QBREPORTCOMPARECOL_YTDPCT" localSheetId="19">FALSE</definedName>
    <definedName name="QBREPORTCOMPARECOL_YTDPCT" localSheetId="17">FALSE</definedName>
    <definedName name="QBREPORTROWAXIS" localSheetId="0">11</definedName>
    <definedName name="QBREPORTROWAXIS" localSheetId="2">11</definedName>
    <definedName name="QBREPORTROWAXIS" localSheetId="9">11</definedName>
    <definedName name="QBREPORTROWAXIS" localSheetId="8">11</definedName>
    <definedName name="QBREPORTROWAXIS" localSheetId="6">11</definedName>
    <definedName name="QBREPORTROWAXIS" localSheetId="5">11</definedName>
    <definedName name="QBREPORTROWAXIS" localSheetId="4">11</definedName>
    <definedName name="QBREPORTROWAXIS" localSheetId="3">11</definedName>
    <definedName name="QBREPORTROWAXIS" localSheetId="19">11</definedName>
    <definedName name="QBREPORTROWAXIS" localSheetId="17">11</definedName>
    <definedName name="QBREPORTSUBCOLAXIS" localSheetId="0">0</definedName>
    <definedName name="QBREPORTSUBCOLAXIS" localSheetId="2">0</definedName>
    <definedName name="QBREPORTSUBCOLAXIS" localSheetId="9">0</definedName>
    <definedName name="QBREPORTSUBCOLAXIS" localSheetId="8">0</definedName>
    <definedName name="QBREPORTSUBCOLAXIS" localSheetId="6">0</definedName>
    <definedName name="QBREPORTSUBCOLAXIS" localSheetId="5">0</definedName>
    <definedName name="QBREPORTSUBCOLAXIS" localSheetId="4">0</definedName>
    <definedName name="QBREPORTSUBCOLAXIS" localSheetId="3">0</definedName>
    <definedName name="QBREPORTSUBCOLAXIS" localSheetId="19">0</definedName>
    <definedName name="QBREPORTSUBCOLAXIS" localSheetId="17">0</definedName>
    <definedName name="QBREPORTTYPE" localSheetId="0">0</definedName>
    <definedName name="QBREPORTTYPE" localSheetId="2">0</definedName>
    <definedName name="QBREPORTTYPE" localSheetId="9">0</definedName>
    <definedName name="QBREPORTTYPE" localSheetId="8">0</definedName>
    <definedName name="QBREPORTTYPE" localSheetId="6">0</definedName>
    <definedName name="QBREPORTTYPE" localSheetId="5">0</definedName>
    <definedName name="QBREPORTTYPE" localSheetId="4">0</definedName>
    <definedName name="QBREPORTTYPE" localSheetId="3">0</definedName>
    <definedName name="QBREPORTTYPE" localSheetId="19">0</definedName>
    <definedName name="QBREPORTTYPE" localSheetId="17">0</definedName>
    <definedName name="QBROWHEADERS" localSheetId="0">9</definedName>
    <definedName name="QBROWHEADERS" localSheetId="2">9</definedName>
    <definedName name="QBROWHEADERS" localSheetId="9">9</definedName>
    <definedName name="QBROWHEADERS" localSheetId="8">9</definedName>
    <definedName name="QBROWHEADERS" localSheetId="6">9</definedName>
    <definedName name="QBROWHEADERS" localSheetId="5">9</definedName>
    <definedName name="QBROWHEADERS" localSheetId="4">9</definedName>
    <definedName name="QBROWHEADERS" localSheetId="3">9</definedName>
    <definedName name="QBROWHEADERS" localSheetId="19">6</definedName>
    <definedName name="QBROWHEADERS" localSheetId="17">9</definedName>
    <definedName name="QBSTARTDATE" localSheetId="0">20160527</definedName>
    <definedName name="QBSTARTDATE" localSheetId="2">20160930</definedName>
    <definedName name="QBSTARTDATE" localSheetId="9">20160429</definedName>
    <definedName name="QBSTARTDATE" localSheetId="8">20160527</definedName>
    <definedName name="QBSTARTDATE" localSheetId="6">20160701</definedName>
    <definedName name="QBSTARTDATE" localSheetId="5">20160729</definedName>
    <definedName name="QBSTARTDATE" localSheetId="4">20160826</definedName>
    <definedName name="QBSTARTDATE" localSheetId="3">20160826</definedName>
    <definedName name="QBSTARTDATE" localSheetId="19">20150102</definedName>
    <definedName name="QBSTARTDATE" localSheetId="17">20150130</definedName>
  </definedNames>
  <calcPr calcId="152511"/>
</workbook>
</file>

<file path=xl/calcChain.xml><?xml version="1.0" encoding="utf-8"?>
<calcChain xmlns="http://schemas.openxmlformats.org/spreadsheetml/2006/main">
  <c r="J221" i="65" l="1"/>
  <c r="P7" i="65" l="1"/>
  <c r="Q16" i="33" l="1"/>
  <c r="J224" i="65"/>
  <c r="P18" i="65" s="1"/>
  <c r="P20" i="65" s="1"/>
  <c r="J98" i="64"/>
  <c r="J75" i="64"/>
  <c r="J68" i="64"/>
  <c r="J60" i="64"/>
  <c r="J82" i="64"/>
  <c r="J93" i="64"/>
  <c r="J109" i="64"/>
  <c r="O16" i="33"/>
  <c r="O11" i="33"/>
  <c r="O9" i="33"/>
  <c r="O7" i="33"/>
  <c r="P17" i="65"/>
  <c r="P15" i="65"/>
  <c r="P14" i="65"/>
  <c r="P13" i="65"/>
  <c r="P12" i="65"/>
  <c r="P6" i="65"/>
  <c r="P4" i="65"/>
  <c r="P3" i="65"/>
  <c r="J234" i="65"/>
  <c r="J235" i="65" s="1"/>
  <c r="J236" i="65" s="1"/>
  <c r="J218" i="65"/>
  <c r="J215" i="65"/>
  <c r="J209" i="65"/>
  <c r="J208" i="65"/>
  <c r="J197" i="65"/>
  <c r="J190" i="65"/>
  <c r="J184" i="65"/>
  <c r="J177" i="65"/>
  <c r="J171" i="65"/>
  <c r="J165" i="65"/>
  <c r="J161" i="65"/>
  <c r="J157" i="65"/>
  <c r="J150" i="65"/>
  <c r="J152" i="65" s="1"/>
  <c r="J162" i="65" s="1"/>
  <c r="J142" i="65"/>
  <c r="J137" i="65"/>
  <c r="J143" i="65" s="1"/>
  <c r="J130" i="65"/>
  <c r="J127" i="65"/>
  <c r="J121" i="65"/>
  <c r="J117" i="65"/>
  <c r="J132" i="65" s="1"/>
  <c r="J112" i="65"/>
  <c r="J105" i="65"/>
  <c r="J91" i="65"/>
  <c r="J88" i="65"/>
  <c r="J78" i="65"/>
  <c r="J72" i="65"/>
  <c r="J68" i="65"/>
  <c r="P2" i="65" s="1"/>
  <c r="O18" i="33" s="1"/>
  <c r="J60" i="65"/>
  <c r="J55" i="65"/>
  <c r="J40" i="65"/>
  <c r="J32" i="65"/>
  <c r="J27" i="65"/>
  <c r="J23" i="65"/>
  <c r="J42" i="65" s="1"/>
  <c r="J43" i="65" s="1"/>
  <c r="J11" i="65"/>
  <c r="J13" i="65" s="1"/>
  <c r="J14" i="65" s="1"/>
  <c r="J44" i="65" s="1"/>
  <c r="J226" i="65" l="1"/>
  <c r="O11" i="64"/>
  <c r="J92" i="65"/>
  <c r="O12" i="33"/>
  <c r="O17" i="33"/>
  <c r="O19" i="33"/>
  <c r="O10" i="33"/>
  <c r="O13" i="33"/>
  <c r="O14" i="33" s="1"/>
  <c r="O20" i="33"/>
  <c r="N16" i="33"/>
  <c r="P16" i="33" s="1"/>
  <c r="N11" i="33"/>
  <c r="P11" i="33" s="1"/>
  <c r="M9" i="33"/>
  <c r="N9" i="33"/>
  <c r="P9" i="33" s="1"/>
  <c r="N7" i="33"/>
  <c r="O18" i="64"/>
  <c r="O15" i="64"/>
  <c r="O14" i="64"/>
  <c r="O2" i="64"/>
  <c r="O13" i="64"/>
  <c r="T14" i="63"/>
  <c r="T13" i="63"/>
  <c r="T12" i="63"/>
  <c r="T11" i="63"/>
  <c r="T4" i="63"/>
  <c r="T3" i="63"/>
  <c r="O6" i="64"/>
  <c r="T6" i="63"/>
  <c r="O4" i="64"/>
  <c r="O3" i="64"/>
  <c r="J233" i="64"/>
  <c r="J230" i="64"/>
  <c r="J234" i="64" s="1"/>
  <c r="J229" i="64"/>
  <c r="J217" i="64"/>
  <c r="J210" i="64"/>
  <c r="J209" i="64"/>
  <c r="J198" i="64"/>
  <c r="J191" i="64"/>
  <c r="J183" i="64"/>
  <c r="O17" i="64" s="1"/>
  <c r="J172" i="64"/>
  <c r="J165" i="64"/>
  <c r="J161" i="64"/>
  <c r="J156" i="64"/>
  <c r="J151" i="64"/>
  <c r="J162" i="64" s="1"/>
  <c r="J149" i="64"/>
  <c r="J142" i="64"/>
  <c r="J141" i="64"/>
  <c r="J137" i="64"/>
  <c r="J132" i="64"/>
  <c r="O12" i="64" s="1"/>
  <c r="J130" i="64"/>
  <c r="J127" i="64"/>
  <c r="J122" i="64"/>
  <c r="J119" i="64"/>
  <c r="J115" i="64"/>
  <c r="J97" i="64"/>
  <c r="J56" i="64"/>
  <c r="J44" i="64"/>
  <c r="J43" i="64"/>
  <c r="J41" i="64"/>
  <c r="J33" i="64"/>
  <c r="J28" i="64"/>
  <c r="J25" i="64"/>
  <c r="J20" i="64"/>
  <c r="J13" i="64"/>
  <c r="J14" i="64" s="1"/>
  <c r="J45" i="64" s="1"/>
  <c r="J11" i="64"/>
  <c r="O21" i="33" l="1"/>
  <c r="J227" i="65"/>
  <c r="J228" i="65" s="1"/>
  <c r="J229" i="65" s="1"/>
  <c r="J237" i="65" s="1"/>
  <c r="P11" i="65"/>
  <c r="J219" i="64"/>
  <c r="J220" i="64" s="1"/>
  <c r="J221" i="64" s="1"/>
  <c r="J222" i="64" s="1"/>
  <c r="J235" i="64" s="1"/>
  <c r="O7" i="64"/>
  <c r="N18" i="33" s="1"/>
  <c r="P18" i="33" s="1"/>
  <c r="O20" i="64"/>
  <c r="N23" i="33" s="1"/>
  <c r="O18" i="62"/>
  <c r="J154" i="62"/>
  <c r="P18" i="61"/>
  <c r="T18" i="63"/>
  <c r="O3" i="62"/>
  <c r="J113" i="63"/>
  <c r="O23" i="33" l="1"/>
  <c r="T17" i="63"/>
  <c r="O17" i="62"/>
  <c r="T15" i="63"/>
  <c r="O15" i="62"/>
  <c r="P23" i="33" l="1"/>
  <c r="O24" i="33"/>
  <c r="O26" i="33"/>
  <c r="O27" i="33" s="1"/>
  <c r="N13" i="33"/>
  <c r="P13" i="33" s="1"/>
  <c r="N12" i="33"/>
  <c r="N17" i="33"/>
  <c r="N10" i="33"/>
  <c r="N14" i="33" l="1"/>
  <c r="O2" i="62"/>
  <c r="T2" i="63"/>
  <c r="J231" i="63"/>
  <c r="J227" i="63"/>
  <c r="J228" i="63" s="1"/>
  <c r="J232" i="63" s="1"/>
  <c r="J215" i="63"/>
  <c r="J208" i="63"/>
  <c r="J207" i="63"/>
  <c r="J196" i="63"/>
  <c r="J189" i="63"/>
  <c r="J181" i="63"/>
  <c r="J170" i="63"/>
  <c r="J217" i="63" s="1"/>
  <c r="J163" i="63"/>
  <c r="J159" i="63"/>
  <c r="J154" i="63"/>
  <c r="J147" i="63"/>
  <c r="J149" i="63" s="1"/>
  <c r="J160" i="63" s="1"/>
  <c r="J140" i="63"/>
  <c r="J139" i="63"/>
  <c r="J135" i="63"/>
  <c r="J128" i="63"/>
  <c r="J125" i="63"/>
  <c r="J120" i="63"/>
  <c r="J117" i="63"/>
  <c r="T7" i="63"/>
  <c r="J106" i="63"/>
  <c r="J94" i="63"/>
  <c r="J90" i="63"/>
  <c r="J82" i="63"/>
  <c r="J75" i="63"/>
  <c r="J68" i="63"/>
  <c r="J60" i="63"/>
  <c r="J95" i="63" s="1"/>
  <c r="J56" i="63"/>
  <c r="J41" i="63"/>
  <c r="J31" i="63"/>
  <c r="J30" i="63"/>
  <c r="J33" i="63" s="1"/>
  <c r="J28" i="63"/>
  <c r="J25" i="63"/>
  <c r="J20" i="63"/>
  <c r="O12" i="63"/>
  <c r="J11" i="63"/>
  <c r="O11" i="63" s="1"/>
  <c r="O10" i="63"/>
  <c r="O9" i="63"/>
  <c r="L8" i="63"/>
  <c r="L31" i="63" s="1"/>
  <c r="J8" i="63"/>
  <c r="O8" i="63" s="1"/>
  <c r="L7" i="63"/>
  <c r="L30" i="63" s="1"/>
  <c r="J7" i="63"/>
  <c r="J13" i="63" s="1"/>
  <c r="L6" i="63"/>
  <c r="O6" i="63" s="1"/>
  <c r="J6" i="63"/>
  <c r="L5" i="63"/>
  <c r="O5" i="63" s="1"/>
  <c r="J5" i="63"/>
  <c r="N20" i="33" l="1"/>
  <c r="P20" i="33" s="1"/>
  <c r="N19" i="33"/>
  <c r="J130" i="63"/>
  <c r="T20" i="63" s="1"/>
  <c r="J14" i="63"/>
  <c r="O13" i="63"/>
  <c r="J43" i="63"/>
  <c r="J44" i="63" s="1"/>
  <c r="O7" i="63"/>
  <c r="P3" i="61"/>
  <c r="P2" i="61"/>
  <c r="J146" i="62"/>
  <c r="N24" i="33" l="1"/>
  <c r="N21" i="33"/>
  <c r="N26" i="33"/>
  <c r="N27" i="33" s="1"/>
  <c r="J218" i="63"/>
  <c r="J219" i="63" s="1"/>
  <c r="J45" i="63"/>
  <c r="P4" i="61"/>
  <c r="J220" i="63" l="1"/>
  <c r="J233" i="63" s="1"/>
  <c r="J42" i="62"/>
  <c r="O6" i="62"/>
  <c r="J73" i="61"/>
  <c r="L161" i="62"/>
  <c r="P6" i="61"/>
  <c r="J68" i="62"/>
  <c r="M11" i="33" l="1"/>
  <c r="O13" i="62"/>
  <c r="P13" i="61" l="1"/>
  <c r="J221" i="62"/>
  <c r="J217" i="62"/>
  <c r="J218" i="62" s="1"/>
  <c r="J222" i="62" s="1"/>
  <c r="J206" i="62"/>
  <c r="J200" i="62"/>
  <c r="J196" i="62"/>
  <c r="J197" i="62" s="1"/>
  <c r="J189" i="62"/>
  <c r="J182" i="62"/>
  <c r="J172" i="62"/>
  <c r="J162" i="62"/>
  <c r="J150" i="62"/>
  <c r="O4" i="62"/>
  <c r="J139" i="62"/>
  <c r="J140" i="62" s="1"/>
  <c r="J132" i="62"/>
  <c r="J128" i="62"/>
  <c r="J133" i="62" s="1"/>
  <c r="J122" i="62"/>
  <c r="J118" i="62"/>
  <c r="J115" i="62"/>
  <c r="J111" i="62"/>
  <c r="J103" i="62"/>
  <c r="J90" i="62"/>
  <c r="J82" i="62"/>
  <c r="J74" i="62"/>
  <c r="J56" i="62"/>
  <c r="J59" i="62" s="1"/>
  <c r="J91" i="62" s="1"/>
  <c r="O11" i="62" s="1"/>
  <c r="M16" i="33"/>
  <c r="J33" i="62"/>
  <c r="J27" i="62"/>
  <c r="J23" i="62"/>
  <c r="J11" i="62"/>
  <c r="J8" i="62"/>
  <c r="J7" i="62"/>
  <c r="J6" i="62"/>
  <c r="J5" i="62"/>
  <c r="J13" i="62" s="1"/>
  <c r="J14" i="62" s="1"/>
  <c r="M7" i="33" s="1"/>
  <c r="P7" i="33" s="1"/>
  <c r="P26" i="33" s="1"/>
  <c r="J151" i="62" l="1"/>
  <c r="O14" i="62" s="1"/>
  <c r="J123" i="62"/>
  <c r="O7" i="62"/>
  <c r="M18" i="33" s="1"/>
  <c r="J44" i="62"/>
  <c r="J45" i="62" s="1"/>
  <c r="J208" i="62"/>
  <c r="M12" i="33"/>
  <c r="O12" i="62" l="1"/>
  <c r="O20" i="62" s="1"/>
  <c r="M23" i="33" s="1"/>
  <c r="J209" i="62"/>
  <c r="J211" i="62" s="1"/>
  <c r="M20" i="33"/>
  <c r="M10" i="33"/>
  <c r="J46" i="62"/>
  <c r="M17" i="33"/>
  <c r="M19" i="33"/>
  <c r="M13" i="33"/>
  <c r="L9" i="33"/>
  <c r="O7" i="56"/>
  <c r="L16" i="33"/>
  <c r="L11" i="33"/>
  <c r="L7" i="33"/>
  <c r="O18" i="56"/>
  <c r="P15" i="61"/>
  <c r="P14" i="61"/>
  <c r="O15" i="56"/>
  <c r="O14" i="56"/>
  <c r="P12" i="61"/>
  <c r="O12" i="56"/>
  <c r="J188" i="61"/>
  <c r="J198" i="61"/>
  <c r="P17" i="61" s="1"/>
  <c r="J230" i="61"/>
  <c r="L12" i="33" l="1"/>
  <c r="M24" i="33"/>
  <c r="M26" i="33"/>
  <c r="M27" i="33" s="1"/>
  <c r="J212" i="62"/>
  <c r="J223" i="62" s="1"/>
  <c r="M21" i="33"/>
  <c r="M14" i="33"/>
  <c r="L10" i="33"/>
  <c r="L17" i="33"/>
  <c r="L13" i="33"/>
  <c r="J196" i="56"/>
  <c r="J189" i="56"/>
  <c r="J178" i="61"/>
  <c r="J173" i="56"/>
  <c r="J164" i="61"/>
  <c r="J151" i="61"/>
  <c r="J169" i="56"/>
  <c r="J171" i="61"/>
  <c r="L14" i="33" l="1"/>
  <c r="J97" i="61"/>
  <c r="J86" i="61"/>
  <c r="J79" i="61"/>
  <c r="P7" i="61"/>
  <c r="L18" i="33" s="1"/>
  <c r="J112" i="61"/>
  <c r="J119" i="61"/>
  <c r="J125" i="61"/>
  <c r="J128" i="61"/>
  <c r="J135" i="61"/>
  <c r="J138" i="61"/>
  <c r="J137" i="56"/>
  <c r="J95" i="56"/>
  <c r="J31" i="61"/>
  <c r="J40" i="61"/>
  <c r="J42" i="56"/>
  <c r="K30" i="56"/>
  <c r="M8" i="61"/>
  <c r="M7" i="61"/>
  <c r="M6" i="61"/>
  <c r="M5" i="61"/>
  <c r="L5" i="61"/>
  <c r="L8" i="61"/>
  <c r="L7" i="61"/>
  <c r="L6" i="61"/>
  <c r="J244" i="61"/>
  <c r="J240" i="61"/>
  <c r="J241" i="61" s="1"/>
  <c r="J222" i="61"/>
  <c r="J219" i="61"/>
  <c r="J214" i="61"/>
  <c r="J207" i="61"/>
  <c r="J181" i="61"/>
  <c r="J159" i="61"/>
  <c r="J160" i="61" s="1"/>
  <c r="J173" i="61" s="1"/>
  <c r="J146" i="61"/>
  <c r="J152" i="61" s="1"/>
  <c r="J100" i="61"/>
  <c r="J60" i="61"/>
  <c r="J64" i="61" s="1"/>
  <c r="J26" i="61"/>
  <c r="J23" i="61"/>
  <c r="J11" i="61"/>
  <c r="J13" i="61" s="1"/>
  <c r="J14" i="61" s="1"/>
  <c r="J232" i="61" l="1"/>
  <c r="L20" i="33"/>
  <c r="L19" i="33"/>
  <c r="J140" i="61"/>
  <c r="J46" i="61"/>
  <c r="J47" i="61" s="1"/>
  <c r="J48" i="61" s="1"/>
  <c r="J101" i="61"/>
  <c r="J245" i="61"/>
  <c r="J253" i="59"/>
  <c r="K249" i="59"/>
  <c r="K248" i="59"/>
  <c r="K247" i="59"/>
  <c r="J245" i="59"/>
  <c r="J238" i="59"/>
  <c r="J239" i="59" s="1"/>
  <c r="J229" i="59"/>
  <c r="J222" i="59"/>
  <c r="U217" i="59"/>
  <c r="J213" i="59"/>
  <c r="J254" i="59" s="1"/>
  <c r="U210" i="59"/>
  <c r="U204" i="59"/>
  <c r="U218" i="59" s="1"/>
  <c r="J202" i="59"/>
  <c r="U197" i="59"/>
  <c r="U194" i="59"/>
  <c r="J194" i="59"/>
  <c r="U188" i="59"/>
  <c r="J187" i="59"/>
  <c r="U184" i="59"/>
  <c r="J184" i="59"/>
  <c r="J178" i="59"/>
  <c r="U176" i="59"/>
  <c r="U178" i="59" s="1"/>
  <c r="U189" i="59" s="1"/>
  <c r="J174" i="59"/>
  <c r="K173" i="59"/>
  <c r="K172" i="59"/>
  <c r="K171" i="59"/>
  <c r="K170" i="59"/>
  <c r="U168" i="59"/>
  <c r="J166" i="59"/>
  <c r="J168" i="59" s="1"/>
  <c r="J179" i="59" s="1"/>
  <c r="U163" i="59"/>
  <c r="U169" i="59" s="1"/>
  <c r="J158" i="59"/>
  <c r="U156" i="59"/>
  <c r="J153" i="59"/>
  <c r="J159" i="59" s="1"/>
  <c r="U148" i="59"/>
  <c r="J145" i="59"/>
  <c r="U142" i="59"/>
  <c r="J142" i="59"/>
  <c r="U136" i="59"/>
  <c r="U158" i="59" s="1"/>
  <c r="J135" i="59"/>
  <c r="U129" i="59"/>
  <c r="J129" i="59"/>
  <c r="J123" i="59"/>
  <c r="J147" i="59" s="1"/>
  <c r="K122" i="59"/>
  <c r="K121" i="59"/>
  <c r="K120" i="59"/>
  <c r="K119" i="59"/>
  <c r="K118" i="59"/>
  <c r="J116" i="59"/>
  <c r="U113" i="59"/>
  <c r="U109" i="59"/>
  <c r="J103" i="59"/>
  <c r="J100" i="59"/>
  <c r="U98" i="59"/>
  <c r="U91" i="59"/>
  <c r="J91" i="59"/>
  <c r="U84" i="59"/>
  <c r="J84" i="59"/>
  <c r="J77" i="59"/>
  <c r="K76" i="59"/>
  <c r="U75" i="59"/>
  <c r="U114" i="59" s="1"/>
  <c r="U219" i="59" s="1"/>
  <c r="U220" i="59" s="1"/>
  <c r="K75" i="59"/>
  <c r="K74" i="59"/>
  <c r="U73" i="59"/>
  <c r="K73" i="59"/>
  <c r="K72" i="59"/>
  <c r="K71" i="59"/>
  <c r="K70" i="59"/>
  <c r="J68" i="59"/>
  <c r="J104" i="59" s="1"/>
  <c r="J255" i="59" s="1"/>
  <c r="J257" i="59" s="1"/>
  <c r="U67" i="59"/>
  <c r="J67" i="59"/>
  <c r="J61" i="59"/>
  <c r="U51" i="59"/>
  <c r="U52" i="59" s="1"/>
  <c r="U45" i="59"/>
  <c r="J45" i="59"/>
  <c r="J41" i="59"/>
  <c r="K40" i="59"/>
  <c r="K39" i="59"/>
  <c r="K38" i="59"/>
  <c r="K37" i="59"/>
  <c r="U36" i="59"/>
  <c r="K36" i="59"/>
  <c r="K35" i="59"/>
  <c r="K34" i="59"/>
  <c r="J32" i="59"/>
  <c r="K31" i="59"/>
  <c r="U30" i="59"/>
  <c r="K29" i="59"/>
  <c r="K28" i="59"/>
  <c r="K32" i="59" s="1"/>
  <c r="J26" i="59"/>
  <c r="K25" i="59"/>
  <c r="J23" i="59"/>
  <c r="K22" i="59"/>
  <c r="L22" i="59" s="1"/>
  <c r="M22" i="59" s="1"/>
  <c r="L21" i="59"/>
  <c r="M21" i="59" s="1"/>
  <c r="K20" i="59"/>
  <c r="L20" i="59" s="1"/>
  <c r="M20" i="59" s="1"/>
  <c r="U18" i="59"/>
  <c r="U21" i="59" s="1"/>
  <c r="J17" i="59"/>
  <c r="J47" i="59" s="1"/>
  <c r="J48" i="59" s="1"/>
  <c r="U14" i="59"/>
  <c r="U13" i="59"/>
  <c r="J10" i="59"/>
  <c r="J11" i="59" s="1"/>
  <c r="K9" i="59"/>
  <c r="K8" i="59"/>
  <c r="K7" i="59"/>
  <c r="K6" i="59"/>
  <c r="K10" i="59" s="1"/>
  <c r="K5" i="59"/>
  <c r="P11" i="61" l="1"/>
  <c r="P20" i="61" s="1"/>
  <c r="L23" i="33" s="1"/>
  <c r="L26" i="33" s="1"/>
  <c r="L27" i="33" s="1"/>
  <c r="J233" i="61"/>
  <c r="J234" i="61" s="1"/>
  <c r="L21" i="33"/>
  <c r="J49" i="59"/>
  <c r="J258" i="59" s="1"/>
  <c r="J259" i="59" s="1"/>
  <c r="U53" i="59"/>
  <c r="U54" i="59" s="1"/>
  <c r="U55" i="59" s="1"/>
  <c r="U221" i="59" s="1"/>
  <c r="U222" i="59" s="1"/>
  <c r="K19" i="59"/>
  <c r="L24" i="33" l="1"/>
  <c r="J235" i="61"/>
  <c r="J246" i="61" s="1"/>
  <c r="K23" i="59"/>
  <c r="L19" i="59"/>
  <c r="M19" i="59" s="1"/>
  <c r="M23" i="59" s="1"/>
  <c r="O31" i="56" l="1"/>
  <c r="O30" i="56"/>
  <c r="O32" i="56" s="1"/>
  <c r="O34" i="56" s="1"/>
  <c r="K37" i="56" l="1"/>
  <c r="K36" i="56"/>
  <c r="K35" i="56"/>
  <c r="K34" i="56"/>
  <c r="K33" i="56"/>
  <c r="K32" i="56"/>
  <c r="K31" i="56"/>
  <c r="I16" i="58"/>
  <c r="H16" i="58"/>
  <c r="K14" i="58"/>
  <c r="G14" i="58"/>
  <c r="F14" i="58"/>
  <c r="K13" i="58"/>
  <c r="G13" i="58"/>
  <c r="F13" i="58"/>
  <c r="J13" i="58" s="1"/>
  <c r="K12" i="58"/>
  <c r="G12" i="58"/>
  <c r="J12" i="58" s="1"/>
  <c r="K11" i="58"/>
  <c r="G11" i="58"/>
  <c r="F11" i="58"/>
  <c r="K10" i="58"/>
  <c r="G10" i="58"/>
  <c r="J10" i="58" s="1"/>
  <c r="L10" i="58" s="1"/>
  <c r="M10" i="58" s="1"/>
  <c r="K9" i="58"/>
  <c r="G9" i="58"/>
  <c r="J9" i="58" s="1"/>
  <c r="K8" i="58"/>
  <c r="G8" i="58"/>
  <c r="F8" i="58"/>
  <c r="B8" i="58"/>
  <c r="B9" i="58" s="1"/>
  <c r="B10" i="58" s="1"/>
  <c r="B11" i="58" s="1"/>
  <c r="B12" i="58" s="1"/>
  <c r="B13" i="58" s="1"/>
  <c r="B14" i="58" s="1"/>
  <c r="K7" i="58"/>
  <c r="F7" i="58"/>
  <c r="J7" i="58" s="1"/>
  <c r="L7" i="58" s="1"/>
  <c r="M7" i="58" s="1"/>
  <c r="D7" i="58"/>
  <c r="D8" i="58" s="1"/>
  <c r="D9" i="58" s="1"/>
  <c r="D10" i="58" s="1"/>
  <c r="D11" i="58" s="1"/>
  <c r="D12" i="58" s="1"/>
  <c r="D13" i="58" s="1"/>
  <c r="D14" i="58" s="1"/>
  <c r="B7" i="58"/>
  <c r="K6" i="58"/>
  <c r="F6" i="58"/>
  <c r="J11" i="58" l="1"/>
  <c r="L11" i="58" s="1"/>
  <c r="M11" i="58" s="1"/>
  <c r="J14" i="58"/>
  <c r="L14" i="58" s="1"/>
  <c r="M14" i="58" s="1"/>
  <c r="L12" i="58"/>
  <c r="M12" i="58" s="1"/>
  <c r="L13" i="58"/>
  <c r="M13" i="58" s="1"/>
  <c r="K16" i="58"/>
  <c r="L9" i="58"/>
  <c r="M9" i="58" s="1"/>
  <c r="J8" i="58"/>
  <c r="L8" i="58" s="1"/>
  <c r="M8" i="58" s="1"/>
  <c r="F16" i="58"/>
  <c r="G16" i="58"/>
  <c r="J6" i="58"/>
  <c r="J16" i="58" l="1"/>
  <c r="L6" i="58"/>
  <c r="M6" i="58" s="1"/>
  <c r="M16" i="58" s="1"/>
  <c r="N16" i="58" l="1"/>
  <c r="K11" i="56"/>
  <c r="L16" i="58"/>
  <c r="H18" i="58"/>
  <c r="F18" i="58"/>
  <c r="I18" i="58"/>
  <c r="G18" i="58"/>
  <c r="J18" i="58" l="1"/>
  <c r="L18" i="55"/>
  <c r="L21" i="55"/>
  <c r="K16" i="33" l="1"/>
  <c r="K11" i="33"/>
  <c r="K7" i="33" l="1"/>
  <c r="J207" i="56"/>
  <c r="J206" i="56"/>
  <c r="L204" i="52"/>
  <c r="M24" i="52"/>
  <c r="P18" i="56"/>
  <c r="O20" i="55"/>
  <c r="O16" i="56"/>
  <c r="O18" i="55"/>
  <c r="O17" i="55"/>
  <c r="O14" i="55"/>
  <c r="O8" i="56"/>
  <c r="K18" i="33" s="1"/>
  <c r="K20" i="33" s="1"/>
  <c r="O9" i="55"/>
  <c r="O5" i="56"/>
  <c r="O4" i="56"/>
  <c r="O6" i="55"/>
  <c r="O3" i="56"/>
  <c r="O5" i="55"/>
  <c r="J182" i="56"/>
  <c r="J179" i="56"/>
  <c r="J163" i="56"/>
  <c r="J174" i="56" s="1"/>
  <c r="J161" i="56"/>
  <c r="J153" i="56"/>
  <c r="J148" i="56"/>
  <c r="J154" i="56" s="1"/>
  <c r="J140" i="56"/>
  <c r="J130" i="56"/>
  <c r="J124" i="56"/>
  <c r="J118" i="56"/>
  <c r="J111" i="56"/>
  <c r="J142" i="56" s="1"/>
  <c r="O13" i="56" s="1"/>
  <c r="J98" i="56"/>
  <c r="J86" i="56"/>
  <c r="J79" i="56"/>
  <c r="J72" i="56"/>
  <c r="J62" i="56"/>
  <c r="J63" i="56" s="1"/>
  <c r="J99" i="56" s="1"/>
  <c r="J56" i="56"/>
  <c r="J41" i="56"/>
  <c r="J37" i="56"/>
  <c r="J28" i="56"/>
  <c r="J22" i="56"/>
  <c r="J19" i="56"/>
  <c r="J10" i="56"/>
  <c r="J11" i="56" s="1"/>
  <c r="J208" i="56" l="1"/>
  <c r="J210" i="56" s="1"/>
  <c r="J43" i="56"/>
  <c r="J44" i="56" s="1"/>
  <c r="K12" i="33"/>
  <c r="K19" i="33"/>
  <c r="K17" i="33"/>
  <c r="O19" i="56"/>
  <c r="K21" i="33"/>
  <c r="K30" i="55"/>
  <c r="M30" i="55"/>
  <c r="P14" i="55" l="1"/>
  <c r="P12" i="56"/>
  <c r="O21" i="56"/>
  <c r="K9" i="33"/>
  <c r="K13" i="33" s="1"/>
  <c r="K14" i="33" s="1"/>
  <c r="L43" i="56"/>
  <c r="J211" i="56"/>
  <c r="J212" i="56" s="1"/>
  <c r="O114" i="55"/>
  <c r="K29" i="55"/>
  <c r="L20" i="55"/>
  <c r="L19" i="55"/>
  <c r="J7" i="33"/>
  <c r="J9" i="33"/>
  <c r="H7" i="33"/>
  <c r="O24" i="56" l="1"/>
  <c r="K23" i="33"/>
  <c r="K24" i="33" s="1"/>
  <c r="K10" i="33"/>
  <c r="K19" i="52"/>
  <c r="J23" i="33"/>
  <c r="J18" i="33"/>
  <c r="J16" i="33"/>
  <c r="J11" i="33"/>
  <c r="J13" i="33" s="1"/>
  <c r="J36" i="55"/>
  <c r="O16" i="55"/>
  <c r="M14" i="52"/>
  <c r="O23" i="55"/>
  <c r="O21" i="55"/>
  <c r="O15" i="55"/>
  <c r="M12" i="52"/>
  <c r="O10" i="55"/>
  <c r="O7" i="55"/>
  <c r="J217" i="55"/>
  <c r="J210" i="55"/>
  <c r="J204" i="55"/>
  <c r="J218" i="55" s="1"/>
  <c r="J197" i="55"/>
  <c r="J194" i="55"/>
  <c r="J188" i="55"/>
  <c r="J184" i="55"/>
  <c r="J176" i="55"/>
  <c r="J178" i="55" s="1"/>
  <c r="J189" i="55" s="1"/>
  <c r="J169" i="55"/>
  <c r="J168" i="55"/>
  <c r="J163" i="55"/>
  <c r="J156" i="55"/>
  <c r="J148" i="55"/>
  <c r="J142" i="55"/>
  <c r="J136" i="55"/>
  <c r="J129" i="55"/>
  <c r="J158" i="55" s="1"/>
  <c r="J113" i="55"/>
  <c r="J109" i="55"/>
  <c r="J98" i="55"/>
  <c r="J91" i="55"/>
  <c r="J84" i="55"/>
  <c r="J73" i="55"/>
  <c r="J75" i="55" s="1"/>
  <c r="J114" i="55" s="1"/>
  <c r="J67" i="55"/>
  <c r="J51" i="55"/>
  <c r="J52" i="55" s="1"/>
  <c r="J45" i="55"/>
  <c r="J30" i="55"/>
  <c r="J18" i="55"/>
  <c r="J21" i="55" s="1"/>
  <c r="J53" i="55" s="1"/>
  <c r="J54" i="55" s="1"/>
  <c r="J14" i="55"/>
  <c r="J13" i="55"/>
  <c r="K26" i="33" l="1"/>
  <c r="K27" i="33" s="1"/>
  <c r="J219" i="55"/>
  <c r="J220" i="55" s="1"/>
  <c r="J55" i="55"/>
  <c r="J221" i="55" l="1"/>
  <c r="J222" i="55" s="1"/>
  <c r="M19" i="52" l="1"/>
  <c r="M18" i="52"/>
  <c r="M16" i="52"/>
  <c r="I7" i="33"/>
  <c r="J19" i="33" l="1"/>
  <c r="J12" i="33"/>
  <c r="J17" i="33"/>
  <c r="J20" i="33" l="1"/>
  <c r="J21" i="33" l="1"/>
  <c r="J26" i="33"/>
  <c r="J10" i="33"/>
  <c r="J14" i="33" l="1"/>
  <c r="B27" i="33"/>
  <c r="J192" i="52" l="1"/>
  <c r="M15" i="52" l="1"/>
  <c r="M13" i="52"/>
  <c r="M5" i="52"/>
  <c r="M4" i="52"/>
  <c r="M3" i="52"/>
  <c r="I16" i="33"/>
  <c r="I11" i="33"/>
  <c r="I9" i="33"/>
  <c r="J202" i="52"/>
  <c r="J197" i="52"/>
  <c r="J203" i="52"/>
  <c r="J184" i="52"/>
  <c r="J181" i="52"/>
  <c r="J174" i="52"/>
  <c r="J170" i="52"/>
  <c r="J164" i="52"/>
  <c r="J175" i="52" s="1"/>
  <c r="J162" i="52"/>
  <c r="J154" i="52"/>
  <c r="J149" i="52"/>
  <c r="J155" i="52" s="1"/>
  <c r="J143" i="52"/>
  <c r="J140" i="52"/>
  <c r="J132" i="52"/>
  <c r="J128" i="52"/>
  <c r="J122" i="52"/>
  <c r="J115" i="52"/>
  <c r="J144" i="52" s="1"/>
  <c r="J100" i="52"/>
  <c r="J96" i="52"/>
  <c r="J83" i="52"/>
  <c r="J77" i="52"/>
  <c r="J70" i="52"/>
  <c r="J60" i="52"/>
  <c r="J53" i="52"/>
  <c r="J61" i="52" s="1"/>
  <c r="J38" i="52"/>
  <c r="J34" i="52"/>
  <c r="J25" i="52"/>
  <c r="J15" i="52"/>
  <c r="J19" i="52" s="1"/>
  <c r="J39" i="52" s="1"/>
  <c r="J40" i="52" s="1"/>
  <c r="J10" i="52"/>
  <c r="J11" i="52" s="1"/>
  <c r="J101" i="52" l="1"/>
  <c r="M7" i="52"/>
  <c r="J41" i="52"/>
  <c r="I17" i="33"/>
  <c r="I12" i="33"/>
  <c r="I10" i="33"/>
  <c r="I13" i="33"/>
  <c r="J204" i="52" l="1"/>
  <c r="J205" i="52" s="1"/>
  <c r="J206" i="52" s="1"/>
  <c r="J207" i="52" s="1"/>
  <c r="M8" i="52"/>
  <c r="I18" i="33" s="1"/>
  <c r="I14" i="33"/>
  <c r="M21" i="52"/>
  <c r="I23" i="33" s="1"/>
  <c r="I24" i="33" s="1"/>
  <c r="J15" i="48"/>
  <c r="I19" i="33" l="1"/>
  <c r="I20" i="33"/>
  <c r="I21" i="33" s="1"/>
  <c r="J44" i="48"/>
  <c r="J50" i="47"/>
  <c r="J47" i="47"/>
  <c r="I26" i="33" l="1"/>
  <c r="J28" i="51"/>
  <c r="I27" i="33" l="1"/>
  <c r="G16" i="33"/>
  <c r="G11" i="33"/>
  <c r="M18" i="48"/>
  <c r="M19" i="51"/>
  <c r="M16" i="51"/>
  <c r="M15" i="51"/>
  <c r="M14" i="51"/>
  <c r="M13" i="51"/>
  <c r="M12" i="51"/>
  <c r="H18" i="33"/>
  <c r="M7" i="51"/>
  <c r="M5" i="51"/>
  <c r="M4" i="51"/>
  <c r="M3" i="51"/>
  <c r="H16" i="33"/>
  <c r="J26" i="51"/>
  <c r="J211" i="51"/>
  <c r="J212" i="51" s="1"/>
  <c r="J213" i="51" s="1"/>
  <c r="J201" i="51"/>
  <c r="J195" i="51"/>
  <c r="M18" i="51" s="1"/>
  <c r="J189" i="51"/>
  <c r="J183" i="51"/>
  <c r="J178" i="51"/>
  <c r="J174" i="51"/>
  <c r="J166" i="51"/>
  <c r="J168" i="51" s="1"/>
  <c r="J179" i="51" s="1"/>
  <c r="J158" i="51"/>
  <c r="J159" i="51" s="1"/>
  <c r="J153" i="51"/>
  <c r="J146" i="51"/>
  <c r="J138" i="51"/>
  <c r="J133" i="51"/>
  <c r="J127" i="51"/>
  <c r="J120" i="51"/>
  <c r="J147" i="51" s="1"/>
  <c r="J107" i="51"/>
  <c r="J103" i="51"/>
  <c r="J92" i="51"/>
  <c r="J88" i="51"/>
  <c r="J81" i="51"/>
  <c r="J71" i="51"/>
  <c r="J72" i="51" s="1"/>
  <c r="J108" i="51" s="1"/>
  <c r="J65" i="51"/>
  <c r="J49" i="51"/>
  <c r="J48" i="51"/>
  <c r="J41" i="51"/>
  <c r="J32" i="51"/>
  <c r="H11" i="33" s="1"/>
  <c r="J16" i="51"/>
  <c r="J20" i="51" s="1"/>
  <c r="J11" i="51"/>
  <c r="J12" i="51" s="1"/>
  <c r="J5" i="51"/>
  <c r="J202" i="51" l="1"/>
  <c r="J203" i="51" s="1"/>
  <c r="J204" i="51" s="1"/>
  <c r="H19" i="33" l="1"/>
  <c r="H17" i="33"/>
  <c r="H12" i="33"/>
  <c r="G7" i="33"/>
  <c r="M19" i="48"/>
  <c r="M16" i="48"/>
  <c r="M15" i="48"/>
  <c r="M14" i="48"/>
  <c r="M13" i="48"/>
  <c r="M12" i="48"/>
  <c r="G18" i="33"/>
  <c r="M7" i="48"/>
  <c r="M5" i="48"/>
  <c r="M4" i="48"/>
  <c r="M3" i="48"/>
  <c r="J214" i="48"/>
  <c r="J215" i="48" s="1"/>
  <c r="J216" i="48" s="1"/>
  <c r="J204" i="48"/>
  <c r="J197" i="48"/>
  <c r="J192" i="48"/>
  <c r="J186" i="48"/>
  <c r="J181" i="48"/>
  <c r="J176" i="48"/>
  <c r="J168" i="48"/>
  <c r="J170" i="48" s="1"/>
  <c r="J160" i="48"/>
  <c r="J155" i="48"/>
  <c r="J161" i="48" s="1"/>
  <c r="J148" i="48"/>
  <c r="J145" i="48"/>
  <c r="J137" i="48"/>
  <c r="J133" i="48"/>
  <c r="J128" i="48"/>
  <c r="J121" i="48"/>
  <c r="J108" i="48"/>
  <c r="J102" i="48"/>
  <c r="J92" i="48"/>
  <c r="J87" i="48"/>
  <c r="J80" i="48"/>
  <c r="J69" i="48"/>
  <c r="J63" i="48"/>
  <c r="J48" i="48"/>
  <c r="J42" i="48"/>
  <c r="J33" i="48"/>
  <c r="J27" i="48"/>
  <c r="J19" i="48"/>
  <c r="J5" i="48"/>
  <c r="J10" i="48" s="1"/>
  <c r="J11" i="48" s="1"/>
  <c r="M8" i="51" l="1"/>
  <c r="H20" i="33"/>
  <c r="H21" i="33" s="1"/>
  <c r="M21" i="51"/>
  <c r="H23" i="33" s="1"/>
  <c r="H24" i="33" s="1"/>
  <c r="J182" i="48"/>
  <c r="J49" i="48"/>
  <c r="J50" i="48" s="1"/>
  <c r="J149" i="48"/>
  <c r="J71" i="48"/>
  <c r="J109" i="48" s="1"/>
  <c r="J205" i="48"/>
  <c r="J51" i="48" l="1"/>
  <c r="G9" i="33"/>
  <c r="J206" i="48"/>
  <c r="J207" i="48" s="1"/>
  <c r="J208" i="48" l="1"/>
  <c r="J217" i="48" s="1"/>
  <c r="J201" i="47"/>
  <c r="M19" i="47" s="1"/>
  <c r="J195" i="47"/>
  <c r="M18" i="47" s="1"/>
  <c r="J188" i="47"/>
  <c r="J182" i="47"/>
  <c r="M16" i="47" s="1"/>
  <c r="J177" i="47"/>
  <c r="J173" i="47"/>
  <c r="M5" i="47" s="1"/>
  <c r="J165" i="47"/>
  <c r="J167" i="47" s="1"/>
  <c r="J178" i="47" s="1"/>
  <c r="M15" i="47" s="1"/>
  <c r="J157" i="47"/>
  <c r="J153" i="47"/>
  <c r="J146" i="47"/>
  <c r="J143" i="47"/>
  <c r="J135" i="47"/>
  <c r="J131" i="47"/>
  <c r="J126" i="47"/>
  <c r="M4" i="47" s="1"/>
  <c r="J119" i="47"/>
  <c r="J106" i="47"/>
  <c r="J102" i="47"/>
  <c r="J91" i="47"/>
  <c r="J87" i="47"/>
  <c r="J81" i="47"/>
  <c r="M3" i="47" s="1"/>
  <c r="J71" i="47"/>
  <c r="J65" i="47"/>
  <c r="J43" i="47"/>
  <c r="F16" i="33" s="1"/>
  <c r="J34" i="47"/>
  <c r="F11" i="33" s="1"/>
  <c r="J29" i="47"/>
  <c r="J18" i="47"/>
  <c r="J5" i="47"/>
  <c r="J9" i="47" s="1"/>
  <c r="J10" i="47" s="1"/>
  <c r="F7" i="33" s="1"/>
  <c r="J202" i="47" l="1"/>
  <c r="M7" i="47"/>
  <c r="J147" i="47"/>
  <c r="M13" i="47" s="1"/>
  <c r="J52" i="47"/>
  <c r="J53" i="47" s="1"/>
  <c r="J158" i="47"/>
  <c r="M14" i="47" s="1"/>
  <c r="J73" i="47"/>
  <c r="J107" i="47" s="1"/>
  <c r="J54" i="47" l="1"/>
  <c r="F9" i="33"/>
  <c r="J203" i="47"/>
  <c r="J204" i="47" s="1"/>
  <c r="M12" i="47"/>
  <c r="J205" i="47" l="1"/>
  <c r="J206" i="47" s="1"/>
  <c r="F12" i="33"/>
  <c r="M21" i="47"/>
  <c r="F10" i="33" l="1"/>
  <c r="W5" i="49"/>
  <c r="W4" i="49"/>
  <c r="W3" i="49"/>
  <c r="W22" i="49" s="1"/>
  <c r="W34" i="49"/>
  <c r="W33" i="49"/>
  <c r="W32" i="49"/>
  <c r="W31" i="49"/>
  <c r="W30" i="49"/>
  <c r="W29" i="49"/>
  <c r="W28" i="49"/>
  <c r="W26" i="49"/>
  <c r="W25" i="49"/>
  <c r="W24" i="49"/>
  <c r="W17" i="49"/>
  <c r="W16" i="49"/>
  <c r="W15" i="49"/>
  <c r="W14" i="49"/>
  <c r="W13" i="49"/>
  <c r="W12" i="49"/>
  <c r="W11" i="49"/>
  <c r="W10" i="49"/>
  <c r="W9" i="49"/>
  <c r="W8" i="49"/>
  <c r="W7" i="49"/>
  <c r="W18" i="49"/>
  <c r="W23" i="49"/>
  <c r="J272" i="50"/>
  <c r="J268" i="50"/>
  <c r="J269" i="50" s="1"/>
  <c r="J273" i="50" s="1"/>
  <c r="J258" i="50"/>
  <c r="J250" i="50"/>
  <c r="M32" i="50" s="1"/>
  <c r="J243" i="50"/>
  <c r="J244" i="50" s="1"/>
  <c r="M30" i="50" s="1"/>
  <c r="J235" i="50"/>
  <c r="J227" i="50"/>
  <c r="M31" i="50" s="1"/>
  <c r="J210" i="50"/>
  <c r="J217" i="50" s="1"/>
  <c r="M28" i="50" s="1"/>
  <c r="J202" i="50"/>
  <c r="J196" i="50"/>
  <c r="J259" i="50" s="1"/>
  <c r="J182" i="50"/>
  <c r="J176" i="50"/>
  <c r="J172" i="50"/>
  <c r="M5" i="50" s="1"/>
  <c r="J165" i="50"/>
  <c r="J167" i="50" s="1"/>
  <c r="J177" i="50" s="1"/>
  <c r="M25" i="50" s="1"/>
  <c r="J157" i="50"/>
  <c r="J158" i="50" s="1"/>
  <c r="M24" i="50" s="1"/>
  <c r="J152" i="50"/>
  <c r="J146" i="50"/>
  <c r="J143" i="50"/>
  <c r="J135" i="50"/>
  <c r="J130" i="50"/>
  <c r="J124" i="50"/>
  <c r="J118" i="50"/>
  <c r="J147" i="50" s="1"/>
  <c r="M23" i="50" s="1"/>
  <c r="J106" i="50"/>
  <c r="J100" i="50"/>
  <c r="J90" i="50"/>
  <c r="J83" i="50"/>
  <c r="J76" i="50"/>
  <c r="J66" i="50"/>
  <c r="J68" i="50" s="1"/>
  <c r="J107" i="50" s="1"/>
  <c r="J60" i="50"/>
  <c r="J46" i="50"/>
  <c r="J47" i="50" s="1"/>
  <c r="J44" i="50"/>
  <c r="J38" i="50"/>
  <c r="M34" i="50"/>
  <c r="M33" i="50"/>
  <c r="J30" i="50"/>
  <c r="M29" i="50"/>
  <c r="M26" i="50"/>
  <c r="J24" i="50"/>
  <c r="J21" i="50"/>
  <c r="J12" i="50"/>
  <c r="J11" i="50"/>
  <c r="M4" i="50"/>
  <c r="M3" i="50"/>
  <c r="M18" i="50" s="1"/>
  <c r="F13" i="33" l="1"/>
  <c r="W36" i="49"/>
  <c r="J48" i="50"/>
  <c r="J260" i="50"/>
  <c r="J261" i="50" s="1"/>
  <c r="M22" i="50"/>
  <c r="M36" i="50" s="1"/>
  <c r="F14" i="33" l="1"/>
  <c r="J262" i="50"/>
  <c r="J274" i="50" s="1"/>
  <c r="J269" i="49"/>
  <c r="T269" i="49"/>
  <c r="J259" i="49"/>
  <c r="J255" i="49"/>
  <c r="J256" i="49" s="1"/>
  <c r="T262" i="49"/>
  <c r="T255" i="49"/>
  <c r="T256" i="49" s="1"/>
  <c r="J246" i="49"/>
  <c r="J238" i="49"/>
  <c r="T246" i="49"/>
  <c r="T239" i="49"/>
  <c r="J219" i="49"/>
  <c r="J228" i="49" s="1"/>
  <c r="T220" i="49"/>
  <c r="T229" i="49" s="1"/>
  <c r="J211" i="49"/>
  <c r="J204" i="49"/>
  <c r="T211" i="49"/>
  <c r="T204" i="49"/>
  <c r="J190" i="49"/>
  <c r="J184" i="49"/>
  <c r="T182" i="49"/>
  <c r="J180" i="49"/>
  <c r="T177" i="49"/>
  <c r="J173" i="49"/>
  <c r="J175" i="49" s="1"/>
  <c r="T173" i="49"/>
  <c r="T166" i="49"/>
  <c r="T168" i="49" s="1"/>
  <c r="J165" i="49"/>
  <c r="J166" i="49" s="1"/>
  <c r="J160" i="49"/>
  <c r="T158" i="49"/>
  <c r="J157" i="49"/>
  <c r="T154" i="49"/>
  <c r="J149" i="49"/>
  <c r="T147" i="49"/>
  <c r="J146" i="49"/>
  <c r="T144" i="49"/>
  <c r="J138" i="49"/>
  <c r="T136" i="49"/>
  <c r="J133" i="49"/>
  <c r="T131" i="49"/>
  <c r="J127" i="49"/>
  <c r="T125" i="49"/>
  <c r="J121" i="49"/>
  <c r="T119" i="49"/>
  <c r="J108" i="49"/>
  <c r="T107" i="49"/>
  <c r="J104" i="49"/>
  <c r="T103" i="49"/>
  <c r="J93" i="49"/>
  <c r="T92" i="49"/>
  <c r="J87" i="49"/>
  <c r="T86" i="49"/>
  <c r="J80" i="49"/>
  <c r="T79" i="49"/>
  <c r="J70" i="49"/>
  <c r="T69" i="49"/>
  <c r="J64" i="49"/>
  <c r="J72" i="49" s="1"/>
  <c r="J109" i="49" s="1"/>
  <c r="T63" i="49"/>
  <c r="T49" i="49"/>
  <c r="J49" i="49"/>
  <c r="T46" i="49"/>
  <c r="J46" i="49"/>
  <c r="T38" i="49"/>
  <c r="J38" i="49"/>
  <c r="T32" i="49"/>
  <c r="J32" i="49"/>
  <c r="T21" i="49"/>
  <c r="J17" i="49"/>
  <c r="J21" i="49" s="1"/>
  <c r="J51" i="49" s="1"/>
  <c r="J52" i="49" s="1"/>
  <c r="T11" i="49"/>
  <c r="T12" i="49" s="1"/>
  <c r="J9" i="49"/>
  <c r="J8" i="49"/>
  <c r="J7" i="49"/>
  <c r="J6" i="49"/>
  <c r="J11" i="49" s="1"/>
  <c r="J12" i="49" s="1"/>
  <c r="J161" i="49" l="1"/>
  <c r="T178" i="49"/>
  <c r="T71" i="49"/>
  <c r="T108" i="49" s="1"/>
  <c r="T159" i="49"/>
  <c r="T271" i="49" s="1"/>
  <c r="T272" i="49" s="1"/>
  <c r="T148" i="49"/>
  <c r="T51" i="49"/>
  <c r="T52" i="49" s="1"/>
  <c r="J150" i="49"/>
  <c r="J185" i="49"/>
  <c r="J271" i="49" s="1"/>
  <c r="J272" i="49" s="1"/>
  <c r="T270" i="49"/>
  <c r="J270" i="49"/>
  <c r="J53" i="49"/>
  <c r="T53" i="49" l="1"/>
  <c r="T273" i="49"/>
  <c r="T274" i="49" s="1"/>
  <c r="J273" i="49"/>
  <c r="J274" i="49" s="1"/>
  <c r="M8" i="48"/>
  <c r="G19" i="33" s="1"/>
  <c r="G17" i="33" l="1"/>
  <c r="G12" i="33"/>
  <c r="G13" i="33"/>
  <c r="G10" i="33"/>
  <c r="M21" i="48"/>
  <c r="G23" i="33" s="1"/>
  <c r="G24" i="33" s="1"/>
  <c r="G20" i="33"/>
  <c r="G21" i="33" s="1"/>
  <c r="G14" i="33" l="1"/>
  <c r="G26" i="33"/>
  <c r="J219" i="48" s="1"/>
  <c r="G27" i="33" l="1"/>
  <c r="M8" i="47"/>
  <c r="F18" i="33" s="1"/>
  <c r="C24" i="33"/>
  <c r="B24" i="33"/>
  <c r="C21" i="33"/>
  <c r="B21" i="33"/>
  <c r="C19" i="33"/>
  <c r="B19" i="33"/>
  <c r="B14" i="33"/>
  <c r="C14" i="33"/>
  <c r="B12" i="33"/>
  <c r="C12" i="33"/>
  <c r="B10" i="33"/>
  <c r="C10" i="33"/>
  <c r="B17" i="33"/>
  <c r="C17" i="33"/>
  <c r="C27" i="33"/>
  <c r="G4" i="46" l="1"/>
  <c r="G5" i="46" s="1"/>
  <c r="G6" i="46" s="1"/>
  <c r="G7" i="46" s="1"/>
  <c r="G8" i="46" s="1"/>
  <c r="G9" i="46" s="1"/>
  <c r="G10" i="46" s="1"/>
  <c r="G11" i="46" s="1"/>
  <c r="F12" i="46"/>
  <c r="F20" i="33" l="1"/>
  <c r="F17" i="33"/>
  <c r="F19" i="33"/>
  <c r="F23" i="33"/>
  <c r="N22" i="38"/>
  <c r="O33" i="38"/>
  <c r="N33" i="38" s="1"/>
  <c r="O32" i="38"/>
  <c r="O31" i="38"/>
  <c r="N31" i="38" s="1"/>
  <c r="O30" i="38"/>
  <c r="N30" i="38" s="1"/>
  <c r="O29" i="38"/>
  <c r="O26" i="38"/>
  <c r="N26" i="38" s="1"/>
  <c r="N25" i="38"/>
  <c r="O15" i="38"/>
  <c r="O14" i="38"/>
  <c r="N14" i="38" s="1"/>
  <c r="O13" i="38"/>
  <c r="N13" i="38" s="1"/>
  <c r="O12" i="38"/>
  <c r="N12" i="38" s="1"/>
  <c r="O11" i="38"/>
  <c r="N11" i="38" s="1"/>
  <c r="O10" i="38"/>
  <c r="N10" i="38" s="1"/>
  <c r="O9" i="38"/>
  <c r="N9" i="38" s="1"/>
  <c r="N6" i="38"/>
  <c r="N5" i="38"/>
  <c r="N4" i="38"/>
  <c r="N3" i="38"/>
  <c r="N2" i="38"/>
  <c r="F21" i="33" l="1"/>
  <c r="F24" i="33"/>
  <c r="F26" i="33"/>
  <c r="P12" i="33"/>
  <c r="P17" i="33"/>
  <c r="P19" i="33"/>
  <c r="N15" i="38"/>
  <c r="N16" i="38" s="1"/>
  <c r="N21" i="38"/>
  <c r="N24" i="38"/>
  <c r="N23" i="38"/>
  <c r="N32" i="38"/>
  <c r="N29" i="38"/>
  <c r="N20" i="38"/>
  <c r="J208" i="47" l="1"/>
  <c r="F27" i="33"/>
  <c r="P21" i="33"/>
  <c r="N34" i="38"/>
  <c r="F17" i="6"/>
  <c r="F22" i="6" l="1"/>
  <c r="F15" i="6"/>
  <c r="F19" i="6" s="1"/>
  <c r="F10" i="6"/>
  <c r="F6" i="6" l="1"/>
  <c r="F8" i="6"/>
  <c r="F12" i="6" s="1"/>
  <c r="K21" i="28"/>
  <c r="K20" i="28"/>
  <c r="K19" i="28"/>
  <c r="K18" i="28"/>
  <c r="K17" i="28"/>
  <c r="K14" i="28"/>
  <c r="K8" i="28"/>
  <c r="J8" i="28" s="1"/>
  <c r="K7" i="28"/>
  <c r="J7" i="28" s="1"/>
  <c r="K6" i="28"/>
  <c r="J6" i="28" s="1"/>
  <c r="K5" i="28"/>
  <c r="J5" i="28" s="1"/>
  <c r="K4" i="28"/>
  <c r="J4" i="28" s="1"/>
  <c r="K3" i="28"/>
  <c r="K2" i="28"/>
  <c r="J8" i="34"/>
  <c r="I8" i="34"/>
  <c r="H8" i="34"/>
  <c r="G8" i="34"/>
  <c r="F8" i="34"/>
  <c r="E8" i="34"/>
  <c r="D8" i="34"/>
  <c r="C8" i="34"/>
  <c r="B8" i="34"/>
  <c r="J42" i="30"/>
  <c r="I42" i="30"/>
  <c r="H42" i="30"/>
  <c r="G42" i="30"/>
  <c r="F42" i="30"/>
  <c r="E42" i="30"/>
  <c r="D42" i="30"/>
  <c r="C42" i="30"/>
  <c r="B42" i="30"/>
  <c r="F18" i="6" l="1"/>
  <c r="F23" i="6"/>
  <c r="F25" i="6"/>
  <c r="F26" i="6" s="1"/>
  <c r="F16" i="6"/>
  <c r="F11" i="6"/>
  <c r="F13" i="6"/>
  <c r="F9" i="6"/>
  <c r="F20" i="6"/>
  <c r="J13" i="28"/>
  <c r="J12" i="28"/>
  <c r="G66" i="28"/>
  <c r="J17" i="28" s="1"/>
  <c r="G90" i="28"/>
  <c r="J20" i="28" s="1"/>
  <c r="G84" i="28"/>
  <c r="J19" i="28" s="1"/>
  <c r="G81" i="28"/>
  <c r="J18" i="28" s="1"/>
  <c r="G77" i="28"/>
  <c r="J14" i="28" s="1"/>
  <c r="G71" i="28"/>
  <c r="J21" i="28" s="1"/>
  <c r="C7" i="31"/>
  <c r="K7" i="31" s="1"/>
  <c r="J22" i="28" l="1"/>
  <c r="C14" i="31" l="1"/>
  <c r="G55" i="28"/>
  <c r="G49" i="28"/>
  <c r="G43" i="28"/>
  <c r="G37" i="28"/>
  <c r="G31" i="28"/>
  <c r="G25" i="28"/>
  <c r="G19" i="28"/>
  <c r="G6" i="28"/>
  <c r="G9" i="28"/>
  <c r="E15" i="6" l="1"/>
  <c r="J3" i="28"/>
  <c r="J2" i="28"/>
  <c r="J9" i="28"/>
  <c r="G10" i="28"/>
  <c r="G11" i="28" s="1"/>
  <c r="G56" i="28"/>
  <c r="E17" i="6" l="1"/>
  <c r="C5" i="31"/>
  <c r="K5" i="31" s="1"/>
  <c r="K8" i="31" s="1"/>
  <c r="C15" i="31" l="1"/>
  <c r="C9" i="31"/>
  <c r="C10" i="31" s="1"/>
  <c r="G91" i="28"/>
  <c r="G92" i="28" s="1"/>
  <c r="G93" i="28" s="1"/>
  <c r="G95" i="28" s="1"/>
  <c r="C17" i="31"/>
  <c r="C18" i="31" s="1"/>
  <c r="K17" i="31" l="1"/>
  <c r="K18" i="31" s="1"/>
  <c r="E19" i="6"/>
  <c r="M19" i="6" s="1"/>
  <c r="C11" i="31"/>
  <c r="C12" i="31" s="1"/>
  <c r="K9" i="31"/>
  <c r="K10" i="31" s="1"/>
  <c r="M15" i="6"/>
  <c r="M17" i="6"/>
  <c r="E10" i="6" l="1"/>
  <c r="E6" i="6"/>
  <c r="M6" i="6" s="1"/>
  <c r="K11" i="31"/>
  <c r="K12" i="31" s="1"/>
  <c r="E16" i="6" l="1"/>
  <c r="E18" i="6"/>
  <c r="M18" i="6"/>
  <c r="E8" i="6"/>
  <c r="M20" i="6"/>
  <c r="M16" i="6"/>
  <c r="E11" i="6"/>
  <c r="M10" i="6"/>
  <c r="M11" i="6" s="1"/>
  <c r="E20" i="6"/>
  <c r="E22" i="6" l="1"/>
  <c r="E9" i="6"/>
  <c r="E12" i="6"/>
  <c r="M8" i="6"/>
  <c r="M9" i="6" s="1"/>
  <c r="E25" i="6"/>
  <c r="E13" i="6" l="1"/>
  <c r="M12" i="6"/>
  <c r="M13" i="6" s="1"/>
  <c r="K14" i="31"/>
  <c r="K15" i="31" s="1"/>
  <c r="B6" i="6"/>
  <c r="B15" i="6"/>
  <c r="B10" i="6"/>
  <c r="B8" i="6" l="1"/>
  <c r="E23" i="6"/>
  <c r="E27" i="6"/>
  <c r="M22" i="6"/>
  <c r="M23" i="6" s="1"/>
  <c r="B22" i="6"/>
  <c r="B23" i="6" s="1"/>
  <c r="B11" i="6"/>
  <c r="B16" i="6"/>
  <c r="B17" i="6"/>
  <c r="E26" i="6" l="1"/>
  <c r="M25" i="6"/>
  <c r="M26" i="6" s="1"/>
  <c r="B9" i="6"/>
  <c r="B12" i="6"/>
  <c r="B18" i="6"/>
  <c r="B19" i="6"/>
  <c r="B20" i="6" s="1"/>
  <c r="B13" i="6" l="1"/>
  <c r="B25" i="6" l="1"/>
  <c r="B26" i="6" s="1"/>
  <c r="J51" i="51" l="1"/>
  <c r="J52" i="51" s="1"/>
  <c r="J53" i="51" l="1"/>
  <c r="J205" i="51" s="1"/>
  <c r="J214" i="51" s="1"/>
  <c r="H9" i="33"/>
  <c r="H10" i="33" l="1"/>
  <c r="H13" i="33"/>
  <c r="P10" i="33"/>
  <c r="H26" i="33" l="1"/>
  <c r="H14" i="33"/>
  <c r="P14" i="33" l="1"/>
  <c r="H27" i="33"/>
  <c r="J216" i="51"/>
  <c r="J24" i="33" l="1"/>
  <c r="J27" i="33" l="1"/>
  <c r="P24" i="33"/>
  <c r="P27" i="33"/>
</calcChain>
</file>

<file path=xl/comments1.xml><?xml version="1.0" encoding="utf-8"?>
<comments xmlns="http://schemas.openxmlformats.org/spreadsheetml/2006/main">
  <authors>
    <author>Chathurangani</author>
    <author>Stanley Samidas</author>
  </authors>
  <commentList>
    <comment ref="K9" authorId="0" shapeId="0">
      <text>
        <r>
          <rPr>
            <b/>
            <sz val="9"/>
            <color indexed="81"/>
            <rFont val="Tahoma"/>
            <family val="2"/>
          </rPr>
          <t xml:space="preserve">Due to increase of
</t>
        </r>
        <r>
          <rPr>
            <sz val="9"/>
            <color indexed="81"/>
            <rFont val="Tahoma"/>
            <family val="2"/>
          </rPr>
          <t>1.Live fish : $5.34K
2.Packing material : $2.16K 
3.Salt Purchase :  $0.25K
4.Dry Goods : $0.87K</t>
        </r>
      </text>
    </comment>
    <comment ref="K16" authorId="0" shapeId="0">
      <text>
        <r>
          <rPr>
            <b/>
            <sz val="9"/>
            <color indexed="81"/>
            <rFont val="Tahoma"/>
            <family val="2"/>
          </rPr>
          <t xml:space="preserve">Due to Budgetory Allowance </t>
        </r>
        <r>
          <rPr>
            <sz val="9"/>
            <color indexed="81"/>
            <rFont val="Tahoma"/>
            <family val="2"/>
          </rPr>
          <t xml:space="preserve">
</t>
        </r>
      </text>
    </comment>
    <comment ref="J23" authorId="0" shapeId="0">
      <text>
        <r>
          <rPr>
            <b/>
            <sz val="9"/>
            <color indexed="81"/>
            <rFont val="Tahoma"/>
            <family val="2"/>
          </rPr>
          <t>German Inter-zoo exhibition and trade Fairs $ 7K</t>
        </r>
        <r>
          <rPr>
            <sz val="9"/>
            <color indexed="81"/>
            <rFont val="Tahoma"/>
            <family val="2"/>
          </rPr>
          <t xml:space="preserve">
</t>
        </r>
      </text>
    </comment>
    <comment ref="O23" authorId="1" shapeId="0">
      <text>
        <r>
          <rPr>
            <b/>
            <sz val="9"/>
            <color indexed="81"/>
            <rFont val="Tahoma"/>
            <charset val="1"/>
          </rPr>
          <t>Stanley Samidas:</t>
        </r>
        <r>
          <rPr>
            <sz val="9"/>
            <color indexed="81"/>
            <rFont val="Tahoma"/>
            <charset val="1"/>
          </rPr>
          <t xml:space="preserve">
Due to EPF/statutory surcharges 6K</t>
        </r>
      </text>
    </comment>
  </commentList>
</comments>
</file>

<file path=xl/comments10.xml><?xml version="1.0" encoding="utf-8"?>
<comments xmlns="http://schemas.openxmlformats.org/spreadsheetml/2006/main">
  <authors>
    <author>Abhirami Thavarajah</author>
  </authors>
  <commentList>
    <comment ref="K1" authorId="0" shapeId="0">
      <text>
        <r>
          <rPr>
            <b/>
            <sz val="9"/>
            <color indexed="81"/>
            <rFont val="Tahoma"/>
            <family val="2"/>
          </rPr>
          <t>Abhirami Thavarajah:</t>
        </r>
        <r>
          <rPr>
            <sz val="9"/>
            <color indexed="81"/>
            <rFont val="Tahoma"/>
            <family val="2"/>
          </rPr>
          <t xml:space="preserve">
Given by Sam</t>
        </r>
      </text>
    </comment>
    <comment ref="G6" authorId="0" shapeId="0">
      <text>
        <r>
          <rPr>
            <b/>
            <sz val="9"/>
            <color indexed="81"/>
            <rFont val="Tahoma"/>
            <family val="2"/>
          </rPr>
          <t>Abhirami Thavarajah:</t>
        </r>
        <r>
          <rPr>
            <sz val="9"/>
            <color indexed="81"/>
            <rFont val="Tahoma"/>
            <family val="2"/>
          </rPr>
          <t xml:space="preserve">
manually added as it was not updated yet in QB. Taken last month figure for this month.</t>
        </r>
      </text>
    </comment>
    <comment ref="K11" authorId="0" shapeId="0">
      <text>
        <r>
          <rPr>
            <b/>
            <sz val="9"/>
            <color indexed="81"/>
            <rFont val="Tahoma"/>
            <family val="2"/>
          </rPr>
          <t>Abhirami Thavarajah:</t>
        </r>
        <r>
          <rPr>
            <sz val="9"/>
            <color indexed="81"/>
            <rFont val="Tahoma"/>
            <family val="2"/>
          </rPr>
          <t xml:space="preserve">
Given by Sam</t>
        </r>
      </text>
    </comment>
    <comment ref="G15" authorId="0" shapeId="0">
      <text>
        <r>
          <rPr>
            <b/>
            <sz val="9"/>
            <color indexed="81"/>
            <rFont val="Tahoma"/>
            <family val="2"/>
          </rPr>
          <t>Abhirami Thavarajah:</t>
        </r>
        <r>
          <rPr>
            <sz val="9"/>
            <color indexed="81"/>
            <rFont val="Tahoma"/>
            <family val="2"/>
          </rPr>
          <t xml:space="preserve">
Value was not updated in QB yet, so manually added.</t>
        </r>
      </text>
    </comment>
    <comment ref="G60" authorId="0" shapeId="0">
      <text>
        <r>
          <rPr>
            <b/>
            <sz val="9"/>
            <color indexed="81"/>
            <rFont val="Tahoma"/>
            <family val="2"/>
          </rPr>
          <t>Abhirami Thavarajah:</t>
        </r>
        <r>
          <rPr>
            <sz val="9"/>
            <color indexed="81"/>
            <rFont val="Tahoma"/>
            <family val="2"/>
          </rPr>
          <t xml:space="preserve">
manually added as it was not updated yet in QB. Taken last month figure for this month too. Plus these were appeared in QB under TFI, so for this mgt report, manually added under TeKSS -  as costs are allocated for TeKSS.
Refer - "Email from Sam" Sheet</t>
        </r>
      </text>
    </comment>
  </commentList>
</comments>
</file>

<file path=xl/comments2.xml><?xml version="1.0" encoding="utf-8"?>
<comments xmlns="http://schemas.openxmlformats.org/spreadsheetml/2006/main">
  <authors>
    <author>Abhirami Thavarajah</author>
  </authors>
  <commentList>
    <comment ref="N2" authorId="0" shapeId="0">
      <text>
        <r>
          <rPr>
            <b/>
            <sz val="9"/>
            <color indexed="81"/>
            <rFont val="Tahoma"/>
            <family val="2"/>
          </rPr>
          <t>Abhirami Thavarajah:</t>
        </r>
        <r>
          <rPr>
            <sz val="9"/>
            <color indexed="81"/>
            <rFont val="Tahoma"/>
            <family val="2"/>
          </rPr>
          <t xml:space="preserve">
Given by Sam</t>
        </r>
      </text>
    </comment>
    <comment ref="N11" authorId="0" shapeId="0">
      <text>
        <r>
          <rPr>
            <b/>
            <sz val="9"/>
            <color indexed="81"/>
            <rFont val="Tahoma"/>
            <family val="2"/>
          </rPr>
          <t>Abhirami Thavarajah:</t>
        </r>
        <r>
          <rPr>
            <sz val="9"/>
            <color indexed="81"/>
            <rFont val="Tahoma"/>
            <family val="2"/>
          </rPr>
          <t xml:space="preserve">
Given by Sam</t>
        </r>
      </text>
    </comment>
  </commentList>
</comments>
</file>

<file path=xl/comments3.xml><?xml version="1.0" encoding="utf-8"?>
<comments xmlns="http://schemas.openxmlformats.org/spreadsheetml/2006/main">
  <authors>
    <author>Abhirami Thavarajah</author>
  </authors>
  <commentList>
    <comment ref="N2" authorId="0" shapeId="0">
      <text>
        <r>
          <rPr>
            <b/>
            <sz val="9"/>
            <color indexed="81"/>
            <rFont val="Tahoma"/>
            <family val="2"/>
          </rPr>
          <t>Abhirami Thavarajah:</t>
        </r>
        <r>
          <rPr>
            <sz val="9"/>
            <color indexed="81"/>
            <rFont val="Tahoma"/>
            <family val="2"/>
          </rPr>
          <t xml:space="preserve">
Given by Sam</t>
        </r>
      </text>
    </comment>
    <comment ref="N11" authorId="0" shapeId="0">
      <text>
        <r>
          <rPr>
            <b/>
            <sz val="9"/>
            <color indexed="81"/>
            <rFont val="Tahoma"/>
            <family val="2"/>
          </rPr>
          <t>Abhirami Thavarajah:</t>
        </r>
        <r>
          <rPr>
            <sz val="9"/>
            <color indexed="81"/>
            <rFont val="Tahoma"/>
            <family val="2"/>
          </rPr>
          <t xml:space="preserve">
Given by Sam</t>
        </r>
      </text>
    </comment>
  </commentList>
</comments>
</file>

<file path=xl/comments4.xml><?xml version="1.0" encoding="utf-8"?>
<comments xmlns="http://schemas.openxmlformats.org/spreadsheetml/2006/main">
  <authors>
    <author>Abhirami Thavarajah</author>
  </authors>
  <commentList>
    <comment ref="N2" authorId="0" shapeId="0">
      <text>
        <r>
          <rPr>
            <b/>
            <sz val="9"/>
            <color indexed="81"/>
            <rFont val="Tahoma"/>
            <family val="2"/>
          </rPr>
          <t>Abhirami Thavarajah:</t>
        </r>
        <r>
          <rPr>
            <sz val="9"/>
            <color indexed="81"/>
            <rFont val="Tahoma"/>
            <family val="2"/>
          </rPr>
          <t xml:space="preserve">
Given by Sam</t>
        </r>
      </text>
    </comment>
    <comment ref="N11" authorId="0" shapeId="0">
      <text>
        <r>
          <rPr>
            <b/>
            <sz val="9"/>
            <color indexed="81"/>
            <rFont val="Tahoma"/>
            <family val="2"/>
          </rPr>
          <t>Abhirami Thavarajah:</t>
        </r>
        <r>
          <rPr>
            <sz val="9"/>
            <color indexed="81"/>
            <rFont val="Tahoma"/>
            <family val="2"/>
          </rPr>
          <t xml:space="preserve">
Given by Sam</t>
        </r>
      </text>
    </comment>
  </commentList>
</comments>
</file>

<file path=xl/comments5.xml><?xml version="1.0" encoding="utf-8"?>
<comments xmlns="http://schemas.openxmlformats.org/spreadsheetml/2006/main">
  <authors>
    <author>Abhirami Thavarajah</author>
  </authors>
  <commentList>
    <comment ref="N2" authorId="0" shapeId="0">
      <text>
        <r>
          <rPr>
            <b/>
            <sz val="9"/>
            <color indexed="81"/>
            <rFont val="Tahoma"/>
            <family val="2"/>
          </rPr>
          <t>Abhirami Thavarajah:</t>
        </r>
        <r>
          <rPr>
            <sz val="9"/>
            <color indexed="81"/>
            <rFont val="Tahoma"/>
            <family val="2"/>
          </rPr>
          <t xml:space="preserve">
Given by Sam</t>
        </r>
      </text>
    </comment>
    <comment ref="N21" authorId="0" shapeId="0">
      <text>
        <r>
          <rPr>
            <b/>
            <sz val="9"/>
            <color indexed="81"/>
            <rFont val="Tahoma"/>
            <family val="2"/>
          </rPr>
          <t>Abhirami Thavarajah:</t>
        </r>
        <r>
          <rPr>
            <sz val="9"/>
            <color indexed="81"/>
            <rFont val="Tahoma"/>
            <family val="2"/>
          </rPr>
          <t xml:space="preserve">
Given by Sam</t>
        </r>
      </text>
    </comment>
  </commentList>
</comments>
</file>

<file path=xl/comments6.xml><?xml version="1.0" encoding="utf-8"?>
<comments xmlns="http://schemas.openxmlformats.org/spreadsheetml/2006/main">
  <authors>
    <author>Abhirami Thavarajah</author>
  </authors>
  <commentList>
    <comment ref="X2" authorId="0" shapeId="0">
      <text>
        <r>
          <rPr>
            <b/>
            <sz val="9"/>
            <color indexed="81"/>
            <rFont val="Tahoma"/>
            <family val="2"/>
          </rPr>
          <t>Abhirami Thavarajah:</t>
        </r>
        <r>
          <rPr>
            <sz val="9"/>
            <color indexed="81"/>
            <rFont val="Tahoma"/>
            <family val="2"/>
          </rPr>
          <t xml:space="preserve">
Given by Sam</t>
        </r>
      </text>
    </comment>
    <comment ref="X21" authorId="0" shapeId="0">
      <text>
        <r>
          <rPr>
            <b/>
            <sz val="9"/>
            <color indexed="81"/>
            <rFont val="Tahoma"/>
            <family val="2"/>
          </rPr>
          <t>Abhirami Thavarajah:</t>
        </r>
        <r>
          <rPr>
            <sz val="9"/>
            <color indexed="81"/>
            <rFont val="Tahoma"/>
            <family val="2"/>
          </rPr>
          <t xml:space="preserve">
Given by Sam</t>
        </r>
      </text>
    </comment>
  </commentList>
</comments>
</file>

<file path=xl/comments7.xml><?xml version="1.0" encoding="utf-8"?>
<comments xmlns="http://schemas.openxmlformats.org/spreadsheetml/2006/main">
  <authors>
    <author>Abhirami Thavarajah</author>
  </authors>
  <commentList>
    <comment ref="E17" authorId="0" shapeId="0">
      <text>
        <r>
          <rPr>
            <b/>
            <sz val="9"/>
            <color indexed="81"/>
            <rFont val="Tahoma"/>
            <family val="2"/>
          </rPr>
          <t>Abhirami Thavarajah:</t>
        </r>
        <r>
          <rPr>
            <sz val="9"/>
            <color indexed="81"/>
            <rFont val="Tahoma"/>
            <family val="2"/>
          </rPr>
          <t xml:space="preserve">
Please refer note - 01 - in the sheet " TFI - Jan 2nd to 29th".
Included only Farms related salary including Niluka, excluding all head office realted salary and Director's fee.</t>
        </r>
      </text>
    </comment>
    <comment ref="E22" authorId="0" shapeId="0">
      <text>
        <r>
          <rPr>
            <b/>
            <sz val="9"/>
            <color indexed="81"/>
            <rFont val="Tahoma"/>
            <family val="2"/>
          </rPr>
          <t>Abhirami Thavarajah:</t>
        </r>
        <r>
          <rPr>
            <sz val="9"/>
            <color indexed="81"/>
            <rFont val="Tahoma"/>
            <family val="2"/>
          </rPr>
          <t xml:space="preserve">
please refer note - 02 - in the sheet " TFI - Jan 2nd to 29th"</t>
        </r>
      </text>
    </comment>
  </commentList>
</comments>
</file>

<file path=xl/comments8.xml><?xml version="1.0" encoding="utf-8"?>
<comments xmlns="http://schemas.openxmlformats.org/spreadsheetml/2006/main">
  <authors>
    <author>Abhirami Thavarajah</author>
  </authors>
  <commentList>
    <comment ref="O1" authorId="0" shapeId="0">
      <text>
        <r>
          <rPr>
            <b/>
            <sz val="9"/>
            <color indexed="81"/>
            <rFont val="Tahoma"/>
            <family val="2"/>
          </rPr>
          <t>Abhirami Thavarajah:</t>
        </r>
        <r>
          <rPr>
            <sz val="9"/>
            <color indexed="81"/>
            <rFont val="Tahoma"/>
            <family val="2"/>
          </rPr>
          <t xml:space="preserve">
Given by Sam</t>
        </r>
      </text>
    </comment>
    <comment ref="O19" authorId="0" shapeId="0">
      <text>
        <r>
          <rPr>
            <b/>
            <sz val="9"/>
            <color indexed="81"/>
            <rFont val="Tahoma"/>
            <family val="2"/>
          </rPr>
          <t>Abhirami Thavarajah:</t>
        </r>
        <r>
          <rPr>
            <sz val="9"/>
            <color indexed="81"/>
            <rFont val="Tahoma"/>
            <family val="2"/>
          </rPr>
          <t xml:space="preserve">
Given by Sam</t>
        </r>
      </text>
    </comment>
    <comment ref="N29" authorId="0" shapeId="0">
      <text>
        <r>
          <rPr>
            <b/>
            <sz val="9"/>
            <color indexed="81"/>
            <rFont val="Tahoma"/>
            <family val="2"/>
          </rPr>
          <t>Abhirami Thavarajah:</t>
        </r>
        <r>
          <rPr>
            <sz val="9"/>
            <color indexed="81"/>
            <rFont val="Tahoma"/>
            <family val="2"/>
          </rPr>
          <t xml:space="preserve">
professional fees has been directly identified separately for TFI and TeKSS, so included full TFI amount to TFI</t>
        </r>
      </text>
    </comment>
    <comment ref="J128" authorId="0" shapeId="0">
      <text>
        <r>
          <rPr>
            <b/>
            <sz val="9"/>
            <color indexed="81"/>
            <rFont val="Tahoma"/>
            <family val="2"/>
          </rPr>
          <t>Abhirami Thavarajah:</t>
        </r>
        <r>
          <rPr>
            <sz val="9"/>
            <color indexed="81"/>
            <rFont val="Tahoma"/>
            <family val="2"/>
          </rPr>
          <t xml:space="preserve">
Manually added as it was not updated yet in QB.</t>
        </r>
      </text>
    </comment>
    <comment ref="J154" authorId="0" shapeId="0">
      <text>
        <r>
          <rPr>
            <b/>
            <sz val="9"/>
            <color indexed="81"/>
            <rFont val="Tahoma"/>
            <family val="2"/>
          </rPr>
          <t>Abhirami Thavarajah:</t>
        </r>
        <r>
          <rPr>
            <sz val="9"/>
            <color indexed="81"/>
            <rFont val="Tahoma"/>
            <family val="2"/>
          </rPr>
          <t xml:space="preserve">
manually added as it was not updated yet in QB. Taken last month figure for this month too.</t>
        </r>
      </text>
    </comment>
    <comment ref="J156" authorId="0" shapeId="0">
      <text>
        <r>
          <rPr>
            <b/>
            <sz val="9"/>
            <color indexed="81"/>
            <rFont val="Tahoma"/>
            <family val="2"/>
          </rPr>
          <t>Abhirami Thavarajah:</t>
        </r>
        <r>
          <rPr>
            <sz val="9"/>
            <color indexed="81"/>
            <rFont val="Tahoma"/>
            <family val="2"/>
          </rPr>
          <t xml:space="preserve">
manually added as it was not updated yet in QB. Taken last month figure for this month too.</t>
        </r>
      </text>
    </comment>
    <comment ref="J257" authorId="0" shapeId="0">
      <text>
        <r>
          <rPr>
            <b/>
            <sz val="9"/>
            <color indexed="81"/>
            <rFont val="Tahoma"/>
            <family val="2"/>
          </rPr>
          <t>Abhirami Thavarajah:</t>
        </r>
        <r>
          <rPr>
            <sz val="9"/>
            <color indexed="81"/>
            <rFont val="Tahoma"/>
            <family val="2"/>
          </rPr>
          <t xml:space="preserve">
manually added as it was not updated yet in QB. Taken last month figure for this month.</t>
        </r>
      </text>
    </comment>
    <comment ref="J262" authorId="0" shapeId="0">
      <text>
        <r>
          <rPr>
            <b/>
            <sz val="9"/>
            <color indexed="81"/>
            <rFont val="Tahoma"/>
            <family val="2"/>
          </rPr>
          <t>Abhirami Thavarajah:</t>
        </r>
        <r>
          <rPr>
            <sz val="9"/>
            <color indexed="81"/>
            <rFont val="Tahoma"/>
            <family val="2"/>
          </rPr>
          <t xml:space="preserve">
Value was not updated in QB yet, so manually added.</t>
        </r>
      </text>
    </comment>
  </commentList>
</comments>
</file>

<file path=xl/comments9.xml><?xml version="1.0" encoding="utf-8"?>
<comments xmlns="http://schemas.openxmlformats.org/spreadsheetml/2006/main">
  <authors>
    <author>Abhirami Thavarajah</author>
  </authors>
  <commentList>
    <comment ref="L3" authorId="0" shapeId="0">
      <text>
        <r>
          <rPr>
            <b/>
            <sz val="9"/>
            <color indexed="81"/>
            <rFont val="Tahoma"/>
            <family val="2"/>
          </rPr>
          <t>Abhirami Thavarajah:</t>
        </r>
        <r>
          <rPr>
            <sz val="9"/>
            <color indexed="81"/>
            <rFont val="Tahoma"/>
            <family val="2"/>
          </rPr>
          <t xml:space="preserve">
Need budget figure from mgt</t>
        </r>
      </text>
    </comment>
    <comment ref="C9" authorId="0" shapeId="0">
      <text>
        <r>
          <rPr>
            <b/>
            <sz val="9"/>
            <color indexed="81"/>
            <rFont val="Tahoma"/>
            <family val="2"/>
          </rPr>
          <t>Abhirami Thavarajah:</t>
        </r>
        <r>
          <rPr>
            <sz val="9"/>
            <color indexed="81"/>
            <rFont val="Tahoma"/>
            <family val="2"/>
          </rPr>
          <t xml:space="preserve">
Please refer note - 01 - in the sheet " TeKSS - Jan 2nd to 29th".
Included only Head office related salary, excluding all farm realted salary salaries and Niluka's salary.</t>
        </r>
      </text>
    </comment>
    <comment ref="C14" authorId="0" shapeId="0">
      <text>
        <r>
          <rPr>
            <b/>
            <sz val="9"/>
            <color indexed="81"/>
            <rFont val="Tahoma"/>
            <family val="2"/>
          </rPr>
          <t>Abhirami Thavarajah:</t>
        </r>
        <r>
          <rPr>
            <sz val="9"/>
            <color indexed="81"/>
            <rFont val="Tahoma"/>
            <family val="2"/>
          </rPr>
          <t xml:space="preserve">
Please refer note - 02 - in the sheet " TeKSS - Jan 2nd to 29th".
</t>
        </r>
      </text>
    </comment>
  </commentList>
</comments>
</file>

<file path=xl/sharedStrings.xml><?xml version="1.0" encoding="utf-8"?>
<sst xmlns="http://schemas.openxmlformats.org/spreadsheetml/2006/main" count="4873" uniqueCount="760">
  <si>
    <t>Freight &amp; Custom Cost % of Sales</t>
  </si>
  <si>
    <t>Direct Labor % of Sales</t>
  </si>
  <si>
    <t>Salary % of Sales</t>
  </si>
  <si>
    <t>Total Direct and Salary % of Sales</t>
  </si>
  <si>
    <t>All Overhead $ (minus all labor)</t>
  </si>
  <si>
    <t>Actual</t>
  </si>
  <si>
    <t>Sales $</t>
  </si>
  <si>
    <t>All Overhead % (minus all labor)</t>
  </si>
  <si>
    <t>Net Income $</t>
  </si>
  <si>
    <t>Net Income %</t>
  </si>
  <si>
    <t>Direct Labor $</t>
  </si>
  <si>
    <t>Salary $</t>
  </si>
  <si>
    <t>Total</t>
  </si>
  <si>
    <t>Fish/ Product Cost $</t>
  </si>
  <si>
    <t>Fish/ Product Cost % of Sales</t>
  </si>
  <si>
    <t>Total Fish/Prod/Frt/ Cust % of Sales</t>
  </si>
  <si>
    <t>Budget</t>
  </si>
  <si>
    <t>Freight &amp; Custom Cost $</t>
  </si>
  <si>
    <t>Total Fish/Prod/Frt/ Cust $</t>
  </si>
  <si>
    <t>Total Direct and Salary $</t>
  </si>
  <si>
    <t>Ordinary Income/Expense</t>
  </si>
  <si>
    <t>Income</t>
  </si>
  <si>
    <t>4000000 · Sales Income</t>
  </si>
  <si>
    <t>4000010 · Tropical Fish Sales</t>
  </si>
  <si>
    <t>4000020 · Live Rocks (Coral) Sales</t>
  </si>
  <si>
    <t>4000040 · Cartoon + Styrofoam Combination</t>
  </si>
  <si>
    <t>4000110 · Packing Income - Reimbusable</t>
  </si>
  <si>
    <t>4000120 · Freight Income - Reimbursable</t>
  </si>
  <si>
    <t>4000130 · Documentation &amp; Handling Income</t>
  </si>
  <si>
    <t>4001000 · Diyatha Uyana - Sales Outlet</t>
  </si>
  <si>
    <t>4001010 · Live Fish Sales</t>
  </si>
  <si>
    <t>4001020 · Accessories Sales - Diyatha  Uy</t>
  </si>
  <si>
    <t>4001060 · Live Fish Purchases</t>
  </si>
  <si>
    <t>4001070 · Accessories Purchases - Diyatha</t>
  </si>
  <si>
    <t>4001090 · Stall Fees &amp; Monthly Charges</t>
  </si>
  <si>
    <t>4001110 · Staff Meals - Diyatha Uyana</t>
  </si>
  <si>
    <t>4001111 · Staff Welfare - Diyatha Uyana</t>
  </si>
  <si>
    <t>4001130 · Tools, Equip &amp; Maintanance</t>
  </si>
  <si>
    <t>Total 4001000 · Diyatha Uyana - Sales Outlet</t>
  </si>
  <si>
    <t>Total 4000000 · Sales Income</t>
  </si>
  <si>
    <t>Total Income</t>
  </si>
  <si>
    <t>Cost of Goods Sold</t>
  </si>
  <si>
    <t>5100000 · Cost of Sales</t>
  </si>
  <si>
    <t>5101000 · Live Fish, Dry Goods &amp; Packing</t>
  </si>
  <si>
    <t>5101010 · Live Fish Purchases</t>
  </si>
  <si>
    <t>5101020 · Dried Goods Purchases</t>
  </si>
  <si>
    <t>5101030 · Salt Purchases</t>
  </si>
  <si>
    <t>5101040 · Packing Materials</t>
  </si>
  <si>
    <t>Total 5101000 · Live Fish, Dry Goods &amp; Packing</t>
  </si>
  <si>
    <t>5102000 · Project Costs (Coral, Cartoon)</t>
  </si>
  <si>
    <t>5102011 · Casual Labour Expenses</t>
  </si>
  <si>
    <t>5102018 · Monthly Fees - Live Care Taking</t>
  </si>
  <si>
    <t>5102019 · Permit Charges - Live Rock</t>
  </si>
  <si>
    <t>5102020 · Cardboard Cartoon Boxes</t>
  </si>
  <si>
    <t>Total 5102000 · Project Costs (Coral, Cartoon)</t>
  </si>
  <si>
    <t>5103000 · Freight &amp; Handling Charges</t>
  </si>
  <si>
    <t>5103010 · Export Freight  - Live Fish</t>
  </si>
  <si>
    <t>5103011 · Export Freight - Live Rock</t>
  </si>
  <si>
    <t>5103012 · Export Freight - Other</t>
  </si>
  <si>
    <t>5103020 · Handling &amp; Documentation Charge</t>
  </si>
  <si>
    <t>5103030 · Imports Freight Charges</t>
  </si>
  <si>
    <t>Total 5103000 · Freight &amp; Handling Charges</t>
  </si>
  <si>
    <t>5104000 · Direct Labour</t>
  </si>
  <si>
    <t>5104010 · Wages</t>
  </si>
  <si>
    <t>5104040 · Farm Labour Allowance</t>
  </si>
  <si>
    <t>5104050 · Farm Labour OT @ 1.5/hr</t>
  </si>
  <si>
    <t>5104060 · Farm Labour OT @ 2/hr</t>
  </si>
  <si>
    <t>Total 5104000 · Direct Labour</t>
  </si>
  <si>
    <t>5105000 · Direct Farm Overheads</t>
  </si>
  <si>
    <t>5105040 · Travel Bata - Airport</t>
  </si>
  <si>
    <t>Total 5105000 · Direct Farm Overheads</t>
  </si>
  <si>
    <t>Total 5100000 · Cost of Sales</t>
  </si>
  <si>
    <t>Total COGS</t>
  </si>
  <si>
    <t>Gross Profit</t>
  </si>
  <si>
    <t>Expense</t>
  </si>
  <si>
    <t>5000000 · Expenses</t>
  </si>
  <si>
    <t>5201000 · Indirect Expenses</t>
  </si>
  <si>
    <t>5201010 · Farm Generator Expenses</t>
  </si>
  <si>
    <t>5201020 · Farm Electricity Expenses</t>
  </si>
  <si>
    <t>5201030 · Farm Casual Labour Expenses</t>
  </si>
  <si>
    <t>5201040 · Farm Staff Welfare</t>
  </si>
  <si>
    <t>5201050 · Farm Hotel &amp; Lodging Expenses</t>
  </si>
  <si>
    <t>5201052 · Foods &amp; Beverages</t>
  </si>
  <si>
    <t>Total 5201050 · Farm Hotel &amp; Lodging Expenses</t>
  </si>
  <si>
    <t>5201080 · Transpotation Expenses</t>
  </si>
  <si>
    <t>Total 5201000 · Indirect Expenses</t>
  </si>
  <si>
    <t>5202000 · Payroll Expenses</t>
  </si>
  <si>
    <t>5202010 · Farm Management Salary</t>
  </si>
  <si>
    <t>5202050 · Farm Mgt. Car &amp; Fuel  Allowance</t>
  </si>
  <si>
    <t>5202060 · Farm Mgt. Performance Bonus</t>
  </si>
  <si>
    <t>5202080 · Farm Excess Comunication</t>
  </si>
  <si>
    <t>Total 5202000 · Payroll Expenses</t>
  </si>
  <si>
    <t>5203000 · Farm Communication Expenses</t>
  </si>
  <si>
    <t>5203020 · Farm Land Line No.034-3448849</t>
  </si>
  <si>
    <t>5203040 · Farm BroadBand Charges</t>
  </si>
  <si>
    <t>5203060 · Farm Mobile Charges</t>
  </si>
  <si>
    <t>Total 5203000 · Farm Communication Expenses</t>
  </si>
  <si>
    <t>5204000 · Farm Vehicle Expenses</t>
  </si>
  <si>
    <t>5204010 · Vehicle Repair &amp; Maintanance</t>
  </si>
  <si>
    <t>5204050 · Farm Bikes Fuel Expenses</t>
  </si>
  <si>
    <t>5204070 · Farm Lorry Fuel Expenses</t>
  </si>
  <si>
    <t>5204090 · Farm Cab Fuel Expenses</t>
  </si>
  <si>
    <t>Total 5204000 · Farm Vehicle Expenses</t>
  </si>
  <si>
    <t>5205000 · Other Farm Overheads</t>
  </si>
  <si>
    <t>5205010 · Maintenance - Farm Equipments</t>
  </si>
  <si>
    <t>5205040 · General Repair &amp; Maintanance</t>
  </si>
  <si>
    <t>5205050 · Postage,Printing &amp; Stationeries</t>
  </si>
  <si>
    <t>5205070 · Supplier Visit Expenses</t>
  </si>
  <si>
    <t>Total 5205000 · Other Farm Overheads</t>
  </si>
  <si>
    <t>5210000 · Wadduwa Farm Expenses</t>
  </si>
  <si>
    <t>5211000 · Wadduwa Administration Expense</t>
  </si>
  <si>
    <t>5211010 · Generator Expense - Wadduwa</t>
  </si>
  <si>
    <t>5211020 · Electricity Expenses</t>
  </si>
  <si>
    <t>5211040 · Staff Welfare - Wadduwa</t>
  </si>
  <si>
    <t>5211050 · Water Charges - Wadduwa</t>
  </si>
  <si>
    <t>5211080 · Transportation Expenses</t>
  </si>
  <si>
    <t>Total 5211000 · Wadduwa Administration Expense</t>
  </si>
  <si>
    <t>5212000 · Wadduwa Salary Expenses</t>
  </si>
  <si>
    <t>5212010 · Management Salary - Wadduwa</t>
  </si>
  <si>
    <t>5212040 · Allowances - Wadduwa</t>
  </si>
  <si>
    <t>Total 5212000 · Wadduwa Salary Expenses</t>
  </si>
  <si>
    <t>5213000 · Communication Expenses - Wadduw</t>
  </si>
  <si>
    <t>Total 5213000 · Communication Expenses - Wadduw</t>
  </si>
  <si>
    <t>5214000 · Wadduwa Vehicle Expenses</t>
  </si>
  <si>
    <t>5214060 · Fuel for Lorry - LE 6012</t>
  </si>
  <si>
    <t>Total 5214000 · Wadduwa Vehicle Expenses</t>
  </si>
  <si>
    <t>5215000 · Wadduwa Overheads</t>
  </si>
  <si>
    <t>5215030 · Tools &amp; Accessories</t>
  </si>
  <si>
    <t>5215040 · General Repair &amp; Maintanance</t>
  </si>
  <si>
    <t>5215050 · Postage, Printing &amp; Stationery</t>
  </si>
  <si>
    <t>Total 5215000 · Wadduwa Overheads</t>
  </si>
  <si>
    <t>5216000 · Finance &amp; Others</t>
  </si>
  <si>
    <t>5216010 · Sundry Expenses</t>
  </si>
  <si>
    <t>Total 5216000 · Finance &amp; Others</t>
  </si>
  <si>
    <t>Total 5210000 · Wadduwa Farm Expenses</t>
  </si>
  <si>
    <t>5220000 · Madala Site Expenses</t>
  </si>
  <si>
    <t>5225040 · General Repair &amp; Maintanace-Mad</t>
  </si>
  <si>
    <t>5225060 · Security Expenses-Madala</t>
  </si>
  <si>
    <t>Total 5220000 · Madala Site Expenses</t>
  </si>
  <si>
    <t>5300000 · Head Office Expenses</t>
  </si>
  <si>
    <t>5301080 · Director Fee</t>
  </si>
  <si>
    <t>5302000 · Direct Administration</t>
  </si>
  <si>
    <t>5302020 · Professional Fees</t>
  </si>
  <si>
    <t>5302030 · Staff Welfare</t>
  </si>
  <si>
    <t>5302080 · Postage,Printing &amp; Stationeries</t>
  </si>
  <si>
    <t>5302090 · Computer Equipment Maintenance</t>
  </si>
  <si>
    <t>5302100 · General Repairs &amp; Maintenance</t>
  </si>
  <si>
    <t>5302990 · Miscellaneous Expenses</t>
  </si>
  <si>
    <t>Total 5302000 · Direct Administration</t>
  </si>
  <si>
    <t>5303000 · Communication Expenses</t>
  </si>
  <si>
    <t>5303020 · Leased Line Charges</t>
  </si>
  <si>
    <t>5303030 · Mobile Bills</t>
  </si>
  <si>
    <t>5303040 · Broadband Bills</t>
  </si>
  <si>
    <t>Total 5303000 · Communication Expenses</t>
  </si>
  <si>
    <t>5304000 · Utility Expenses</t>
  </si>
  <si>
    <t>5304010 · Water Bottles - Drinking</t>
  </si>
  <si>
    <t>5304020 · Water Charges</t>
  </si>
  <si>
    <t>5304030 · Rent - Head Office</t>
  </si>
  <si>
    <t>5304040 · Electricity Head Office</t>
  </si>
  <si>
    <t>Total 5304000 · Utility Expenses</t>
  </si>
  <si>
    <t>5305000 · Travelling &amp; Transport</t>
  </si>
  <si>
    <t>5305030 · Vehicle Maintenance Expenses</t>
  </si>
  <si>
    <t>5305060 · Travelling Charges</t>
  </si>
  <si>
    <t>Total 5305000 · Travelling &amp; Transport</t>
  </si>
  <si>
    <t>5307000 · Selling &amp; Distribution Expenses</t>
  </si>
  <si>
    <t>5307010 · Advertisment Expenses</t>
  </si>
  <si>
    <t>Total 5307000 · Selling &amp; Distribution Expenses</t>
  </si>
  <si>
    <t>5308000 · Finance &amp; Other Charges</t>
  </si>
  <si>
    <t>5308020 · Bank Charges</t>
  </si>
  <si>
    <t>5308040 · Loan Interests Expenses</t>
  </si>
  <si>
    <t>5308080 · CSR Projects</t>
  </si>
  <si>
    <t>5309100 · Surcharges &amp; Panalties</t>
  </si>
  <si>
    <t>Total 5308000 · Finance &amp; Other Charges</t>
  </si>
  <si>
    <t>Total 5300000 · Head Office Expenses</t>
  </si>
  <si>
    <t>Total 5000000 · Expenses</t>
  </si>
  <si>
    <t>Total Expense</t>
  </si>
  <si>
    <t>Net Ordinary Income</t>
  </si>
  <si>
    <t>Net Income</t>
  </si>
  <si>
    <t>5230000 · Minuwangoda  Farm Expenses</t>
  </si>
  <si>
    <t>5232000 · Minuwangoda Staff Salaries</t>
  </si>
  <si>
    <t>5232010 · Management Salary - Minuwangoda</t>
  </si>
  <si>
    <t>5232040 · Allowances  - Minuwangoda Staff</t>
  </si>
  <si>
    <t>Total 5232000 · Minuwangoda Staff Salaries</t>
  </si>
  <si>
    <t>Total 5230000 · Minuwangoda  Farm Expenses</t>
  </si>
  <si>
    <t>5241000 · Ingiriya Farm Administration</t>
  </si>
  <si>
    <t>5241040 · Staff Welfare</t>
  </si>
  <si>
    <t>Total 5241000 · Ingiriya Farm Administration</t>
  </si>
  <si>
    <t>5245000 · Ingiriya Farm Overheads</t>
  </si>
  <si>
    <t>Total 5245000 · Ingiriya Farm Overheads</t>
  </si>
  <si>
    <t>5200000 · Wagawatta Farm Expenses</t>
  </si>
  <si>
    <t>5201060 · Horana farm meals &amp; refreshment</t>
  </si>
  <si>
    <t>Total 5200000 · Wagawatta Farm Expenses</t>
  </si>
  <si>
    <t>5221000 · Madala Administration Expense</t>
  </si>
  <si>
    <t>5221020 · Water Pumping for Ponds -Madala</t>
  </si>
  <si>
    <t>Total 5221000 · Madala Administration Expense</t>
  </si>
  <si>
    <t>5225000 · Madala Oveheads</t>
  </si>
  <si>
    <t>Total 5225000 · Madala Oveheads</t>
  </si>
  <si>
    <t>5231000 · Minuwangoda Administration Exp.</t>
  </si>
  <si>
    <t>5231020 · Electricity Expenses</t>
  </si>
  <si>
    <t>5231040 · Staff Welfare - Minuwangoda</t>
  </si>
  <si>
    <t>5231080 · Travelling &amp; Transport Charges</t>
  </si>
  <si>
    <t>Total 5231000 · Minuwangoda Administration Exp.</t>
  </si>
  <si>
    <t>5235000 · Minuwangoda  Farm Overheads</t>
  </si>
  <si>
    <t>5235040 · General Repair &amp; Maintanance</t>
  </si>
  <si>
    <t>5235050 · Stationeries &amp; Postage</t>
  </si>
  <si>
    <t>Total 5235000 · Minuwangoda  Farm Overheads</t>
  </si>
  <si>
    <t>5240000 · Horana 2 Rented Farm - Ingiriya</t>
  </si>
  <si>
    <t>5242000 · Horana 2 Farm Salary Expenses</t>
  </si>
  <si>
    <t>Total 5242000 · Horana 2 Farm Salary Expenses</t>
  </si>
  <si>
    <t>5245070 · Farm Rent - Horana 2</t>
  </si>
  <si>
    <t>Total 5240000 · Horana 2 Rented Farm - Ingiriya</t>
  </si>
  <si>
    <t>5242010 · Management Salary-Horana 2 Farm</t>
  </si>
  <si>
    <t>47900 · Sales</t>
  </si>
  <si>
    <t>Service Contract Sales</t>
  </si>
  <si>
    <t>Total 47900 · Sales</t>
  </si>
  <si>
    <t>64300 · Meals and Entertainment</t>
  </si>
  <si>
    <t>Service Income - Back Office</t>
  </si>
  <si>
    <t>Staff Salaries and Wages</t>
  </si>
  <si>
    <t>Admin. Dept. Salaries</t>
  </si>
  <si>
    <t>Allowances - Admin Staff</t>
  </si>
  <si>
    <t>Basic Salary - Admin Staff</t>
  </si>
  <si>
    <t>EPF 12% - Admin Staff</t>
  </si>
  <si>
    <t>ETF 3% - Admin Staff</t>
  </si>
  <si>
    <t>Total Admin. Dept. Salaries</t>
  </si>
  <si>
    <t>Finance Dept. Salaries</t>
  </si>
  <si>
    <t>Allowances - Finace Staff</t>
  </si>
  <si>
    <t>Basic Salary - Finace Staff</t>
  </si>
  <si>
    <t>EPF 12% - Finance Staff</t>
  </si>
  <si>
    <t>ETF 3% - Finace Staff</t>
  </si>
  <si>
    <t>Total Finance Dept. Salaries</t>
  </si>
  <si>
    <t>General Management Salaries</t>
  </si>
  <si>
    <t>Allowances - Gen. Mgt. Staff</t>
  </si>
  <si>
    <t>Basic Salary - Gen. Mgt. Staff</t>
  </si>
  <si>
    <t>EPF 12% - Gen. Mgt. Staff</t>
  </si>
  <si>
    <t>ETF 3% - Gen. Mgt. Staff</t>
  </si>
  <si>
    <t>Total General Management Salaries</t>
  </si>
  <si>
    <t>HR Dept. Salaries</t>
  </si>
  <si>
    <t>Allowances - HR Staff</t>
  </si>
  <si>
    <t>Basic Salary - HR Staff</t>
  </si>
  <si>
    <t>EPF 12% - HR Staff</t>
  </si>
  <si>
    <t>ETF 3% - HR Staff</t>
  </si>
  <si>
    <t>Total HR Dept. Salaries</t>
  </si>
  <si>
    <t>IT Department Salaries</t>
  </si>
  <si>
    <t>Allowances - IT Staff</t>
  </si>
  <si>
    <t>Basic Salary - IT Staff</t>
  </si>
  <si>
    <t>EPF 12% - IT Staff</t>
  </si>
  <si>
    <t>ETF 3% - IT Staff</t>
  </si>
  <si>
    <t>Total IT Department Salaries</t>
  </si>
  <si>
    <t>Marketing Dept. Salaries</t>
  </si>
  <si>
    <t>Allowances - Marketing Staff</t>
  </si>
  <si>
    <t>Basic Salary - Marketing Staff</t>
  </si>
  <si>
    <t>EPF 12% - Marketing Staff</t>
  </si>
  <si>
    <t>ETF 3% - Marketing Staff</t>
  </si>
  <si>
    <t>Total Marketing Dept. Salaries</t>
  </si>
  <si>
    <t>Strategic Planing Dept. Salary</t>
  </si>
  <si>
    <t>Allowances - Strategic  Staff</t>
  </si>
  <si>
    <t>Basic Salary - Strategic  Staff</t>
  </si>
  <si>
    <t>EPF 12% - Strategic  Staff</t>
  </si>
  <si>
    <t>ETF 3% - Strategic  Staff</t>
  </si>
  <si>
    <t>Total Strategic Planing Dept. Salary</t>
  </si>
  <si>
    <t>Total Staff Salaries and Wages</t>
  </si>
  <si>
    <t>66700 · Professional Fees</t>
  </si>
  <si>
    <t>5241041 · meals &amp; refreshment</t>
  </si>
  <si>
    <t>Total 5241040 · Staff Welfare</t>
  </si>
  <si>
    <t xml:space="preserve">Key Performance Metrics- 2015 ($,000) </t>
  </si>
  <si>
    <t>Jan 2nd to 29th</t>
  </si>
  <si>
    <t xml:space="preserve">Actual </t>
  </si>
  <si>
    <t>Jan 2 - 29, 15</t>
  </si>
  <si>
    <t>5102009 · Coral Rock Purchasing</t>
  </si>
  <si>
    <r>
      <rPr>
        <b/>
        <sz val="11"/>
        <color theme="1"/>
        <rFont val="Calibri"/>
        <family val="2"/>
        <scheme val="minor"/>
      </rPr>
      <t xml:space="preserve">01. </t>
    </r>
    <r>
      <rPr>
        <sz val="11"/>
        <color theme="1"/>
        <rFont val="Calibri"/>
        <family val="2"/>
        <scheme val="minor"/>
      </rPr>
      <t>Wagawatta/Horana farm</t>
    </r>
  </si>
  <si>
    <r>
      <rPr>
        <b/>
        <sz val="11"/>
        <color theme="1"/>
        <rFont val="Calibri"/>
        <family val="2"/>
        <scheme val="minor"/>
      </rPr>
      <t xml:space="preserve">02. </t>
    </r>
    <r>
      <rPr>
        <sz val="11"/>
        <color theme="1"/>
        <rFont val="Calibri"/>
        <family val="2"/>
        <scheme val="minor"/>
      </rPr>
      <t>Wadduwa farm</t>
    </r>
  </si>
  <si>
    <r>
      <rPr>
        <b/>
        <sz val="11"/>
        <color theme="1"/>
        <rFont val="Calibri"/>
        <family val="2"/>
        <scheme val="minor"/>
      </rPr>
      <t>03</t>
    </r>
    <r>
      <rPr>
        <sz val="11"/>
        <color theme="1"/>
        <rFont val="Calibri"/>
        <family val="2"/>
        <scheme val="minor"/>
      </rPr>
      <t>. Madala site/farm</t>
    </r>
  </si>
  <si>
    <r>
      <rPr>
        <b/>
        <sz val="11"/>
        <color theme="1"/>
        <rFont val="Calibri"/>
        <family val="2"/>
        <scheme val="minor"/>
      </rPr>
      <t>04.</t>
    </r>
    <r>
      <rPr>
        <sz val="11"/>
        <color theme="1"/>
        <rFont val="Calibri"/>
        <family val="2"/>
        <scheme val="minor"/>
      </rPr>
      <t xml:space="preserve"> Minuwangoda farm</t>
    </r>
  </si>
  <si>
    <r>
      <rPr>
        <b/>
        <sz val="11"/>
        <color theme="1"/>
        <rFont val="Calibri"/>
        <family val="2"/>
        <scheme val="minor"/>
      </rPr>
      <t>05</t>
    </r>
    <r>
      <rPr>
        <sz val="11"/>
        <color theme="1"/>
        <rFont val="Calibri"/>
        <family val="2"/>
        <scheme val="minor"/>
      </rPr>
      <t>.Horana 2 farm</t>
    </r>
  </si>
  <si>
    <t>Just to weigh in on this subject. Sam is spot on—SL KPM submitted is for SL on a standalone basis and should continue that way.</t>
  </si>
  <si>
    <t>I would suggest developing 2 additional KPM- 1 for all corporate overhead and 1 for TekSS.</t>
  </si>
  <si>
    <t>Keep in mind if you take this approach- the corporate overhead KPM will show no revenue just expenses. The idea being as you move forward you would take the results of the 3 entities or 4 if you include TekSS and deduct overall corporate expenses leaving the true results for all operation. The other thing I would add and probably the most important part of all this is that  by doing as described each entity can be critiqued and evaluated on an individual basis and I believe this is a very important activity particularly in 2015. Each entity must be held accountable to some measure.   Hope this is of some assistance.</t>
  </si>
  <si>
    <t xml:space="preserve">Bob </t>
  </si>
  <si>
    <r>
      <t>From:</t>
    </r>
    <r>
      <rPr>
        <sz val="10"/>
        <color theme="1"/>
        <rFont val="Tahoma"/>
        <family val="2"/>
      </rPr>
      <t xml:space="preserve"> Sam Samarasinghe [mailto:sam@etropicalfish.com]</t>
    </r>
  </si>
  <si>
    <r>
      <t>Sent:</t>
    </r>
    <r>
      <rPr>
        <sz val="10"/>
        <color theme="1"/>
        <rFont val="Tahoma"/>
        <family val="2"/>
      </rPr>
      <t xml:space="preserve"> Tuesday, February 10, 2015 9:27 PM</t>
    </r>
  </si>
  <si>
    <r>
      <t>To:</t>
    </r>
    <r>
      <rPr>
        <sz val="10"/>
        <color theme="1"/>
        <rFont val="Tahoma"/>
        <family val="2"/>
      </rPr>
      <t xml:space="preserve"> Indrani Wimalasena-SPD; Abhirami Thavarajah-SPD</t>
    </r>
  </si>
  <si>
    <r>
      <t>Cc:</t>
    </r>
    <r>
      <rPr>
        <sz val="10"/>
        <color theme="1"/>
        <rFont val="Tahoma"/>
        <family val="2"/>
      </rPr>
      <t xml:space="preserve"> Rober Gawlik</t>
    </r>
  </si>
  <si>
    <r>
      <t>Subject:</t>
    </r>
    <r>
      <rPr>
        <sz val="10"/>
        <color theme="1"/>
        <rFont val="Tahoma"/>
        <family val="2"/>
      </rPr>
      <t xml:space="preserve"> Abhi: Clarifications re. Farm Direct Costs Re. KPM-SL RE: Amended KPM - TFI Sri Lanka: KPM Sri Lanka</t>
    </r>
  </si>
  <si>
    <t>Abhi</t>
  </si>
  <si>
    <t xml:space="preserve">1. Indrani has given a simple formula to apportion any COMMON costs. </t>
  </si>
  <si>
    <r>
      <t xml:space="preserve">2. For </t>
    </r>
    <r>
      <rPr>
        <b/>
        <sz val="10"/>
        <color rgb="FF000000"/>
        <rFont val="Tahoma"/>
        <family val="2"/>
      </rPr>
      <t>TFI (Farm) direct costs are</t>
    </r>
    <r>
      <rPr>
        <sz val="10"/>
        <color rgb="FF000000"/>
        <rFont val="Tahoma"/>
        <family val="2"/>
      </rPr>
      <t>:</t>
    </r>
  </si>
  <si>
    <t xml:space="preserve">    a. ONLY costs related to the Farm div. - includes ALL farm facilities </t>
  </si>
  <si>
    <t xml:space="preserve">    b. TeKSS can charge an Accounting and Administration Fee - for Head office related Shared Services related to </t>
  </si>
  <si>
    <t xml:space="preserve">         Accounts, IT, Admin, etc. </t>
  </si>
  <si>
    <t>    c. Farm Vehicles - regardless of them being paid by the H/office</t>
  </si>
  <si>
    <t>    d. Farm Payroll</t>
  </si>
  <si>
    <t>    e. Niluka's payroll - Farm Div. Sr. Mgr</t>
  </si>
  <si>
    <t>    f. Farm related Fuel</t>
  </si>
  <si>
    <t xml:space="preserve">    g. Farm Communication costs (Cell Phones, Internet, etc.) </t>
  </si>
  <si>
    <t xml:space="preserve">3. Direct costs related to TeKSS are in NO WAY related to TFI. </t>
  </si>
  <si>
    <t>    a. All head office related Rent, Utilies, etc. (minus Internet &amp; Tel costs directly related to Farm div or TFI.)</t>
  </si>
  <si>
    <t>    b. All Head office Salaries - excluding Niluka</t>
  </si>
  <si>
    <t xml:space="preserve">4. Bob in his KPM's is ref ONLY TFI, as TeKSS comes after we have finalized any and all discrepancies with TFI. </t>
  </si>
  <si>
    <t xml:space="preserve">Pls. get these apportioned and re-send ASAP. </t>
  </si>
  <si>
    <t>Thanks</t>
  </si>
  <si>
    <t xml:space="preserve">Sam. </t>
  </si>
  <si>
    <t>Sam Samarasinghe.</t>
  </si>
  <si>
    <t xml:space="preserve">CIS Int'l Holdings Corp. </t>
  </si>
  <si>
    <t>Gardena, CA. U.S.A</t>
  </si>
  <si>
    <t xml:space="preserve">Sam@etropicalfish.Com </t>
  </si>
  <si>
    <t xml:space="preserve">www.etropicalfish.com </t>
  </si>
  <si>
    <r>
      <t>From:</t>
    </r>
    <r>
      <rPr>
        <sz val="10"/>
        <color rgb="FF000000"/>
        <rFont val="Tahoma"/>
        <family val="2"/>
      </rPr>
      <t xml:space="preserve"> Indrani Wimalasena-SPD</t>
    </r>
  </si>
  <si>
    <r>
      <t>Sent:</t>
    </r>
    <r>
      <rPr>
        <sz val="10"/>
        <color rgb="FF000000"/>
        <rFont val="Tahoma"/>
        <family val="2"/>
      </rPr>
      <t xml:space="preserve"> Wednesday, February 11, 2015 10:34 AM</t>
    </r>
  </si>
  <si>
    <r>
      <t>To:</t>
    </r>
    <r>
      <rPr>
        <sz val="10"/>
        <color rgb="FF000000"/>
        <rFont val="Tahoma"/>
        <family val="2"/>
      </rPr>
      <t xml:space="preserve"> Abhirami Thavarajah-SPD</t>
    </r>
  </si>
  <si>
    <r>
      <t>Cc:</t>
    </r>
    <r>
      <rPr>
        <sz val="10"/>
        <color rgb="FF000000"/>
        <rFont val="Tahoma"/>
        <family val="2"/>
      </rPr>
      <t xml:space="preserve"> Sam Samarasinghe; Rober Gawlik</t>
    </r>
  </si>
  <si>
    <r>
      <t>Subject:</t>
    </r>
    <r>
      <rPr>
        <sz val="10"/>
        <color rgb="FF000000"/>
        <rFont val="Tahoma"/>
        <family val="2"/>
      </rPr>
      <t xml:space="preserve"> Abhi;Pl do obtain further advice from Bob Re: Indrani| Will Look in to it: Abhi:Suggestion re KPM-SL RE: Indrani| I will do and send: Sam;Will do Re: Indrani / Abhi RE:| Amended KPM - TFI Sri Lanka: KPM Sri Lanka</t>
    </r>
  </si>
  <si>
    <t>Sent via BlackBerry® smartphone from Mobitel</t>
  </si>
  <si>
    <t xml:space="preserve">From: Abhirami Thavarajah-SPD &lt;abhiramit@cisintl.com&gt; </t>
  </si>
  <si>
    <r>
      <t xml:space="preserve">Date: </t>
    </r>
    <r>
      <rPr>
        <sz val="12"/>
        <color rgb="FF000000"/>
        <rFont val="Times New Roman"/>
        <family val="1"/>
      </rPr>
      <t>Tue, 10 Feb 2015 17:05:54 +0000</t>
    </r>
  </si>
  <si>
    <t>To: Indrani Wimalasena-SPD&lt;indraniw@cisintl.com&gt;</t>
  </si>
  <si>
    <r>
      <t xml:space="preserve">Cc: </t>
    </r>
    <r>
      <rPr>
        <sz val="12"/>
        <color rgb="FF000000"/>
        <rFont val="Times New Roman"/>
        <family val="1"/>
      </rPr>
      <t>Sam Samarasinghe&lt;sam@etropicalfish.com&gt;; Rober Gawlik&lt;RGawlik@etropicalfish.com&gt;</t>
    </r>
  </si>
  <si>
    <r>
      <t xml:space="preserve">Subject: </t>
    </r>
    <r>
      <rPr>
        <sz val="12"/>
        <color rgb="FF000000"/>
        <rFont val="Times New Roman"/>
        <family val="1"/>
      </rPr>
      <t>Indrani| Will Look in to it: Abhi:Suggestion re KPM-SL RE: Indrani| I will do and send: Sam;Will do Re: Indrani / Abhi RE:| Amended KPM - TFI Sri Lanka: KPM Sri Lanka</t>
    </r>
  </si>
  <si>
    <t>Indrani;</t>
  </si>
  <si>
    <t>Please kind enough to note the responses below:</t>
  </si>
  <si>
    <t>1). I will do 2 KPMs as you suggested.</t>
  </si>
  <si>
    <t>2). Yes, will apportion the common costs on a 80:20 basis among TFI and TeKSS.</t>
  </si>
  <si>
    <t>3). Will look at the budget and discuss with Bob on categorizing the budget accordingly as the budget for  2015 was given to me by Bob.</t>
  </si>
  <si>
    <t>4). Yes, I also noticed, will discuss with Bob on this as the budget figure for 2015 was given to me by him.</t>
  </si>
  <si>
    <t>Thanks and Regards;</t>
  </si>
  <si>
    <t>Abiramy Thavarajah.</t>
  </si>
  <si>
    <r>
      <t>Sent:</t>
    </r>
    <r>
      <rPr>
        <sz val="10"/>
        <color rgb="FF000000"/>
        <rFont val="Tahoma"/>
        <family val="2"/>
      </rPr>
      <t xml:space="preserve"> Tuesday, February 10, 2015 6:30 PM</t>
    </r>
  </si>
  <si>
    <r>
      <t>Subject:</t>
    </r>
    <r>
      <rPr>
        <sz val="10"/>
        <color rgb="FF000000"/>
        <rFont val="Tahoma"/>
        <family val="2"/>
      </rPr>
      <t xml:space="preserve"> Abhi:Suggestion re KPM-SL RE: Indrani| I will do and send: Sam;Will do Re: Indrani / Abhi RE:| Amended KPM - TFI Sri Lanka: KPM Sri Lanka</t>
    </r>
  </si>
  <si>
    <t>Abhi,</t>
  </si>
  <si>
    <t xml:space="preserve">1)I think it will be more clear if you do 2 KPMs –one for TFI &amp; one for consolidated SL(ie TFI+TkSS).           </t>
  </si>
  <si>
    <r>
      <t>2)Presently TkSS revenue of $ 28,850 p.m received from CIS whereas presently TkSS  is being charged a salary cost of $ 20,494/-(</t>
    </r>
    <r>
      <rPr>
        <b/>
        <sz val="11"/>
        <color rgb="FF1F497D"/>
        <rFont val="Calibri"/>
        <family val="2"/>
        <scheme val="minor"/>
      </rPr>
      <t>including Admin,HR,General Mgt,SPD &amp; Marketing</t>
    </r>
    <r>
      <rPr>
        <sz val="11"/>
        <color rgb="FF1F497D"/>
        <rFont val="Calibri"/>
        <family val="2"/>
        <scheme val="minor"/>
      </rPr>
      <t>) with common costs being allocated on a 80:20 basis on average.</t>
    </r>
  </si>
  <si>
    <t>3)Budget also to be categorized accordingly.</t>
  </si>
  <si>
    <t>4)Also observed in the Budget column in  KPM you sent for 2015, salary is only $ 28 k which is a monthly figure giving a Salary/Sales % of only 1.4% but for consol TFI/TeKSS should have been 12times that which would have given this unrealistic figures in the original KPM.Pl recheck &amp; confirm the position.</t>
  </si>
  <si>
    <t>Indrani</t>
  </si>
  <si>
    <r>
      <t>From:</t>
    </r>
    <r>
      <rPr>
        <sz val="10"/>
        <color rgb="FF000000"/>
        <rFont val="Tahoma"/>
        <family val="2"/>
      </rPr>
      <t xml:space="preserve"> Abhirami Thavarajah-SPD</t>
    </r>
  </si>
  <si>
    <r>
      <t>Sent:</t>
    </r>
    <r>
      <rPr>
        <sz val="10"/>
        <color rgb="FF000000"/>
        <rFont val="Tahoma"/>
        <family val="2"/>
      </rPr>
      <t xml:space="preserve"> Tuesday, February 10, 2015 2:40 PM</t>
    </r>
  </si>
  <si>
    <r>
      <t>To:</t>
    </r>
    <r>
      <rPr>
        <sz val="10"/>
        <color rgb="FF000000"/>
        <rFont val="Tahoma"/>
        <family val="2"/>
      </rPr>
      <t xml:space="preserve"> Indrani Wimalasena-SPD</t>
    </r>
  </si>
  <si>
    <r>
      <t>Subject:</t>
    </r>
    <r>
      <rPr>
        <sz val="10"/>
        <color rgb="FF000000"/>
        <rFont val="Tahoma"/>
        <family val="2"/>
      </rPr>
      <t xml:space="preserve"> Indrani| I will do and send: Sam;Will do Re: Indrani / Abhi RE:| Amended KPM - TFI Sri Lanka: KPM Sri Lanka</t>
    </r>
  </si>
  <si>
    <t>As we discussed today, will do it and send again.</t>
  </si>
  <si>
    <t>Regards;</t>
  </si>
  <si>
    <t>Abiramy Thavarajah</t>
  </si>
  <si>
    <r>
      <t>Sent:</t>
    </r>
    <r>
      <rPr>
        <sz val="10"/>
        <color rgb="FF000000"/>
        <rFont val="Tahoma"/>
        <family val="2"/>
      </rPr>
      <t xml:space="preserve"> Tuesday, February 10, 2015 10:01 AM</t>
    </r>
  </si>
  <si>
    <r>
      <t>To:</t>
    </r>
    <r>
      <rPr>
        <sz val="10"/>
        <color rgb="FF000000"/>
        <rFont val="Tahoma"/>
        <family val="2"/>
      </rPr>
      <t xml:space="preserve"> Sam Samarasinghe; Rober Gawlik; Abhirami Thavarajah-SPD</t>
    </r>
  </si>
  <si>
    <r>
      <t>Subject:</t>
    </r>
    <r>
      <rPr>
        <sz val="10"/>
        <color rgb="FF000000"/>
        <rFont val="Tahoma"/>
        <family val="2"/>
      </rPr>
      <t xml:space="preserve"> Sam;Will do Re: Indrani / Abhi RE:| Amended KPM - TFI Sri Lanka: KPM Sri Lanka</t>
    </r>
  </si>
  <si>
    <t xml:space="preserve">From: Sam Samarasinghe &lt;sam@etropicalfish.com&gt; </t>
  </si>
  <si>
    <r>
      <t xml:space="preserve">Date: </t>
    </r>
    <r>
      <rPr>
        <sz val="12"/>
        <color rgb="FF000000"/>
        <rFont val="Times New Roman"/>
        <family val="1"/>
      </rPr>
      <t>Mon, 9 Feb 2015 13:59:13 +0000</t>
    </r>
  </si>
  <si>
    <r>
      <t xml:space="preserve">To: </t>
    </r>
    <r>
      <rPr>
        <sz val="12"/>
        <color rgb="FF000000"/>
        <rFont val="Times New Roman"/>
        <family val="1"/>
      </rPr>
      <t>Rober Gawlik&lt;RGawlik@ca.rr.com&gt;; Abhirami Thavarajah-SPD&lt;abhiramit@cisintl.com&gt;; Indrani Wimalasena-SPD&lt;indraniw@cisintl.com&gt;</t>
    </r>
  </si>
  <si>
    <r>
      <t xml:space="preserve">Subject: </t>
    </r>
    <r>
      <rPr>
        <sz val="12"/>
        <color rgb="FF000000"/>
        <rFont val="Times New Roman"/>
        <family val="1"/>
      </rPr>
      <t>Indrani / Abhi RE:| Amended KPM - TFI Sri Lanka: KPM Sri Lanka</t>
    </r>
  </si>
  <si>
    <t xml:space="preserve">  Appreciate if you review this anomaly, as we need to get these high level numbers right. </t>
  </si>
  <si>
    <t>  Thanks</t>
  </si>
  <si>
    <t xml:space="preserve">  Sam. </t>
  </si>
  <si>
    <r>
      <t>From:</t>
    </r>
    <r>
      <rPr>
        <sz val="10"/>
        <color rgb="FF000000"/>
        <rFont val="Tahoma"/>
        <family val="2"/>
      </rPr>
      <t xml:space="preserve"> Robert Gawlik [RGAWLIK@ca.rr.com]</t>
    </r>
  </si>
  <si>
    <r>
      <t>Sent:</t>
    </r>
    <r>
      <rPr>
        <sz val="10"/>
        <color rgb="FF000000"/>
        <rFont val="Tahoma"/>
        <family val="2"/>
      </rPr>
      <t xml:space="preserve"> Monday, February 09, 2015 6:42 PM</t>
    </r>
  </si>
  <si>
    <r>
      <t>Cc:</t>
    </r>
    <r>
      <rPr>
        <sz val="10"/>
        <color rgb="FF000000"/>
        <rFont val="Tahoma"/>
        <family val="2"/>
      </rPr>
      <t xml:space="preserve"> Sam Samarasinghe</t>
    </r>
  </si>
  <si>
    <r>
      <t>Subject:</t>
    </r>
    <r>
      <rPr>
        <sz val="10"/>
        <color rgb="FF000000"/>
        <rFont val="Tahoma"/>
        <family val="2"/>
      </rPr>
      <t xml:space="preserve"> RE: Bob| Amended KPM - TFI Sri Lanka: KPM Sri Lanka</t>
    </r>
  </si>
  <si>
    <t>Abhirami</t>
  </si>
  <si>
    <t>Still a little confused on the number. It generally seems too high. Are you still including individuals in data processing instead of sri lanka only??</t>
  </si>
  <si>
    <t>We budgeted 28 for the whole year. Something is out of whack. Pls check.</t>
  </si>
  <si>
    <t>From: Abhirami Thavarajah-SPD [mailto:abhiramit@cisintl.com]</t>
  </si>
  <si>
    <r>
      <t>Sent:</t>
    </r>
    <r>
      <rPr>
        <sz val="10"/>
        <color rgb="FF000000"/>
        <rFont val="Tahoma"/>
        <family val="2"/>
      </rPr>
      <t xml:space="preserve"> Sunday, February 08, 2015 10:53 PM</t>
    </r>
  </si>
  <si>
    <r>
      <t>To:</t>
    </r>
    <r>
      <rPr>
        <sz val="10"/>
        <color rgb="FF000000"/>
        <rFont val="Tahoma"/>
        <family val="2"/>
      </rPr>
      <t xml:space="preserve"> Rober Gawlik</t>
    </r>
  </si>
  <si>
    <r>
      <t>Cc:</t>
    </r>
    <r>
      <rPr>
        <sz val="10"/>
        <color rgb="FF000000"/>
        <rFont val="Tahoma"/>
        <family val="2"/>
      </rPr>
      <t xml:space="preserve"> Sam Samarasinghe; Indrani Wimalasena-SPD</t>
    </r>
  </si>
  <si>
    <r>
      <t>Subject:</t>
    </r>
    <r>
      <rPr>
        <sz val="10"/>
        <color rgb="FF000000"/>
        <rFont val="Tahoma"/>
        <family val="2"/>
      </rPr>
      <t xml:space="preserve"> Bob| Amended KPM - TFI Sri Lanka: KPM Sri Lanka</t>
    </r>
  </si>
  <si>
    <t>Bob;</t>
  </si>
  <si>
    <t>Regret for the inconvenience caused. One of the farm’s salary component of 1.34$ ( in thousands -  Horana 2) has been missed to include. Now it has been included and please kind enough to find the attached amended KPM for TFI – Sri Lanka.</t>
  </si>
  <si>
    <t>From: Robert Gawlik [mailto:RGAWLIK@ca.rr.com]</t>
  </si>
  <si>
    <r>
      <t>Sent:</t>
    </r>
    <r>
      <rPr>
        <sz val="10"/>
        <color rgb="FF000000"/>
        <rFont val="Tahoma"/>
        <family val="2"/>
      </rPr>
      <t xml:space="preserve"> Monday, February 09, 2015 6:33 AM</t>
    </r>
  </si>
  <si>
    <r>
      <t>Subject:</t>
    </r>
    <r>
      <rPr>
        <sz val="10"/>
        <color rgb="FF000000"/>
        <rFont val="Tahoma"/>
        <family val="2"/>
      </rPr>
      <t xml:space="preserve"> KPM Sri Lanka</t>
    </r>
  </si>
  <si>
    <t>Thank you for the information. Pls take a look at “Salary $” on Sri Lanka P&amp;L. It does not look correct to me.</t>
  </si>
  <si>
    <t>Pls advise</t>
  </si>
  <si>
    <r>
      <t>Sent:</t>
    </r>
    <r>
      <rPr>
        <sz val="10"/>
        <color rgb="FF000000"/>
        <rFont val="Tahoma"/>
        <family val="2"/>
      </rPr>
      <t xml:space="preserve"> Friday, February 06, 2015 5:43 AM</t>
    </r>
  </si>
  <si>
    <r>
      <t>Subject:</t>
    </r>
    <r>
      <rPr>
        <sz val="10"/>
        <color rgb="FF000000"/>
        <rFont val="Tahoma"/>
        <family val="2"/>
      </rPr>
      <t xml:space="preserve"> Bob| KPM - 2nd to 29th Jan 2015 - CIS, STF and TFI </t>
    </r>
  </si>
  <si>
    <r>
      <t>Please kind enough to find the attached excel work book for “</t>
    </r>
    <r>
      <rPr>
        <b/>
        <i/>
        <sz val="11"/>
        <color rgb="FF1F497D"/>
        <rFont val="Calibri"/>
        <family val="2"/>
        <scheme val="minor"/>
      </rPr>
      <t>KPM –TFI, CIS and STF – 2</t>
    </r>
    <r>
      <rPr>
        <b/>
        <i/>
        <vertAlign val="superscript"/>
        <sz val="11"/>
        <color rgb="FF1F497D"/>
        <rFont val="Calibri"/>
        <family val="2"/>
        <scheme val="minor"/>
      </rPr>
      <t>nd</t>
    </r>
    <r>
      <rPr>
        <b/>
        <i/>
        <sz val="11"/>
        <color rgb="FF1F497D"/>
        <rFont val="Calibri"/>
        <family val="2"/>
        <scheme val="minor"/>
      </rPr>
      <t xml:space="preserve">  to 29</t>
    </r>
    <r>
      <rPr>
        <b/>
        <i/>
        <vertAlign val="superscript"/>
        <sz val="11"/>
        <color rgb="FF1F497D"/>
        <rFont val="Calibri"/>
        <family val="2"/>
        <scheme val="minor"/>
      </rPr>
      <t>th</t>
    </r>
    <r>
      <rPr>
        <b/>
        <i/>
        <sz val="11"/>
        <color rgb="FF1F497D"/>
        <rFont val="Calibri"/>
        <family val="2"/>
        <scheme val="minor"/>
      </rPr>
      <t xml:space="preserve"> Jan 2015”.</t>
    </r>
    <r>
      <rPr>
        <sz val="11"/>
        <color rgb="FF1F497D"/>
        <rFont val="Calibri"/>
        <family val="2"/>
        <scheme val="minor"/>
      </rPr>
      <t xml:space="preserve">  </t>
    </r>
  </si>
  <si>
    <t>The sales by customer/country wise report will be sent by tomorrow. Please kind enough to excuse.</t>
  </si>
  <si>
    <t>Abiramy</t>
  </si>
  <si>
    <t>Location: Sri Lanka - TFI</t>
  </si>
  <si>
    <t>Location: Sri Lanka - TeKSS</t>
  </si>
  <si>
    <t>Note No</t>
  </si>
  <si>
    <r>
      <rPr>
        <b/>
        <sz val="11"/>
        <color theme="1"/>
        <rFont val="Calibri"/>
        <family val="2"/>
        <scheme val="minor"/>
      </rPr>
      <t>06.</t>
    </r>
    <r>
      <rPr>
        <sz val="11"/>
        <color theme="1"/>
        <rFont val="Calibri"/>
        <family val="2"/>
        <scheme val="minor"/>
      </rPr>
      <t xml:space="preserve"> Niluka</t>
    </r>
  </si>
  <si>
    <t>01</t>
  </si>
  <si>
    <t>02</t>
  </si>
  <si>
    <t>Rs.</t>
  </si>
  <si>
    <t>Note  - 01 - Salary</t>
  </si>
  <si>
    <t>Comments</t>
  </si>
  <si>
    <t>Direct Administration</t>
  </si>
  <si>
    <t>Travelling &amp; Transport</t>
  </si>
  <si>
    <t>Selling &amp; Distribution Expenses</t>
  </si>
  <si>
    <t>Finance &amp; Other Charges</t>
  </si>
  <si>
    <r>
      <rPr>
        <b/>
        <sz val="11"/>
        <color theme="1"/>
        <rFont val="Calibri"/>
        <family val="2"/>
        <scheme val="minor"/>
      </rPr>
      <t>01.</t>
    </r>
    <r>
      <rPr>
        <sz val="11"/>
        <color theme="1"/>
        <rFont val="Calibri"/>
        <family val="2"/>
        <scheme val="minor"/>
      </rPr>
      <t xml:space="preserve"> Admin. Dept. Salaries</t>
    </r>
  </si>
  <si>
    <r>
      <rPr>
        <b/>
        <sz val="11"/>
        <color theme="1"/>
        <rFont val="Calibri"/>
        <family val="2"/>
        <scheme val="minor"/>
      </rPr>
      <t>02.</t>
    </r>
    <r>
      <rPr>
        <sz val="11"/>
        <color theme="1"/>
        <rFont val="Calibri"/>
        <family val="2"/>
        <scheme val="minor"/>
      </rPr>
      <t xml:space="preserve"> Finance Dept. Salaries</t>
    </r>
  </si>
  <si>
    <r>
      <rPr>
        <b/>
        <sz val="11"/>
        <color theme="1"/>
        <rFont val="Calibri"/>
        <family val="2"/>
        <scheme val="minor"/>
      </rPr>
      <t>03.</t>
    </r>
    <r>
      <rPr>
        <sz val="11"/>
        <color theme="1"/>
        <rFont val="Calibri"/>
        <family val="2"/>
        <scheme val="minor"/>
      </rPr>
      <t xml:space="preserve"> General Management Salaries</t>
    </r>
  </si>
  <si>
    <r>
      <rPr>
        <b/>
        <sz val="11"/>
        <color theme="1"/>
        <rFont val="Calibri"/>
        <family val="2"/>
        <scheme val="minor"/>
      </rPr>
      <t>04.</t>
    </r>
    <r>
      <rPr>
        <sz val="11"/>
        <color theme="1"/>
        <rFont val="Calibri"/>
        <family val="2"/>
        <scheme val="minor"/>
      </rPr>
      <t xml:space="preserve"> HR Dept. Salaries</t>
    </r>
  </si>
  <si>
    <r>
      <rPr>
        <b/>
        <sz val="11"/>
        <color theme="1"/>
        <rFont val="Calibri"/>
        <family val="2"/>
        <scheme val="minor"/>
      </rPr>
      <t xml:space="preserve">05. </t>
    </r>
    <r>
      <rPr>
        <sz val="11"/>
        <color theme="1"/>
        <rFont val="Calibri"/>
        <family val="2"/>
        <scheme val="minor"/>
      </rPr>
      <t>IT Department Salaries</t>
    </r>
  </si>
  <si>
    <r>
      <rPr>
        <b/>
        <sz val="11"/>
        <color theme="1"/>
        <rFont val="Calibri"/>
        <family val="2"/>
        <scheme val="minor"/>
      </rPr>
      <t>06.</t>
    </r>
    <r>
      <rPr>
        <sz val="11"/>
        <color theme="1"/>
        <rFont val="Calibri"/>
        <family val="2"/>
        <scheme val="minor"/>
      </rPr>
      <t xml:space="preserve"> Marketing Dept. Salaries</t>
    </r>
  </si>
  <si>
    <r>
      <rPr>
        <b/>
        <sz val="11"/>
        <color theme="1"/>
        <rFont val="Calibri"/>
        <family val="2"/>
        <scheme val="minor"/>
      </rPr>
      <t xml:space="preserve">07. </t>
    </r>
    <r>
      <rPr>
        <sz val="11"/>
        <color theme="1"/>
        <rFont val="Calibri"/>
        <family val="2"/>
        <scheme val="minor"/>
      </rPr>
      <t>Strategic Planing Dept. Salary</t>
    </r>
  </si>
  <si>
    <r>
      <rPr>
        <b/>
        <sz val="10"/>
        <color rgb="FF000000"/>
        <rFont val="Tahoma"/>
        <family val="2"/>
      </rPr>
      <t>05</t>
    </r>
    <r>
      <rPr>
        <sz val="10"/>
        <color rgb="FF000000"/>
        <rFont val="Tahoma"/>
        <family val="2"/>
      </rPr>
      <t>. Head Office Common Costs</t>
    </r>
  </si>
  <si>
    <t>TFI</t>
  </si>
  <si>
    <t>TeKSS</t>
  </si>
  <si>
    <t>Note  - 02- Overheads</t>
  </si>
  <si>
    <t>Niluka's payroll is being accounted for under "Admon dept" ( under TeKSS accounts), so it is being deducted as to add to  Farms related salaries - as per Sam's Instruction</t>
  </si>
  <si>
    <t>It is being accounted for under "Head Office Payroll " ( under TeKSS accounts -admin dept salaries), so it is being added to Farms related salaries - as per Sam's Instruction</t>
  </si>
  <si>
    <t>Re. your query on the above:</t>
  </si>
  <si>
    <t xml:space="preserve">1. Marketing Dept. comes under the Head office - and come under TeKSS. </t>
  </si>
  <si>
    <t>2. Re. Salaries &amp; Overheads of Shared Services Center - per the formula attached &amp; Copied below:</t>
  </si>
  <si>
    <r>
      <t xml:space="preserve">    a. I have already listed the specific DIRECT Salaries that should be included in TFI. </t>
    </r>
    <r>
      <rPr>
        <b/>
        <sz val="10"/>
        <color rgb="FF000000"/>
        <rFont val="Tahoma"/>
        <family val="2"/>
      </rPr>
      <t xml:space="preserve">This is final, lets move on. </t>
    </r>
  </si>
  <si>
    <t xml:space="preserve">        (all Farm direct Salaries, + Niluka - who is the Sr. Mgr. overseeing Farms) </t>
  </si>
  <si>
    <t xml:space="preserve">    </t>
  </si>
  <si>
    <t>    b. For other div's - lets Let's agree on the Costs to be apportioned as follows (very much along the lines of what</t>
  </si>
  <si>
    <t>        you have suggested):</t>
  </si>
  <si>
    <t xml:space="preserve">        </t>
  </si>
  <si>
    <t xml:space="preserve">    c. Divide the Costs - among the KEY components of Shared Services. </t>
  </si>
  <si>
    <t xml:space="preserve">    d. The KEY Components are: HR, IT, Finance, Admin, Gen. Mgt, SPD, Marketing, Utilities &amp; </t>
  </si>
  <si>
    <t xml:space="preserve">            Communication, Remaining Shared Services Center overheads. </t>
  </si>
  <si>
    <t>     </t>
  </si>
  <si>
    <t>    e. Identify the FULL Costs of EACH of the above categories</t>
  </si>
  <si>
    <t>    f. Apportion EACH Category as follows, across the 4 different Companies:</t>
  </si>
  <si>
    <t>        </t>
  </si>
  <si>
    <t xml:space="preserve">    g. The total of ALL Categories of EACH Company will be what is charges to EACH of the Companies. </t>
  </si>
  <si>
    <t>    h. Let's see where the actual NUMBER comes in at - and then if something looks completely OFF we can make</t>
  </si>
  <si>
    <t>        a change in the % easily, as the total has to ADD up to 100%.</t>
  </si>
  <si>
    <t xml:space="preserve">    This is NOT set in stone, and can be amended, but we cannot go on debating - we need to make a decision and move forward. </t>
  </si>
  <si>
    <t>Company</t>
  </si>
  <si>
    <t>HR</t>
  </si>
  <si>
    <t>IT</t>
  </si>
  <si>
    <t>Finance</t>
  </si>
  <si>
    <t>Admin</t>
  </si>
  <si>
    <t>Gen.Mgt</t>
  </si>
  <si>
    <t>SPD</t>
  </si>
  <si>
    <t>Marketing</t>
  </si>
  <si>
    <t>Utilities</t>
  </si>
  <si>
    <t>Overheads</t>
  </si>
  <si>
    <t>CIS</t>
  </si>
  <si>
    <t>STF</t>
  </si>
  <si>
    <t>General Management</t>
  </si>
  <si>
    <t>Apportionment %</t>
  </si>
  <si>
    <t>Apportionment Basis - Given by Sam - on 13th Feb 2015</t>
  </si>
  <si>
    <r>
      <rPr>
        <b/>
        <sz val="11"/>
        <color theme="1"/>
        <rFont val="Calibri"/>
        <family val="2"/>
        <scheme val="minor"/>
      </rPr>
      <t>01</t>
    </r>
    <r>
      <rPr>
        <sz val="11"/>
        <color theme="1"/>
        <rFont val="Calibri"/>
        <family val="2"/>
        <scheme val="minor"/>
      </rPr>
      <t>. Meals and Entertainment</t>
    </r>
  </si>
  <si>
    <r>
      <rPr>
        <b/>
        <sz val="11"/>
        <color theme="1"/>
        <rFont val="Calibri"/>
        <family val="2"/>
        <scheme val="minor"/>
      </rPr>
      <t>02.</t>
    </r>
    <r>
      <rPr>
        <sz val="11"/>
        <color theme="1"/>
        <rFont val="Calibri"/>
        <family val="2"/>
        <scheme val="minor"/>
      </rPr>
      <t xml:space="preserve"> Professional fees</t>
    </r>
  </si>
  <si>
    <r>
      <rPr>
        <b/>
        <sz val="11"/>
        <color theme="1"/>
        <rFont val="Calibri"/>
        <family val="2"/>
        <scheme val="minor"/>
      </rPr>
      <t xml:space="preserve">03. </t>
    </r>
    <r>
      <rPr>
        <sz val="11"/>
        <color theme="1"/>
        <rFont val="Calibri"/>
        <family val="2"/>
        <scheme val="minor"/>
      </rPr>
      <t>Utility Expenses</t>
    </r>
  </si>
  <si>
    <t>Communication expenses</t>
  </si>
  <si>
    <t>Directly adentified</t>
  </si>
  <si>
    <r>
      <rPr>
        <b/>
        <sz val="11"/>
        <color theme="1"/>
        <rFont val="Calibri"/>
        <family val="2"/>
        <scheme val="minor"/>
      </rPr>
      <t>07</t>
    </r>
    <r>
      <rPr>
        <sz val="11"/>
        <color theme="1"/>
        <rFont val="Calibri"/>
        <family val="2"/>
        <scheme val="minor"/>
      </rPr>
      <t>. Utilities</t>
    </r>
  </si>
  <si>
    <r>
      <rPr>
        <b/>
        <sz val="10"/>
        <color rgb="FF000000"/>
        <rFont val="Tahoma"/>
        <family val="2"/>
      </rPr>
      <t>08</t>
    </r>
    <r>
      <rPr>
        <sz val="10"/>
        <color rgb="FF000000"/>
        <rFont val="Tahoma"/>
        <family val="2"/>
      </rPr>
      <t>. Head Office Common Costs</t>
    </r>
  </si>
  <si>
    <t>Directly identified</t>
  </si>
  <si>
    <t>07.Head Office Related Salary</t>
  </si>
  <si>
    <t>Jan 30th to Feb 26th</t>
  </si>
  <si>
    <t>4001200 · Salary &amp; Wages - Diyatha Uyana</t>
  </si>
  <si>
    <t>5102010 · Coral Rock Laying &amp; Harvesting</t>
  </si>
  <si>
    <t>5102012 · Farm Lorry Fuel Expenses</t>
  </si>
  <si>
    <t>5102013 · Transpotation Expenses</t>
  </si>
  <si>
    <t>5102014 · Staff Welfare</t>
  </si>
  <si>
    <t>5102015 · Farm Professional Expenses</t>
  </si>
  <si>
    <t>5102017 · Packing Material</t>
  </si>
  <si>
    <t>5105020 · Fresh Water Transport</t>
  </si>
  <si>
    <t>5201041 · Drinking Water  - SL Farm</t>
  </si>
  <si>
    <t>5201050 · Farm Hotel &amp; Lodging Expenses - Other</t>
  </si>
  <si>
    <t>5205060 · Security Expenses</t>
  </si>
  <si>
    <t>5206000 · Finance &amp; Other Charges</t>
  </si>
  <si>
    <t>5206030 · Lease Interests</t>
  </si>
  <si>
    <t>Total 5206000 · Finance &amp; Other Charges</t>
  </si>
  <si>
    <t>5211051 · Drinking Water Bottles</t>
  </si>
  <si>
    <t>5213030 · Wadduwa Land Line No.0382285480</t>
  </si>
  <si>
    <t>5213040 · Waduwa 4G LTE Office</t>
  </si>
  <si>
    <t>5214030 · Vehicle Services - Wadduwa</t>
  </si>
  <si>
    <t>5214050 · Vehicle Insurance, Licen &amp; Renw</t>
  </si>
  <si>
    <t>5241030 · Security Charges</t>
  </si>
  <si>
    <t>5250000 · Construction Machinery Expenses</t>
  </si>
  <si>
    <t>5230060 · Security Expenses - Agri-Equip</t>
  </si>
  <si>
    <t>Total 5250000 · Construction Machinery Expenses</t>
  </si>
  <si>
    <t>5301000 · Payroll Expenses</t>
  </si>
  <si>
    <t>Total 5301000 · Payroll Expenses</t>
  </si>
  <si>
    <t>5302050 · Staff Recruitment &amp; Training</t>
  </si>
  <si>
    <t>5303050 · VPN Charges</t>
  </si>
  <si>
    <t>5303080 · ADSL Line 0112075525</t>
  </si>
  <si>
    <t>5308030 · Interest Expense - Overdraft</t>
  </si>
  <si>
    <r>
      <rPr>
        <b/>
        <sz val="10"/>
        <color rgb="FF000000"/>
        <rFont val="Tahoma"/>
        <family val="2"/>
      </rPr>
      <t>06</t>
    </r>
    <r>
      <rPr>
        <sz val="10"/>
        <color rgb="FF000000"/>
        <rFont val="Tahoma"/>
        <family val="2"/>
      </rPr>
      <t>. Construction and machinery</t>
    </r>
  </si>
  <si>
    <t>5205990 · Miscellaneous Expenses</t>
  </si>
  <si>
    <t>5206020 · Short Term Loan Interests</t>
  </si>
  <si>
    <t>5235070 · Farm Rent - Minuwangoda</t>
  </si>
  <si>
    <t>Feb 27 - Apr 2, 15</t>
  </si>
  <si>
    <t>5101000 · Live Fish, Dry Goods &amp; Packing - Other</t>
  </si>
  <si>
    <t>5211011 · Water Moter Fuel Expenses</t>
  </si>
  <si>
    <t>5211030 · Casual Labour Exp. Wadduwa</t>
  </si>
  <si>
    <t>5240000 · Horana 2 Rented Farm - Ingiriya - Other</t>
  </si>
  <si>
    <t>5230020 · Electricity Expenses - Agri-Equ</t>
  </si>
  <si>
    <t>5302110 · Rates and Taxes</t>
  </si>
  <si>
    <t>5305090 · Fuel Expenses</t>
  </si>
  <si>
    <t>5305091 · Fuel Bike  UQ 3572</t>
  </si>
  <si>
    <t>5305092 · Fuel for JR 5522</t>
  </si>
  <si>
    <t>5305093 · Fuel KN 9583</t>
  </si>
  <si>
    <t>Total 5305090 · Fuel Expenses</t>
  </si>
  <si>
    <t>5308050 · Lease Interests Expenses</t>
  </si>
  <si>
    <t>Type</t>
  </si>
  <si>
    <t>Num</t>
  </si>
  <si>
    <t>Date</t>
  </si>
  <si>
    <t>Account</t>
  </si>
  <si>
    <t>Amount (USD)</t>
  </si>
  <si>
    <t>Jan - Dec 15</t>
  </si>
  <si>
    <t>Invoice</t>
  </si>
  <si>
    <t>152</t>
  </si>
  <si>
    <t>1610000 · Accounts Receivable</t>
  </si>
  <si>
    <t>154</t>
  </si>
  <si>
    <t>153</t>
  </si>
  <si>
    <t>151</t>
  </si>
  <si>
    <t>150</t>
  </si>
  <si>
    <t>149</t>
  </si>
  <si>
    <t>148</t>
  </si>
  <si>
    <t>146</t>
  </si>
  <si>
    <t>147</t>
  </si>
  <si>
    <t xml:space="preserve">Key Performance Metrics- 2016 ($,000) </t>
  </si>
  <si>
    <t>Jan 1 - 28, 16</t>
  </si>
  <si>
    <t>5102016 · Postage , Printing ,Stationery</t>
  </si>
  <si>
    <t>5103040 · Freight Charges - Maldives Expt</t>
  </si>
  <si>
    <t>5104020 · Labour EPF</t>
  </si>
  <si>
    <t>5104030 · Labour ETF</t>
  </si>
  <si>
    <t>5106000 · Styrofom Box Project</t>
  </si>
  <si>
    <t>5106005 · Packing Materials</t>
  </si>
  <si>
    <t>Total 5106000 · Styrofom Box Project</t>
  </si>
  <si>
    <t>5201090 · Farm Insurance Expenses</t>
  </si>
  <si>
    <t>5201091 · Life &amp; General lFram Insurances</t>
  </si>
  <si>
    <t>5201092 · Vehicle Insurances</t>
  </si>
  <si>
    <t>Total 5201090 · Farm Insurance Expenses</t>
  </si>
  <si>
    <t>5201100 · Farm Professional Expenses</t>
  </si>
  <si>
    <t>5202020 · Farm Management EPF</t>
  </si>
  <si>
    <t>5202030 · Farm Management ETF</t>
  </si>
  <si>
    <t>5202040 · Farm Mgt. Other Allowances</t>
  </si>
  <si>
    <t>5203030 · Farm Land Line No.034-2255690</t>
  </si>
  <si>
    <t>5203090 · Horana Farm Leased Line</t>
  </si>
  <si>
    <t>5204100 · Horana farm Taxi vehicle fuel</t>
  </si>
  <si>
    <t>5205080 · Depreciations - Buildings</t>
  </si>
  <si>
    <t>5205090 · Depreciations - Motor Vehicles</t>
  </si>
  <si>
    <t>5205100 · Depreciations - Fram Equipments</t>
  </si>
  <si>
    <t>5206010 · Long Term Loan Interests</t>
  </si>
  <si>
    <t>5211041 · Meals &amp; Refreshment - Wadduwa</t>
  </si>
  <si>
    <t>5211070 · Insurance Expenses - General</t>
  </si>
  <si>
    <t>5211071 · Accomadation Charges</t>
  </si>
  <si>
    <t>5211081 · Fuel &amp; Oils</t>
  </si>
  <si>
    <t>5212020 · Management EPF - Wadduwa</t>
  </si>
  <si>
    <t>5212030 · Management ETF - Wadduwa</t>
  </si>
  <si>
    <t>5213010 · Mobile Bills - Wadduwa</t>
  </si>
  <si>
    <t>5213020 · Broadband Bills - Wadduwa</t>
  </si>
  <si>
    <t>5214020 · Tyres Replacement &amp; Repairs-Wad</t>
  </si>
  <si>
    <t>5215070 · Office Rent - Wadduwa</t>
  </si>
  <si>
    <t>5215100 · Depreciations - Buildings @ Wad</t>
  </si>
  <si>
    <t>5215110 · Depriciations - Wadduwa Equipme</t>
  </si>
  <si>
    <t>5221040 · Staff Welfare - Madala</t>
  </si>
  <si>
    <t>5221050 · Mobils Bills - Madala</t>
  </si>
  <si>
    <t>5221060 · Broadband  Bills - Madala</t>
  </si>
  <si>
    <t>5221070 · Ponds cultur project Expenses</t>
  </si>
  <si>
    <t>5225100 · Ponds @ Madala - Depreciation</t>
  </si>
  <si>
    <t>5234000 · Minuwangoda Vehicle Expenses</t>
  </si>
  <si>
    <t>5234020 · Vehicle Insurance</t>
  </si>
  <si>
    <t>Total 5234000 · Minuwangoda Vehicle Expenses</t>
  </si>
  <si>
    <t>5241040 · Staff Welfare - Other</t>
  </si>
  <si>
    <t>5241050 · Mobils and Broadbands Bills</t>
  </si>
  <si>
    <t>5242020 · Management EPF - Horana 2</t>
  </si>
  <si>
    <t>5242030 · Management ETF - Horana 2</t>
  </si>
  <si>
    <t>5245040 · General Repair &amp; Maintanance</t>
  </si>
  <si>
    <t>5230040 · Depriciations - Agri/ Construct</t>
  </si>
  <si>
    <t>5217000 · Back office service  - TEKSS</t>
  </si>
  <si>
    <t>Back office service ADM</t>
  </si>
  <si>
    <t>Back office service Cust.Cr</t>
  </si>
  <si>
    <t>Back office service Exe.Admn</t>
  </si>
  <si>
    <t>Back office service FIN</t>
  </si>
  <si>
    <t>Back office service HRD</t>
  </si>
  <si>
    <t>Back office service IT</t>
  </si>
  <si>
    <t>Back office service LOGI</t>
  </si>
  <si>
    <t>Back office service Mrktng</t>
  </si>
  <si>
    <t>Back office service P&amp;Plng</t>
  </si>
  <si>
    <t>Back office service R&amp;D</t>
  </si>
  <si>
    <t>Back officer service Gen.Mgt</t>
  </si>
  <si>
    <t>Total 5217000 · Back office service  - TEKSS</t>
  </si>
  <si>
    <t>Common cost - Payroll</t>
  </si>
  <si>
    <t>5301085 · Gratutity Expenses</t>
  </si>
  <si>
    <t>5301095 · Annual Bonus</t>
  </si>
  <si>
    <t>Common cost - Admn</t>
  </si>
  <si>
    <t>5302040 · Insurance Expenses</t>
  </si>
  <si>
    <t>5302041 · Insurance Exp. - Life &amp; General</t>
  </si>
  <si>
    <t>5302042 · Insurance Exp. - Vehicles</t>
  </si>
  <si>
    <t>Total 5302040 · Insurance Expenses</t>
  </si>
  <si>
    <t>5302060 · BOI Annual Fees</t>
  </si>
  <si>
    <t>5302070 · Dues &amp; Subscriptions</t>
  </si>
  <si>
    <t>5302130 · Fuel for Generator</t>
  </si>
  <si>
    <t>5302935 · Exhibition &amp; Trade fairs</t>
  </si>
  <si>
    <t>Common cost  - Communctn</t>
  </si>
  <si>
    <t>5303010 · Land Line No.011-2873980</t>
  </si>
  <si>
    <t>5303090 · SLT - Buddhika - 0332245246</t>
  </si>
  <si>
    <t>Common cost - Utility</t>
  </si>
  <si>
    <t>5304060 · Janitorial services</t>
  </si>
  <si>
    <t>Common cost - Travellng</t>
  </si>
  <si>
    <t>5305010 · Vehicle Hire/Lease</t>
  </si>
  <si>
    <t>5305090 · Fuel Expenses - Other</t>
  </si>
  <si>
    <t>5306000 · Depreciation Expenses</t>
  </si>
  <si>
    <t>5306020 · Motor Vehicles - Depreciations</t>
  </si>
  <si>
    <t>Total 5306000 · Depreciation Expenses</t>
  </si>
  <si>
    <t>5308000 · Finance &amp; Other Charges - Other</t>
  </si>
  <si>
    <t xml:space="preserve">Apportionment Basis - Given by Sam </t>
  </si>
  <si>
    <t>Utility expenses</t>
  </si>
  <si>
    <r>
      <rPr>
        <b/>
        <sz val="11"/>
        <color theme="1"/>
        <rFont val="Calibri"/>
        <family val="2"/>
        <scheme val="minor"/>
      </rPr>
      <t>03</t>
    </r>
    <r>
      <rPr>
        <sz val="11"/>
        <color theme="1"/>
        <rFont val="Calibri"/>
        <family val="2"/>
        <scheme val="minor"/>
      </rPr>
      <t>.Horana 2 farm</t>
    </r>
  </si>
  <si>
    <t>Adminn</t>
  </si>
  <si>
    <t>Customer care</t>
  </si>
  <si>
    <t>Executive admin</t>
  </si>
  <si>
    <t>Finance dept</t>
  </si>
  <si>
    <t>Human Resources</t>
  </si>
  <si>
    <t>Logistic</t>
  </si>
  <si>
    <t>Production &amp; Planning</t>
  </si>
  <si>
    <t>R&amp;D</t>
  </si>
  <si>
    <t>04.Head Office Related Salary</t>
  </si>
  <si>
    <t>Payroll cost</t>
  </si>
  <si>
    <t>Depreciation - Admin</t>
  </si>
  <si>
    <r>
      <t xml:space="preserve">03. </t>
    </r>
    <r>
      <rPr>
        <sz val="11"/>
        <color theme="1"/>
        <rFont val="Calibri"/>
        <family val="2"/>
        <scheme val="minor"/>
      </rPr>
      <t>Madala site/farm</t>
    </r>
  </si>
  <si>
    <r>
      <t xml:space="preserve">04. </t>
    </r>
    <r>
      <rPr>
        <sz val="11"/>
        <color theme="1"/>
        <rFont val="Calibri"/>
        <family val="2"/>
        <scheme val="minor"/>
      </rPr>
      <t>Horana 2 farm</t>
    </r>
  </si>
  <si>
    <r>
      <rPr>
        <b/>
        <sz val="10"/>
        <color rgb="FF000000"/>
        <rFont val="Tahoma"/>
        <family val="2"/>
      </rPr>
      <t>05</t>
    </r>
    <r>
      <rPr>
        <sz val="10"/>
        <color rgb="FF000000"/>
        <rFont val="Tahoma"/>
        <family val="2"/>
      </rPr>
      <t>. Construction and machinery</t>
    </r>
  </si>
  <si>
    <t>07. Overheads</t>
  </si>
  <si>
    <t>Note</t>
  </si>
  <si>
    <t>TFI - P1</t>
  </si>
  <si>
    <t>Exchange rates (as per CBSL)</t>
  </si>
  <si>
    <t>Jan 29 - Feb 25</t>
  </si>
  <si>
    <t>Jan 29 - Feb 25, 16</t>
  </si>
  <si>
    <t>4000000 · Sales Income - Other</t>
  </si>
  <si>
    <t>5000 · Cost of Goods Sold</t>
  </si>
  <si>
    <t>5103012 · Export Freight - Cartoon</t>
  </si>
  <si>
    <t>5106003 · Handling &amp; Documentation Charge</t>
  </si>
  <si>
    <t>5106004 · Direct Labour</t>
  </si>
  <si>
    <t>5106000 · Styrofom Box Project - Other</t>
  </si>
  <si>
    <t>5100000 · Cost of Sales - Other</t>
  </si>
  <si>
    <t>5204040 · Farm Vehicle Services Expenses</t>
  </si>
  <si>
    <t>5206040 · Bank Charges</t>
  </si>
  <si>
    <t>5206110 · Taxes and Levyies</t>
  </si>
  <si>
    <t>5302010 · Audit Fees</t>
  </si>
  <si>
    <t>5306030 · Computers &amp; Accessories-Depreci</t>
  </si>
  <si>
    <t>5306040 · Office Equipments-Depreciations</t>
  </si>
  <si>
    <t>5306050 · Furniture &amp; Fittings-Depreciati</t>
  </si>
  <si>
    <t>Other Income/Expense</t>
  </si>
  <si>
    <t>Other Income</t>
  </si>
  <si>
    <t>4200000 · Other Income Accounts</t>
  </si>
  <si>
    <t>4200010 · Sales of Discards</t>
  </si>
  <si>
    <t>420080 · Other Sundry Income</t>
  </si>
  <si>
    <t>Total 4200000 · Other Income Accounts</t>
  </si>
  <si>
    <t>Total Other Income</t>
  </si>
  <si>
    <t>Other Expense</t>
  </si>
  <si>
    <t>5400000 · Expenses on Produce Income</t>
  </si>
  <si>
    <t>Total Other Expense</t>
  </si>
  <si>
    <t>Net Other Income</t>
  </si>
  <si>
    <t xml:space="preserve">REVISED PROFIT &amp; LOSS </t>
  </si>
  <si>
    <t>INITIAL PROFIT &amp; LOSS</t>
  </si>
  <si>
    <t>5104070 · Annual Bonus</t>
  </si>
  <si>
    <t>5202096 · Annual Bonus</t>
  </si>
  <si>
    <t>5212090 · Annual Bonus</t>
  </si>
  <si>
    <t>5242040 · Annual Bonus</t>
  </si>
  <si>
    <t>5301050 · EPF - Head Office Staff</t>
  </si>
  <si>
    <t>5301060 · ETF - Head Office Staff</t>
  </si>
  <si>
    <t>5245030 · Travelling charges</t>
  </si>
  <si>
    <t>Feb 26 - Mar 31</t>
  </si>
  <si>
    <t>Feb 26 - Mar 31, 16</t>
  </si>
  <si>
    <t>5106006 · Production</t>
  </si>
  <si>
    <t>5106008 · Labour Charges</t>
  </si>
  <si>
    <t>5106009 · Materials</t>
  </si>
  <si>
    <t>Total 5106006 · Production</t>
  </si>
  <si>
    <t>4200020 · Sales of Produce</t>
  </si>
  <si>
    <t>TFI - P2</t>
  </si>
  <si>
    <t>TFI - P3</t>
  </si>
  <si>
    <t>5105000 Direct farm overheads</t>
  </si>
  <si>
    <t>5105010 Transport - Sea water</t>
  </si>
  <si>
    <t>5105070 Accommodation &amp; meals</t>
  </si>
  <si>
    <t>Apr 1 - Apr 28</t>
  </si>
  <si>
    <t>Apr 1 - 28, 16</t>
  </si>
  <si>
    <t>5106010 · Building Construction</t>
  </si>
  <si>
    <t>5201070 · Pest Control Expenses</t>
  </si>
  <si>
    <t>5204020 · Vehicle Registration &amp; Renewal</t>
  </si>
  <si>
    <t>5205110 · Farm hire expenses</t>
  </si>
  <si>
    <t>5205000 · Other Farm Overheads - Other</t>
  </si>
  <si>
    <t>5211060 · Professional Fees - Wadduwa</t>
  </si>
  <si>
    <t>5211061 · Donation &amp; Subscription</t>
  </si>
  <si>
    <t>5230010 · Rent - Agri-Equipment Yard</t>
  </si>
  <si>
    <t>5260000 · Generator Warehouse Expenses</t>
  </si>
  <si>
    <t>5260010 · Rent – Generator Warehouse</t>
  </si>
  <si>
    <t>Total 5260000 · Generator Warehouse Expenses</t>
  </si>
  <si>
    <t>5301030 · Fuel &amp; Vehicle Allowance</t>
  </si>
  <si>
    <t>TFI - P4</t>
  </si>
  <si>
    <t>Jan 1 - Jan 28</t>
  </si>
  <si>
    <t>Apr 29 - May 26, 16</t>
  </si>
  <si>
    <t>5210000 · Wadduwa Farm Expenses - Other</t>
  </si>
  <si>
    <t>Apr 29 - May 26</t>
  </si>
  <si>
    <t>TFI - P5</t>
  </si>
  <si>
    <t>Live Rock</t>
  </si>
  <si>
    <t>Depreciation</t>
  </si>
  <si>
    <t>TFI - P6</t>
  </si>
  <si>
    <t>May 27 - June 30</t>
  </si>
  <si>
    <t>May 27 - Jun 30, 16</t>
  </si>
  <si>
    <t>5103050 · Other  freight and Handling</t>
  </si>
  <si>
    <t>5105010 · Sea Water Pumping/ Transport</t>
  </si>
  <si>
    <t>5105070 · Accommodation &amp; Meals</t>
  </si>
  <si>
    <t>5216020 · Taxes ,Rate &amp; Levies @ Wadduwa</t>
  </si>
  <si>
    <t>5305040 · Foreign Travelling</t>
  </si>
  <si>
    <t>5308110 · Entertainment Expenses</t>
  </si>
  <si>
    <t>TROPICAL FISH INTERNATIONAL, SRI LANKA</t>
  </si>
  <si>
    <t>MONTHLY SALES - JUNE 2016</t>
  </si>
  <si>
    <t>Ex.Rate $1/145</t>
  </si>
  <si>
    <t>YEAR 2016</t>
  </si>
  <si>
    <t>No</t>
  </si>
  <si>
    <t>Invoice No</t>
  </si>
  <si>
    <t xml:space="preserve">Ex Rate </t>
  </si>
  <si>
    <t>Fresh Water</t>
  </si>
  <si>
    <t xml:space="preserve">Marine Water </t>
  </si>
  <si>
    <t>Styrofoam</t>
  </si>
  <si>
    <t>Live rock</t>
  </si>
  <si>
    <t>Total Revenue USD</t>
  </si>
  <si>
    <t>Freight, Handling and Documentation</t>
  </si>
  <si>
    <t>Total Income USD</t>
  </si>
  <si>
    <t>Total Income Rs</t>
  </si>
  <si>
    <t>01.06.2016</t>
  </si>
  <si>
    <t>08.06.2016</t>
  </si>
  <si>
    <t>06.06.2016</t>
  </si>
  <si>
    <t>13.06.2016</t>
  </si>
  <si>
    <t>14.06.2016</t>
  </si>
  <si>
    <t>15.06.2016</t>
  </si>
  <si>
    <t>18.06.2016</t>
  </si>
  <si>
    <t>22.06.2016</t>
  </si>
  <si>
    <t>25.06.2016</t>
  </si>
  <si>
    <t>Total USD</t>
  </si>
  <si>
    <t>% To Total Sales</t>
  </si>
  <si>
    <t>Opening Stock</t>
  </si>
  <si>
    <t>Closing Stock</t>
  </si>
  <si>
    <t xml:space="preserve"> </t>
  </si>
  <si>
    <t>May</t>
  </si>
  <si>
    <t>5100200 · Closing Stock</t>
  </si>
  <si>
    <t>5100220 · Live Fish</t>
  </si>
  <si>
    <t>Total 5100200 · Closing Stock</t>
  </si>
  <si>
    <t>5305050 · Motor Bike Expenses - H/O</t>
  </si>
  <si>
    <t>5218000 · Free Zone Project - Katunayake</t>
  </si>
  <si>
    <t>Jul 1 - 28, 16</t>
  </si>
  <si>
    <t>5205030 · Farm Tools Expenses</t>
  </si>
  <si>
    <t>5206080 · Exhibition &amp; Business Promotion</t>
  </si>
  <si>
    <t>5305000 · Travelling &amp; Transport - Other</t>
  </si>
  <si>
    <t>5300000 · Head Office Expenses - Other</t>
  </si>
  <si>
    <t>July 01 - July 28</t>
  </si>
  <si>
    <t>TFI - P7</t>
  </si>
  <si>
    <t>July 29 -Aug 25</t>
  </si>
  <si>
    <t>TFI - P8</t>
  </si>
  <si>
    <t>Jul 29 - Aug 25, 16</t>
  </si>
  <si>
    <t>5203050 · Farm wifi line No. 0342255590</t>
  </si>
  <si>
    <t>5301100 · IT Consultancy fee</t>
  </si>
  <si>
    <t>5303000 · Communication Expenses - Other</t>
  </si>
  <si>
    <t>Aug 26-Sep 29</t>
  </si>
  <si>
    <t>Aug 26 - Sep 29, 16</t>
  </si>
  <si>
    <t>5100230 · Equipments</t>
  </si>
  <si>
    <t>5206000 · Finance &amp; Other Charges - Other</t>
  </si>
  <si>
    <t>5301010 · Staff Salaries - Head Office</t>
  </si>
  <si>
    <t>5305070 · Vehicle License and Renewals</t>
  </si>
  <si>
    <t>5305094 · Fuel BAD-4978</t>
  </si>
  <si>
    <t>4200070 · Discount from Vendors</t>
  </si>
  <si>
    <t>TFI-P9</t>
  </si>
  <si>
    <t>Sep 30-Oct 27</t>
  </si>
  <si>
    <t>TFI-P10</t>
  </si>
  <si>
    <t>Sep 30 - Oct 27, 16</t>
  </si>
  <si>
    <t>5201000 · Indirect Expenses - Other</t>
  </si>
  <si>
    <t>5211000 · Wadduwa Administration Expense - Other</t>
  </si>
  <si>
    <t>5212000 · Wadduwa Salary Expenses - Other</t>
  </si>
  <si>
    <t>5305080 · Fuel for van</t>
  </si>
  <si>
    <t>4200050 · Profit / (Loss) on Disposals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</si>
</sst>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0"/>
    <numFmt numFmtId="165" formatCode="_(* #,##0_);_(* \(#,##0\);_(* &quot;-&quot;??_);_(@_)"/>
    <numFmt numFmtId="166" formatCode="#,##0;\-#,##0"/>
    <numFmt numFmtId="167" formatCode="0.0%"/>
    <numFmt numFmtId="168" formatCode="mm/dd/yyyy"/>
    <numFmt numFmtId="169" formatCode="#,##0.000000000"/>
    <numFmt numFmtId="170" formatCode="#,##0.0"/>
    <numFmt numFmtId="171" formatCode="#,##0.0000000000"/>
  </numFmts>
  <fonts count="50" x14ac:knownFonts="1">
    <font>
      <sz val="11"/>
      <color theme="1"/>
      <name val="Calibri"/>
      <family val="2"/>
      <scheme val="minor"/>
    </font>
    <font>
      <sz val="10"/>
      <name val="Arial"/>
      <family val="2"/>
    </font>
    <font>
      <sz val="10"/>
      <name val="Arial"/>
      <family val="2"/>
    </font>
    <font>
      <b/>
      <sz val="11"/>
      <color indexed="8"/>
      <name val="Calibri"/>
      <family val="2"/>
    </font>
    <font>
      <sz val="10"/>
      <name val="Arial"/>
      <family val="2"/>
    </font>
    <font>
      <sz val="11"/>
      <color theme="1"/>
      <name val="Calibri"/>
      <family val="2"/>
      <scheme val="minor"/>
    </font>
    <font>
      <sz val="18"/>
      <color theme="1"/>
      <name val="Calibri"/>
      <family val="2"/>
      <scheme val="minor"/>
    </font>
    <font>
      <b/>
      <sz val="14"/>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
      <b/>
      <sz val="8"/>
      <color rgb="FF000000"/>
      <name val="Arial"/>
      <family val="2"/>
    </font>
    <font>
      <sz val="8"/>
      <color rgb="FF000000"/>
      <name val="Arial"/>
      <family val="2"/>
    </font>
    <font>
      <sz val="9"/>
      <color indexed="81"/>
      <name val="Tahoma"/>
      <family val="2"/>
    </font>
    <font>
      <b/>
      <sz val="9"/>
      <color indexed="81"/>
      <name val="Tahoma"/>
      <family val="2"/>
    </font>
    <font>
      <b/>
      <sz val="11"/>
      <color theme="1"/>
      <name val="Calibri"/>
      <family val="2"/>
      <scheme val="minor"/>
    </font>
    <font>
      <b/>
      <i/>
      <u/>
      <sz val="11"/>
      <color theme="1"/>
      <name val="Calibri"/>
      <family val="2"/>
      <scheme val="minor"/>
    </font>
    <font>
      <sz val="11"/>
      <color rgb="FF1F497D"/>
      <name val="Calibri"/>
      <family val="2"/>
      <scheme val="minor"/>
    </font>
    <font>
      <b/>
      <sz val="10"/>
      <color theme="1"/>
      <name val="Tahoma"/>
      <family val="2"/>
    </font>
    <font>
      <sz val="10"/>
      <color theme="1"/>
      <name val="Tahoma"/>
      <family val="2"/>
    </font>
    <font>
      <sz val="10"/>
      <color rgb="FF000000"/>
      <name val="Tahoma"/>
      <family val="2"/>
    </font>
    <font>
      <b/>
      <sz val="10"/>
      <color rgb="FF000000"/>
      <name val="Tahoma"/>
      <family val="2"/>
    </font>
    <font>
      <sz val="12"/>
      <color rgb="FF000000"/>
      <name val="Times New Roman"/>
      <family val="1"/>
    </font>
    <font>
      <b/>
      <sz val="12"/>
      <color rgb="FF000000"/>
      <name val="Times New Roman"/>
      <family val="1"/>
    </font>
    <font>
      <sz val="11"/>
      <color rgb="FF000000"/>
      <name val="Calibri"/>
      <family val="2"/>
      <scheme val="minor"/>
    </font>
    <font>
      <b/>
      <sz val="11"/>
      <color rgb="FF1F497D"/>
      <name val="Calibri"/>
      <family val="2"/>
      <scheme val="minor"/>
    </font>
    <font>
      <b/>
      <i/>
      <sz val="11"/>
      <color rgb="FF1F497D"/>
      <name val="Calibri"/>
      <family val="2"/>
      <scheme val="minor"/>
    </font>
    <font>
      <b/>
      <i/>
      <vertAlign val="superscript"/>
      <sz val="11"/>
      <color rgb="FF1F497D"/>
      <name val="Calibri"/>
      <family val="2"/>
      <scheme val="minor"/>
    </font>
    <font>
      <u/>
      <sz val="11"/>
      <color theme="10"/>
      <name val="Calibri"/>
      <family val="2"/>
      <scheme val="minor"/>
    </font>
    <font>
      <sz val="10"/>
      <color theme="1"/>
      <name val="Times New Roman"/>
      <family val="1"/>
    </font>
    <font>
      <b/>
      <sz val="10"/>
      <color rgb="FF000000"/>
      <name val="Times New Roman"/>
      <family val="1"/>
    </font>
    <font>
      <sz val="10"/>
      <color rgb="FF000000"/>
      <name val="Times New Roman"/>
      <family val="1"/>
    </font>
    <font>
      <b/>
      <sz val="10"/>
      <name val="Arial"/>
      <family val="2"/>
    </font>
    <font>
      <b/>
      <i/>
      <u/>
      <sz val="10"/>
      <color rgb="FF000000"/>
      <name val="Tahoma"/>
      <family val="2"/>
    </font>
    <font>
      <sz val="10"/>
      <name val="Arial"/>
      <family val="2"/>
    </font>
    <font>
      <b/>
      <i/>
      <sz val="9"/>
      <color theme="1"/>
      <name val="Calibri"/>
      <family val="2"/>
      <scheme val="minor"/>
    </font>
    <font>
      <sz val="10"/>
      <name val="Arial"/>
      <family val="2"/>
    </font>
    <font>
      <sz val="11"/>
      <color theme="0"/>
      <name val="Calibri"/>
      <family val="2"/>
      <scheme val="minor"/>
    </font>
    <font>
      <b/>
      <sz val="10"/>
      <color theme="0"/>
      <name val="Calibri"/>
      <family val="2"/>
      <scheme val="minor"/>
    </font>
    <font>
      <sz val="10"/>
      <color theme="1"/>
      <name val="Calibri"/>
      <family val="2"/>
      <scheme val="minor"/>
    </font>
    <font>
      <b/>
      <sz val="9"/>
      <name val="Calibri"/>
      <family val="2"/>
      <scheme val="minor"/>
    </font>
    <font>
      <b/>
      <sz val="10"/>
      <name val="Calibri"/>
      <family val="2"/>
      <scheme val="minor"/>
    </font>
    <font>
      <sz val="9"/>
      <color theme="1"/>
      <name val="Times New Roman"/>
      <family val="1"/>
    </font>
    <font>
      <b/>
      <sz val="11"/>
      <color theme="3"/>
      <name val="Calibri"/>
      <family val="2"/>
      <scheme val="minor"/>
    </font>
    <font>
      <u/>
      <sz val="10"/>
      <color indexed="12"/>
      <name val="Arial"/>
      <family val="2"/>
    </font>
    <font>
      <b/>
      <sz val="11"/>
      <color rgb="FFFF0000"/>
      <name val="Calibri"/>
      <family val="2"/>
      <scheme val="minor"/>
    </font>
    <font>
      <sz val="9"/>
      <color indexed="81"/>
      <name val="Tahoma"/>
      <charset val="1"/>
    </font>
    <font>
      <b/>
      <sz val="9"/>
      <color indexed="81"/>
      <name val="Tahoma"/>
      <charset val="1"/>
    </font>
  </fonts>
  <fills count="21">
    <fill>
      <patternFill patternType="none"/>
    </fill>
    <fill>
      <patternFill patternType="gray125"/>
    </fill>
    <fill>
      <patternFill patternType="solid">
        <fgColor theme="5"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5" tint="-0.49998474074526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79998168889431442"/>
        <bgColor indexed="64"/>
      </patternFill>
    </fill>
  </fills>
  <borders count="4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ck">
        <color indexed="64"/>
      </bottom>
      <diagonal/>
    </border>
    <border>
      <left/>
      <right/>
      <top style="medium">
        <color indexed="64"/>
      </top>
      <bottom style="medium">
        <color indexed="64"/>
      </bottom>
      <diagonal/>
    </border>
    <border>
      <left/>
      <right/>
      <top style="medium">
        <color indexed="64"/>
      </top>
      <bottom/>
      <diagonal/>
    </border>
    <border>
      <left/>
      <right/>
      <top style="medium">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ck">
        <color rgb="FF000000"/>
      </left>
      <right style="medium">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7">
    <xf numFmtId="0" fontId="0" fillId="0" borderId="0"/>
    <xf numFmtId="43" fontId="5" fillId="0" borderId="0" applyFont="0" applyFill="0" applyBorder="0" applyAlignment="0" applyProtection="0"/>
    <xf numFmtId="0" fontId="1" fillId="0" borderId="0"/>
    <xf numFmtId="0" fontId="5" fillId="0" borderId="0"/>
    <xf numFmtId="0" fontId="1" fillId="0" borderId="0"/>
    <xf numFmtId="0" fontId="3" fillId="0" borderId="0"/>
    <xf numFmtId="0" fontId="2" fillId="0" borderId="0"/>
    <xf numFmtId="0" fontId="1" fillId="0" borderId="0"/>
    <xf numFmtId="0" fontId="4" fillId="0" borderId="0"/>
    <xf numFmtId="0" fontId="2" fillId="0" borderId="0"/>
    <xf numFmtId="0" fontId="1" fillId="0" borderId="0"/>
    <xf numFmtId="0" fontId="4" fillId="0" borderId="0"/>
    <xf numFmtId="9" fontId="5" fillId="0" borderId="0" applyFont="0" applyFill="0" applyBorder="0" applyAlignment="0" applyProtection="0"/>
    <xf numFmtId="0" fontId="30" fillId="0" borderId="0" applyNumberFormat="0" applyFill="0" applyBorder="0" applyAlignment="0" applyProtection="0"/>
    <xf numFmtId="0" fontId="36" fillId="0" borderId="0"/>
    <xf numFmtId="0" fontId="38" fillId="0" borderId="0"/>
    <xf numFmtId="0" fontId="46" fillId="0" borderId="0" applyNumberFormat="0" applyFill="0" applyBorder="0" applyAlignment="0" applyProtection="0">
      <alignment vertical="top"/>
      <protection locked="0"/>
    </xf>
  </cellStyleXfs>
  <cellXfs count="330">
    <xf numFmtId="0" fontId="0" fillId="0" borderId="0" xfId="0"/>
    <xf numFmtId="0" fontId="8" fillId="0" borderId="0" xfId="0" applyFont="1"/>
    <xf numFmtId="0" fontId="11" fillId="0" borderId="1" xfId="0" applyFont="1" applyBorder="1"/>
    <xf numFmtId="0" fontId="12" fillId="0" borderId="1" xfId="0" applyFont="1" applyBorder="1"/>
    <xf numFmtId="0" fontId="0" fillId="0" borderId="0" xfId="0"/>
    <xf numFmtId="0" fontId="0" fillId="0" borderId="0" xfId="0" applyNumberFormat="1"/>
    <xf numFmtId="49" fontId="13" fillId="0" borderId="0" xfId="0" applyNumberFormat="1" applyFont="1"/>
    <xf numFmtId="164" fontId="14" fillId="0" borderId="0" xfId="0" applyNumberFormat="1" applyFont="1"/>
    <xf numFmtId="164" fontId="14" fillId="0" borderId="0" xfId="0" applyNumberFormat="1" applyFont="1" applyBorder="1"/>
    <xf numFmtId="49" fontId="13" fillId="0" borderId="4" xfId="0" applyNumberFormat="1" applyFont="1" applyBorder="1" applyAlignment="1">
      <alignment horizontal="center"/>
    </xf>
    <xf numFmtId="164" fontId="14" fillId="0" borderId="5" xfId="0" applyNumberFormat="1" applyFont="1" applyBorder="1"/>
    <xf numFmtId="164" fontId="14" fillId="0" borderId="6" xfId="0" applyNumberFormat="1" applyFont="1" applyBorder="1"/>
    <xf numFmtId="164" fontId="13" fillId="0" borderId="7" xfId="0" applyNumberFormat="1" applyFont="1" applyBorder="1"/>
    <xf numFmtId="0" fontId="6" fillId="0" borderId="0" xfId="0" applyFont="1"/>
    <xf numFmtId="2" fontId="0" fillId="0" borderId="0" xfId="0" applyNumberFormat="1"/>
    <xf numFmtId="0" fontId="0" fillId="0" borderId="0" xfId="0" applyFill="1"/>
    <xf numFmtId="0" fontId="13" fillId="0" borderId="0" xfId="0" applyNumberFormat="1" applyFont="1"/>
    <xf numFmtId="165" fontId="0" fillId="0" borderId="0" xfId="0" applyNumberFormat="1"/>
    <xf numFmtId="0" fontId="0" fillId="0" borderId="0" xfId="0" applyAlignment="1">
      <alignment horizontal="center"/>
    </xf>
    <xf numFmtId="0" fontId="13" fillId="0" borderId="0" xfId="0" applyFont="1"/>
    <xf numFmtId="43" fontId="0" fillId="0" borderId="0" xfId="0" applyNumberFormat="1"/>
    <xf numFmtId="9" fontId="0" fillId="0" borderId="0" xfId="12" applyFont="1"/>
    <xf numFmtId="0" fontId="8" fillId="0" borderId="2" xfId="0" applyFont="1" applyBorder="1" applyAlignment="1">
      <alignment horizontal="center"/>
    </xf>
    <xf numFmtId="43" fontId="0" fillId="0" borderId="0" xfId="1" applyFont="1"/>
    <xf numFmtId="164" fontId="14" fillId="4" borderId="0" xfId="0" applyNumberFormat="1" applyFont="1" applyFill="1"/>
    <xf numFmtId="49" fontId="13" fillId="4" borderId="0" xfId="0" applyNumberFormat="1" applyFont="1" applyFill="1"/>
    <xf numFmtId="164" fontId="14" fillId="4" borderId="0" xfId="0" applyNumberFormat="1" applyFont="1" applyFill="1" applyBorder="1"/>
    <xf numFmtId="164" fontId="14" fillId="4" borderId="3" xfId="0" applyNumberFormat="1" applyFont="1" applyFill="1" applyBorder="1"/>
    <xf numFmtId="164" fontId="14" fillId="4" borderId="5" xfId="0" applyNumberFormat="1" applyFont="1" applyFill="1" applyBorder="1"/>
    <xf numFmtId="0" fontId="9" fillId="0" borderId="2" xfId="0" applyFont="1" applyBorder="1"/>
    <xf numFmtId="0" fontId="8" fillId="0" borderId="2" xfId="0" applyFont="1" applyBorder="1"/>
    <xf numFmtId="3" fontId="9" fillId="0" borderId="2" xfId="0" applyNumberFormat="1" applyFont="1" applyBorder="1" applyAlignment="1">
      <alignment horizontal="right"/>
    </xf>
    <xf numFmtId="3" fontId="9" fillId="0" borderId="2" xfId="0" applyNumberFormat="1" applyFont="1" applyBorder="1"/>
    <xf numFmtId="9" fontId="9" fillId="0" borderId="2" xfId="12" applyFont="1" applyBorder="1" applyAlignment="1">
      <alignment horizontal="right"/>
    </xf>
    <xf numFmtId="9" fontId="9" fillId="0" borderId="2" xfId="0" applyNumberFormat="1" applyFont="1" applyBorder="1"/>
    <xf numFmtId="10" fontId="9" fillId="0" borderId="2" xfId="12" applyNumberFormat="1" applyFont="1" applyBorder="1" applyAlignment="1">
      <alignment horizontal="right"/>
    </xf>
    <xf numFmtId="167" fontId="9" fillId="0" borderId="2" xfId="0" applyNumberFormat="1" applyFont="1" applyBorder="1"/>
    <xf numFmtId="37" fontId="9" fillId="0" borderId="2" xfId="0" applyNumberFormat="1" applyFont="1" applyBorder="1" applyAlignment="1">
      <alignment horizontal="right"/>
    </xf>
    <xf numFmtId="165" fontId="9" fillId="0" borderId="2" xfId="1" applyNumberFormat="1" applyFont="1" applyBorder="1" applyAlignment="1">
      <alignment horizontal="right"/>
    </xf>
    <xf numFmtId="4" fontId="9" fillId="0" borderId="2" xfId="0" applyNumberFormat="1" applyFont="1" applyBorder="1" applyAlignment="1">
      <alignment horizontal="right"/>
    </xf>
    <xf numFmtId="0" fontId="8" fillId="3" borderId="2" xfId="0" applyFont="1" applyFill="1" applyBorder="1"/>
    <xf numFmtId="0" fontId="8" fillId="0" borderId="2" xfId="0" applyFont="1" applyFill="1" applyBorder="1"/>
    <xf numFmtId="165" fontId="10" fillId="0" borderId="2" xfId="1" applyNumberFormat="1" applyFont="1" applyBorder="1" applyAlignment="1">
      <alignment horizontal="right"/>
    </xf>
    <xf numFmtId="49" fontId="13" fillId="3" borderId="0" xfId="0" applyNumberFormat="1" applyFont="1" applyFill="1"/>
    <xf numFmtId="43" fontId="0" fillId="3" borderId="0" xfId="1" applyFont="1" applyFill="1"/>
    <xf numFmtId="164" fontId="14" fillId="0" borderId="0" xfId="0" applyNumberFormat="1" applyFont="1" applyFill="1"/>
    <xf numFmtId="0" fontId="0" fillId="0" borderId="2" xfId="0" applyBorder="1"/>
    <xf numFmtId="43" fontId="0" fillId="0" borderId="2" xfId="1" applyFont="1" applyBorder="1"/>
    <xf numFmtId="0" fontId="0" fillId="0" borderId="0" xfId="0" applyAlignment="1">
      <alignment vertical="center"/>
    </xf>
    <xf numFmtId="0" fontId="19" fillId="0" borderId="0" xfId="0" applyFont="1" applyAlignment="1">
      <alignment vertical="center"/>
    </xf>
    <xf numFmtId="0" fontId="20"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30" fillId="0" borderId="0" xfId="13" applyAlignment="1">
      <alignment vertical="center"/>
    </xf>
    <xf numFmtId="0" fontId="24"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7" fillId="5" borderId="0" xfId="0" applyFont="1" applyFill="1"/>
    <xf numFmtId="0" fontId="18" fillId="2" borderId="0" xfId="0" applyFont="1" applyFill="1" applyAlignment="1">
      <alignment horizontal="center"/>
    </xf>
    <xf numFmtId="0" fontId="0" fillId="0" borderId="2" xfId="0" applyFill="1" applyBorder="1"/>
    <xf numFmtId="164" fontId="0" fillId="0" borderId="2" xfId="0" applyNumberFormat="1" applyBorder="1"/>
    <xf numFmtId="0" fontId="18" fillId="0" borderId="10" xfId="0" applyFont="1" applyFill="1" applyBorder="1"/>
    <xf numFmtId="0" fontId="0" fillId="5" borderId="2" xfId="0" applyFill="1" applyBorder="1" applyAlignment="1">
      <alignment wrapText="1"/>
    </xf>
    <xf numFmtId="0" fontId="8" fillId="2" borderId="2" xfId="0" applyFont="1" applyFill="1" applyBorder="1" applyAlignment="1">
      <alignment wrapText="1"/>
    </xf>
    <xf numFmtId="4" fontId="0" fillId="0" borderId="2" xfId="0" applyNumberFormat="1" applyBorder="1"/>
    <xf numFmtId="0" fontId="18" fillId="2" borderId="0" xfId="0" applyFont="1" applyFill="1" applyAlignment="1">
      <alignment horizontal="left"/>
    </xf>
    <xf numFmtId="0" fontId="22" fillId="0" borderId="2" xfId="0" applyFont="1" applyBorder="1" applyAlignment="1">
      <alignment vertical="center"/>
    </xf>
    <xf numFmtId="0" fontId="22" fillId="0" borderId="2" xfId="0" applyFont="1" applyBorder="1" applyAlignment="1">
      <alignment horizontal="left" vertical="center" indent="3"/>
    </xf>
    <xf numFmtId="9" fontId="0" fillId="0" borderId="2" xfId="0" applyNumberFormat="1" applyBorder="1"/>
    <xf numFmtId="9" fontId="0" fillId="0" borderId="2" xfId="12" applyFont="1" applyBorder="1"/>
    <xf numFmtId="164" fontId="18" fillId="0" borderId="0" xfId="0" applyNumberFormat="1" applyFont="1"/>
    <xf numFmtId="49" fontId="13" fillId="0" borderId="0" xfId="0" applyNumberFormat="1" applyFont="1" applyFill="1"/>
    <xf numFmtId="164" fontId="14" fillId="0" borderId="0" xfId="0" applyNumberFormat="1" applyFont="1" applyFill="1" applyBorder="1"/>
    <xf numFmtId="0" fontId="9" fillId="0" borderId="2" xfId="0" applyFont="1" applyBorder="1" applyAlignment="1">
      <alignment horizontal="center"/>
    </xf>
    <xf numFmtId="49" fontId="13" fillId="6" borderId="0" xfId="0" applyNumberFormat="1" applyFont="1" applyFill="1"/>
    <xf numFmtId="164" fontId="14" fillId="6" borderId="0" xfId="0" applyNumberFormat="1" applyFont="1" applyFill="1"/>
    <xf numFmtId="164" fontId="14" fillId="6" borderId="3" xfId="0" applyNumberFormat="1" applyFont="1" applyFill="1" applyBorder="1"/>
    <xf numFmtId="164" fontId="14" fillId="6" borderId="0" xfId="0" applyNumberFormat="1" applyFont="1" applyFill="1" applyBorder="1"/>
    <xf numFmtId="164" fontId="14" fillId="6" borderId="6" xfId="0" applyNumberFormat="1" applyFont="1" applyFill="1" applyBorder="1"/>
    <xf numFmtId="3" fontId="9" fillId="2" borderId="2" xfId="0" applyNumberFormat="1" applyFont="1" applyFill="1" applyBorder="1" applyAlignment="1">
      <alignment horizontal="right"/>
    </xf>
    <xf numFmtId="3" fontId="9" fillId="2" borderId="2" xfId="0" quotePrefix="1" applyNumberFormat="1" applyFont="1" applyFill="1" applyBorder="1" applyAlignment="1">
      <alignment horizontal="right"/>
    </xf>
    <xf numFmtId="0" fontId="7" fillId="2" borderId="0" xfId="0" applyFont="1" applyFill="1"/>
    <xf numFmtId="49" fontId="13" fillId="2" borderId="0" xfId="0" applyNumberFormat="1" applyFont="1" applyFill="1" applyAlignment="1">
      <alignment horizontal="center"/>
    </xf>
    <xf numFmtId="164" fontId="0" fillId="5" borderId="2" xfId="0" applyNumberFormat="1" applyFill="1" applyBorder="1"/>
    <xf numFmtId="0" fontId="32" fillId="0" borderId="11" xfId="0" applyFont="1" applyBorder="1" applyAlignment="1">
      <alignment vertical="center" wrapText="1"/>
    </xf>
    <xf numFmtId="0" fontId="32" fillId="0" borderId="12" xfId="0" applyFont="1" applyBorder="1" applyAlignment="1">
      <alignment vertical="center" wrapText="1"/>
    </xf>
    <xf numFmtId="0" fontId="32" fillId="0" borderId="13" xfId="0" applyFont="1" applyBorder="1" applyAlignment="1">
      <alignment vertical="center" wrapText="1"/>
    </xf>
    <xf numFmtId="0" fontId="33" fillId="0" borderId="14" xfId="0" applyFont="1" applyBorder="1" applyAlignment="1">
      <alignment vertical="center" wrapText="1"/>
    </xf>
    <xf numFmtId="9" fontId="33" fillId="0" borderId="15" xfId="0" applyNumberFormat="1" applyFont="1" applyBorder="1" applyAlignment="1">
      <alignment vertical="center" wrapText="1"/>
    </xf>
    <xf numFmtId="0" fontId="32" fillId="0" borderId="14" xfId="0" applyFont="1" applyBorder="1" applyAlignment="1">
      <alignment vertical="center" wrapText="1"/>
    </xf>
    <xf numFmtId="9" fontId="32" fillId="0" borderId="15" xfId="0" applyNumberFormat="1" applyFont="1" applyBorder="1" applyAlignment="1">
      <alignment vertical="center" wrapText="1"/>
    </xf>
    <xf numFmtId="0" fontId="31" fillId="0" borderId="0" xfId="0" applyFont="1" applyAlignment="1">
      <alignment vertical="center" wrapText="1"/>
    </xf>
    <xf numFmtId="0" fontId="22" fillId="7" borderId="0" xfId="0" applyFont="1" applyFill="1" applyAlignment="1">
      <alignment vertical="center"/>
    </xf>
    <xf numFmtId="0" fontId="0" fillId="7" borderId="0" xfId="0" applyFill="1"/>
    <xf numFmtId="0" fontId="34" fillId="0" borderId="16" xfId="0" applyFont="1" applyBorder="1" applyAlignment="1">
      <alignment vertical="center"/>
    </xf>
    <xf numFmtId="0" fontId="34" fillId="0" borderId="17" xfId="0" applyFont="1" applyBorder="1" applyAlignment="1">
      <alignment vertical="center"/>
    </xf>
    <xf numFmtId="0" fontId="34" fillId="0" borderId="18" xfId="0" applyFont="1" applyBorder="1" applyAlignment="1">
      <alignment vertical="center"/>
    </xf>
    <xf numFmtId="0" fontId="0" fillId="0" borderId="9" xfId="0" applyBorder="1" applyAlignment="1">
      <alignment vertical="center"/>
    </xf>
    <xf numFmtId="9" fontId="0" fillId="0" borderId="9" xfId="0" applyNumberFormat="1" applyBorder="1" applyAlignment="1">
      <alignment vertical="center"/>
    </xf>
    <xf numFmtId="0" fontId="0" fillId="0" borderId="2" xfId="0" applyBorder="1" applyAlignment="1">
      <alignment vertical="center"/>
    </xf>
    <xf numFmtId="9" fontId="0" fillId="0" borderId="2" xfId="0" applyNumberFormat="1" applyBorder="1" applyAlignment="1">
      <alignment vertical="center"/>
    </xf>
    <xf numFmtId="0" fontId="34" fillId="0" borderId="2" xfId="0" applyFont="1" applyBorder="1" applyAlignment="1">
      <alignment vertical="center"/>
    </xf>
    <xf numFmtId="9" fontId="34" fillId="0" borderId="2" xfId="0" applyNumberFormat="1" applyFont="1" applyBorder="1" applyAlignment="1">
      <alignment vertical="center"/>
    </xf>
    <xf numFmtId="0" fontId="0" fillId="0" borderId="10" xfId="0" applyFill="1" applyBorder="1"/>
    <xf numFmtId="0" fontId="0" fillId="0" borderId="0" xfId="0" applyBorder="1"/>
    <xf numFmtId="0" fontId="0" fillId="0" borderId="0" xfId="0" applyFill="1" applyBorder="1"/>
    <xf numFmtId="0" fontId="18" fillId="0" borderId="2" xfId="0" applyFont="1" applyFill="1" applyBorder="1"/>
    <xf numFmtId="164" fontId="18" fillId="0" borderId="2" xfId="0" applyNumberFormat="1" applyFont="1" applyBorder="1"/>
    <xf numFmtId="0" fontId="18" fillId="2" borderId="2" xfId="0" applyFont="1" applyFill="1" applyBorder="1" applyAlignment="1">
      <alignment horizontal="left"/>
    </xf>
    <xf numFmtId="0" fontId="18" fillId="2" borderId="2" xfId="0" applyFont="1" applyFill="1" applyBorder="1" applyAlignment="1">
      <alignment horizontal="center"/>
    </xf>
    <xf numFmtId="0" fontId="18" fillId="2" borderId="2" xfId="0" applyFont="1" applyFill="1" applyBorder="1" applyAlignment="1">
      <alignment horizontal="center" wrapText="1"/>
    </xf>
    <xf numFmtId="9" fontId="0" fillId="0" borderId="2" xfId="0" applyNumberFormat="1" applyBorder="1" applyAlignment="1">
      <alignment horizontal="right"/>
    </xf>
    <xf numFmtId="0" fontId="18" fillId="2" borderId="8" xfId="0" applyFont="1" applyFill="1" applyBorder="1" applyAlignment="1">
      <alignment horizontal="center" wrapText="1"/>
    </xf>
    <xf numFmtId="9" fontId="0" fillId="0" borderId="2" xfId="1" applyNumberFormat="1" applyFont="1" applyBorder="1"/>
    <xf numFmtId="0" fontId="18" fillId="0" borderId="2" xfId="0" applyFont="1" applyBorder="1" applyAlignment="1">
      <alignment horizontal="left" indent="3"/>
    </xf>
    <xf numFmtId="0" fontId="35" fillId="0" borderId="2" xfId="0" applyFont="1" applyFill="1" applyBorder="1" applyAlignment="1">
      <alignment horizontal="left" vertical="center" indent="3"/>
    </xf>
    <xf numFmtId="166" fontId="0" fillId="0" borderId="2" xfId="0" applyNumberFormat="1" applyBorder="1"/>
    <xf numFmtId="166" fontId="0" fillId="0" borderId="2" xfId="1" applyNumberFormat="1" applyFont="1" applyBorder="1"/>
    <xf numFmtId="166" fontId="18" fillId="0" borderId="0" xfId="0" applyNumberFormat="1" applyFont="1"/>
    <xf numFmtId="0" fontId="17" fillId="0" borderId="2" xfId="0" quotePrefix="1" applyFont="1" applyBorder="1"/>
    <xf numFmtId="0" fontId="0" fillId="8" borderId="9" xfId="0" applyFill="1" applyBorder="1" applyAlignment="1">
      <alignment vertical="center"/>
    </xf>
    <xf numFmtId="0" fontId="0" fillId="8" borderId="2" xfId="0" applyFill="1" applyBorder="1" applyAlignment="1">
      <alignment vertical="center"/>
    </xf>
    <xf numFmtId="9" fontId="0" fillId="8" borderId="9" xfId="0" applyNumberFormat="1" applyFill="1" applyBorder="1" applyAlignment="1">
      <alignment vertical="center"/>
    </xf>
    <xf numFmtId="9" fontId="0" fillId="8" borderId="2" xfId="0" applyNumberFormat="1" applyFill="1" applyBorder="1" applyAlignment="1">
      <alignment vertical="center"/>
    </xf>
    <xf numFmtId="3" fontId="9" fillId="0" borderId="2" xfId="0" applyNumberFormat="1" applyFont="1" applyFill="1" applyBorder="1"/>
    <xf numFmtId="0" fontId="9" fillId="0" borderId="2" xfId="0" applyFont="1" applyFill="1" applyBorder="1" applyAlignment="1">
      <alignment horizontal="center"/>
    </xf>
    <xf numFmtId="0" fontId="9" fillId="5" borderId="2" xfId="0" applyFont="1" applyFill="1" applyBorder="1" applyAlignment="1">
      <alignment horizontal="center"/>
    </xf>
    <xf numFmtId="0" fontId="7" fillId="0" borderId="0" xfId="0" applyFont="1" applyFill="1"/>
    <xf numFmtId="9" fontId="9" fillId="0" borderId="2" xfId="12" applyFont="1" applyFill="1" applyBorder="1" applyAlignment="1">
      <alignment horizontal="right"/>
    </xf>
    <xf numFmtId="0" fontId="9" fillId="0" borderId="0" xfId="0" applyFont="1" applyBorder="1"/>
    <xf numFmtId="0" fontId="9" fillId="0" borderId="0" xfId="0" applyFont="1" applyFill="1" applyBorder="1"/>
    <xf numFmtId="0" fontId="8" fillId="9" borderId="2" xfId="0" applyFont="1" applyFill="1" applyBorder="1" applyAlignment="1">
      <alignment wrapText="1"/>
    </xf>
    <xf numFmtId="49" fontId="13" fillId="3" borderId="0" xfId="0" applyNumberFormat="1" applyFont="1" applyFill="1" applyAlignment="1">
      <alignment horizontal="center"/>
    </xf>
    <xf numFmtId="0" fontId="13" fillId="10" borderId="0" xfId="0" applyNumberFormat="1" applyFont="1" applyFill="1"/>
    <xf numFmtId="43" fontId="0" fillId="0" borderId="0" xfId="1" applyFont="1" applyBorder="1"/>
    <xf numFmtId="9" fontId="0" fillId="0" borderId="0" xfId="0" applyNumberFormat="1" applyBorder="1" applyAlignment="1">
      <alignment horizontal="right"/>
    </xf>
    <xf numFmtId="166" fontId="18" fillId="0" borderId="2" xfId="0" applyNumberFormat="1" applyFont="1" applyBorder="1"/>
    <xf numFmtId="43" fontId="13" fillId="0" borderId="4" xfId="1" applyFont="1" applyBorder="1" applyAlignment="1">
      <alignment horizontal="center"/>
    </xf>
    <xf numFmtId="43" fontId="14" fillId="0" borderId="0" xfId="1" applyFont="1"/>
    <xf numFmtId="43" fontId="14" fillId="0" borderId="0" xfId="1" applyFont="1" applyBorder="1"/>
    <xf numFmtId="43" fontId="14" fillId="0" borderId="6" xfId="1" applyFont="1" applyBorder="1"/>
    <xf numFmtId="43" fontId="14" fillId="0" borderId="5" xfId="1" applyFont="1" applyBorder="1"/>
    <xf numFmtId="43" fontId="14" fillId="8" borderId="0" xfId="1" applyFont="1" applyFill="1"/>
    <xf numFmtId="43" fontId="14" fillId="0" borderId="3" xfId="1" applyFont="1" applyBorder="1"/>
    <xf numFmtId="43" fontId="14" fillId="8" borderId="5" xfId="1" applyFont="1" applyFill="1" applyBorder="1"/>
    <xf numFmtId="43" fontId="14" fillId="3" borderId="0" xfId="1" applyFont="1" applyFill="1"/>
    <xf numFmtId="43" fontId="14" fillId="3" borderId="3" xfId="1" applyFont="1" applyFill="1" applyBorder="1"/>
    <xf numFmtId="43" fontId="13" fillId="0" borderId="7" xfId="1" applyFont="1" applyBorder="1"/>
    <xf numFmtId="43" fontId="13" fillId="0" borderId="0" xfId="1" applyFont="1" applyBorder="1" applyAlignment="1">
      <alignment horizontal="center"/>
    </xf>
    <xf numFmtId="43" fontId="13" fillId="0" borderId="4" xfId="1" applyFont="1" applyBorder="1" applyAlignment="1">
      <alignment horizontal="center" wrapText="1"/>
    </xf>
    <xf numFmtId="43" fontId="14" fillId="4" borderId="0" xfId="1" applyFont="1" applyFill="1"/>
    <xf numFmtId="43" fontId="14" fillId="4" borderId="3" xfId="1" applyFont="1" applyFill="1" applyBorder="1"/>
    <xf numFmtId="43" fontId="14" fillId="4" borderId="0" xfId="1" applyFont="1" applyFill="1" applyBorder="1"/>
    <xf numFmtId="43" fontId="14" fillId="4" borderId="5" xfId="1" applyFont="1" applyFill="1" applyBorder="1"/>
    <xf numFmtId="0" fontId="0" fillId="0" borderId="0" xfId="0"/>
    <xf numFmtId="49" fontId="13" fillId="0" borderId="0" xfId="0" applyNumberFormat="1" applyFont="1"/>
    <xf numFmtId="0" fontId="13" fillId="0" borderId="0" xfId="0" applyFont="1"/>
    <xf numFmtId="49" fontId="13" fillId="0" borderId="0" xfId="0" applyNumberFormat="1" applyFont="1" applyAlignment="1">
      <alignment horizontal="center"/>
    </xf>
    <xf numFmtId="0" fontId="0" fillId="0" borderId="0" xfId="0" applyAlignment="1">
      <alignment horizontal="center"/>
    </xf>
    <xf numFmtId="0" fontId="13" fillId="0" borderId="0" xfId="0" applyNumberFormat="1" applyFont="1"/>
    <xf numFmtId="43" fontId="13" fillId="0" borderId="0" xfId="1" applyFont="1" applyFill="1" applyBorder="1" applyAlignment="1">
      <alignment horizontal="center"/>
    </xf>
    <xf numFmtId="43" fontId="14" fillId="0" borderId="0" xfId="1" applyFont="1" applyFill="1"/>
    <xf numFmtId="43" fontId="14" fillId="0" borderId="0" xfId="1" applyFont="1" applyFill="1" applyBorder="1"/>
    <xf numFmtId="43" fontId="13" fillId="0" borderId="0" xfId="1" applyFont="1" applyFill="1" applyBorder="1"/>
    <xf numFmtId="43" fontId="0" fillId="0" borderId="0" xfId="1" applyFont="1" applyFill="1"/>
    <xf numFmtId="43" fontId="13" fillId="0" borderId="0" xfId="1" applyFont="1" applyFill="1" applyBorder="1" applyAlignment="1">
      <alignment horizontal="center" wrapText="1"/>
    </xf>
    <xf numFmtId="0" fontId="37" fillId="0" borderId="0" xfId="0" applyFont="1" applyAlignment="1">
      <alignment horizontal="right"/>
    </xf>
    <xf numFmtId="165" fontId="0" fillId="0" borderId="0" xfId="1" applyNumberFormat="1" applyFont="1"/>
    <xf numFmtId="3" fontId="0" fillId="0" borderId="0" xfId="0" applyNumberFormat="1"/>
    <xf numFmtId="0" fontId="11" fillId="0" borderId="1" xfId="0" applyFont="1" applyBorder="1" applyAlignment="1">
      <alignment horizontal="center"/>
    </xf>
    <xf numFmtId="164" fontId="0" fillId="0" borderId="0" xfId="0" applyNumberFormat="1"/>
    <xf numFmtId="49" fontId="13" fillId="0" borderId="0" xfId="0" applyNumberFormat="1" applyFont="1"/>
    <xf numFmtId="168" fontId="13" fillId="0" borderId="0" xfId="0" applyNumberFormat="1" applyFont="1"/>
    <xf numFmtId="164" fontId="13" fillId="0" borderId="0" xfId="0" applyNumberFormat="1" applyFont="1"/>
    <xf numFmtId="49" fontId="14" fillId="0" borderId="0" xfId="0" applyNumberFormat="1" applyFont="1"/>
    <xf numFmtId="168" fontId="14" fillId="0" borderId="0" xfId="0" applyNumberFormat="1" applyFont="1"/>
    <xf numFmtId="164" fontId="14" fillId="0" borderId="0" xfId="0" applyNumberFormat="1" applyFont="1"/>
    <xf numFmtId="49" fontId="0" fillId="0" borderId="0" xfId="0" applyNumberFormat="1" applyAlignment="1">
      <alignment horizontal="center"/>
    </xf>
    <xf numFmtId="49" fontId="13" fillId="0" borderId="4" xfId="0" applyNumberFormat="1" applyFont="1" applyBorder="1" applyAlignment="1">
      <alignment horizontal="center"/>
    </xf>
    <xf numFmtId="165" fontId="12" fillId="0" borderId="1" xfId="1" applyNumberFormat="1" applyFont="1" applyBorder="1"/>
    <xf numFmtId="165" fontId="9" fillId="0" borderId="2" xfId="1" applyNumberFormat="1" applyFont="1" applyBorder="1"/>
    <xf numFmtId="9" fontId="9" fillId="0" borderId="2" xfId="12" applyNumberFormat="1" applyFont="1" applyBorder="1" applyAlignment="1">
      <alignment horizontal="right"/>
    </xf>
    <xf numFmtId="0" fontId="40" fillId="10" borderId="2" xfId="0" applyFont="1" applyFill="1" applyBorder="1" applyAlignment="1">
      <alignment horizontal="center"/>
    </xf>
    <xf numFmtId="3" fontId="9" fillId="9" borderId="2" xfId="0" applyNumberFormat="1" applyFont="1" applyFill="1" applyBorder="1" applyAlignment="1">
      <alignment horizontal="right"/>
    </xf>
    <xf numFmtId="165" fontId="0" fillId="0" borderId="2" xfId="1" applyNumberFormat="1" applyFont="1" applyFill="1" applyBorder="1"/>
    <xf numFmtId="9" fontId="0" fillId="0" borderId="2" xfId="0" applyNumberFormat="1" applyFill="1" applyBorder="1"/>
    <xf numFmtId="164" fontId="18" fillId="0" borderId="2" xfId="0" applyNumberFormat="1" applyFont="1" applyFill="1" applyBorder="1"/>
    <xf numFmtId="164" fontId="39" fillId="0" borderId="2" xfId="0" applyNumberFormat="1" applyFont="1" applyBorder="1"/>
    <xf numFmtId="4" fontId="39" fillId="0" borderId="2" xfId="0" applyNumberFormat="1" applyFont="1" applyBorder="1"/>
    <xf numFmtId="9" fontId="39" fillId="0" borderId="2" xfId="0" applyNumberFormat="1" applyFont="1" applyBorder="1"/>
    <xf numFmtId="165" fontId="0" fillId="0" borderId="2" xfId="1" applyNumberFormat="1" applyFont="1" applyBorder="1"/>
    <xf numFmtId="9" fontId="39" fillId="0" borderId="2" xfId="1" applyNumberFormat="1" applyFont="1" applyBorder="1"/>
    <xf numFmtId="43" fontId="0" fillId="0" borderId="0" xfId="1" applyFont="1" applyAlignment="1">
      <alignment horizontal="center"/>
    </xf>
    <xf numFmtId="0" fontId="23" fillId="0" borderId="2" xfId="0" applyFont="1" applyBorder="1" applyAlignment="1">
      <alignment vertical="center"/>
    </xf>
    <xf numFmtId="0" fontId="17" fillId="0" borderId="2" xfId="0" applyFont="1" applyBorder="1"/>
    <xf numFmtId="2" fontId="41" fillId="0" borderId="0" xfId="0" applyNumberFormat="1" applyFont="1"/>
    <xf numFmtId="9" fontId="9" fillId="0" borderId="2" xfId="12" applyNumberFormat="1" applyFont="1" applyFill="1" applyBorder="1" applyAlignment="1">
      <alignment horizontal="right"/>
    </xf>
    <xf numFmtId="3" fontId="9" fillId="0" borderId="2" xfId="0" applyNumberFormat="1" applyFont="1" applyFill="1" applyBorder="1" applyAlignment="1">
      <alignment horizontal="right"/>
    </xf>
    <xf numFmtId="165" fontId="9" fillId="0" borderId="2" xfId="1" applyNumberFormat="1" applyFont="1" applyFill="1" applyBorder="1" applyAlignment="1">
      <alignment horizontal="right"/>
    </xf>
    <xf numFmtId="3" fontId="9" fillId="9" borderId="2" xfId="0" applyNumberFormat="1" applyFont="1" applyFill="1" applyBorder="1" applyAlignment="1">
      <alignment horizontal="center"/>
    </xf>
    <xf numFmtId="165" fontId="18" fillId="2" borderId="2" xfId="1" applyNumberFormat="1" applyFont="1" applyFill="1" applyBorder="1" applyAlignment="1">
      <alignment horizontal="center"/>
    </xf>
    <xf numFmtId="165" fontId="18" fillId="0" borderId="2" xfId="1" applyNumberFormat="1" applyFont="1" applyFill="1" applyBorder="1"/>
    <xf numFmtId="165" fontId="0" fillId="0" borderId="0" xfId="1" applyNumberFormat="1" applyFont="1" applyBorder="1"/>
    <xf numFmtId="165" fontId="18" fillId="2" borderId="0" xfId="1" applyNumberFormat="1" applyFont="1" applyFill="1" applyAlignment="1">
      <alignment horizontal="center"/>
    </xf>
    <xf numFmtId="165" fontId="18" fillId="0" borderId="0" xfId="1" applyNumberFormat="1" applyFont="1"/>
    <xf numFmtId="165" fontId="0" fillId="0" borderId="0" xfId="1" applyNumberFormat="1" applyFont="1" applyAlignment="1">
      <alignment horizontal="center"/>
    </xf>
    <xf numFmtId="165" fontId="13" fillId="0" borderId="0" xfId="1" applyNumberFormat="1" applyFont="1"/>
    <xf numFmtId="43" fontId="13" fillId="0" borderId="4" xfId="1" applyFont="1" applyFill="1" applyBorder="1" applyAlignment="1">
      <alignment horizontal="center"/>
    </xf>
    <xf numFmtId="43" fontId="14" fillId="0" borderId="5" xfId="1" applyFont="1" applyFill="1" applyBorder="1"/>
    <xf numFmtId="43" fontId="14" fillId="0" borderId="3" xfId="1" applyFont="1" applyFill="1" applyBorder="1"/>
    <xf numFmtId="43" fontId="14" fillId="0" borderId="6" xfId="1" applyFont="1" applyFill="1" applyBorder="1"/>
    <xf numFmtId="0" fontId="8" fillId="0" borderId="0" xfId="0" applyFont="1" applyFill="1"/>
    <xf numFmtId="0" fontId="40" fillId="11" borderId="2" xfId="0" applyFont="1" applyFill="1" applyBorder="1" applyAlignment="1">
      <alignment horizontal="center"/>
    </xf>
    <xf numFmtId="49" fontId="13" fillId="5" borderId="0" xfId="0" applyNumberFormat="1" applyFont="1" applyFill="1"/>
    <xf numFmtId="43" fontId="14" fillId="5" borderId="0" xfId="1" applyFont="1" applyFill="1"/>
    <xf numFmtId="0" fontId="0" fillId="5" borderId="0" xfId="0" applyFill="1"/>
    <xf numFmtId="43" fontId="14" fillId="5" borderId="5" xfId="1" applyFont="1" applyFill="1" applyBorder="1"/>
    <xf numFmtId="0" fontId="13" fillId="5" borderId="0" xfId="0" applyNumberFormat="1" applyFont="1" applyFill="1"/>
    <xf numFmtId="0" fontId="13" fillId="7" borderId="0" xfId="0" applyNumberFormat="1" applyFont="1" applyFill="1"/>
    <xf numFmtId="43" fontId="13" fillId="5" borderId="7" xfId="1" applyFont="1" applyFill="1" applyBorder="1"/>
    <xf numFmtId="164" fontId="14" fillId="0" borderId="3" xfId="0" applyNumberFormat="1" applyFont="1" applyBorder="1"/>
    <xf numFmtId="0" fontId="18" fillId="2" borderId="1" xfId="0" applyFont="1" applyFill="1" applyBorder="1" applyAlignment="1">
      <alignment horizontal="left"/>
    </xf>
    <xf numFmtId="4" fontId="0" fillId="0" borderId="0" xfId="0" applyNumberFormat="1"/>
    <xf numFmtId="0" fontId="40" fillId="12" borderId="2" xfId="0" applyFont="1" applyFill="1" applyBorder="1" applyAlignment="1">
      <alignment horizontal="center"/>
    </xf>
    <xf numFmtId="164" fontId="14" fillId="0" borderId="19" xfId="0" applyNumberFormat="1" applyFont="1" applyBorder="1"/>
    <xf numFmtId="9" fontId="42" fillId="0" borderId="2" xfId="12" applyFont="1" applyBorder="1" applyAlignment="1">
      <alignment horizontal="right"/>
    </xf>
    <xf numFmtId="43" fontId="14" fillId="0" borderId="19" xfId="1" applyFont="1" applyBorder="1"/>
    <xf numFmtId="164" fontId="14" fillId="0" borderId="20" xfId="0" applyNumberFormat="1" applyFont="1" applyBorder="1"/>
    <xf numFmtId="0" fontId="43" fillId="13" borderId="2" xfId="0" applyFont="1" applyFill="1" applyBorder="1" applyAlignment="1">
      <alignment horizontal="center"/>
    </xf>
    <xf numFmtId="43" fontId="14" fillId="0" borderId="0" xfId="1" applyFont="1" applyAlignment="1">
      <alignment horizontal="right"/>
    </xf>
    <xf numFmtId="164" fontId="14" fillId="13" borderId="0" xfId="0" applyNumberFormat="1" applyFont="1" applyFill="1"/>
    <xf numFmtId="164" fontId="14" fillId="5" borderId="0" xfId="0" applyNumberFormat="1" applyFont="1" applyFill="1"/>
    <xf numFmtId="164" fontId="14" fillId="5" borderId="5" xfId="0" applyNumberFormat="1" applyFont="1" applyFill="1" applyBorder="1"/>
    <xf numFmtId="16" fontId="8" fillId="14" borderId="2" xfId="0" applyNumberFormat="1" applyFont="1" applyFill="1" applyBorder="1" applyAlignment="1">
      <alignment horizontal="center"/>
    </xf>
    <xf numFmtId="43" fontId="44" fillId="0" borderId="21" xfId="1" applyFont="1" applyFill="1" applyBorder="1"/>
    <xf numFmtId="1" fontId="0" fillId="0" borderId="0" xfId="0" applyNumberFormat="1"/>
    <xf numFmtId="4" fontId="0" fillId="5" borderId="0" xfId="0" applyNumberFormat="1" applyFill="1"/>
    <xf numFmtId="164" fontId="14" fillId="5" borderId="0" xfId="0" applyNumberFormat="1" applyFont="1" applyFill="1" applyBorder="1"/>
    <xf numFmtId="164" fontId="14" fillId="5" borderId="3" xfId="0" applyNumberFormat="1" applyFont="1" applyFill="1" applyBorder="1"/>
    <xf numFmtId="0" fontId="0" fillId="0" borderId="22" xfId="0" applyBorder="1"/>
    <xf numFmtId="0" fontId="8" fillId="15" borderId="2" xfId="0" applyFont="1" applyFill="1" applyBorder="1" applyAlignment="1">
      <alignment horizontal="center"/>
    </xf>
    <xf numFmtId="169" fontId="0" fillId="0" borderId="0" xfId="0" applyNumberFormat="1"/>
    <xf numFmtId="0" fontId="17" fillId="17" borderId="0" xfId="0" applyFont="1" applyFill="1"/>
    <xf numFmtId="0" fontId="0" fillId="17" borderId="0" xfId="0" applyFill="1"/>
    <xf numFmtId="165" fontId="0" fillId="17" borderId="0" xfId="1" applyNumberFormat="1" applyFont="1" applyFill="1"/>
    <xf numFmtId="165" fontId="0" fillId="17" borderId="0" xfId="0" applyNumberFormat="1" applyFill="1"/>
    <xf numFmtId="43" fontId="0" fillId="17" borderId="0" xfId="1" applyFont="1" applyFill="1"/>
    <xf numFmtId="0" fontId="0" fillId="16" borderId="23" xfId="0" applyFill="1" applyBorder="1" applyAlignment="1">
      <alignment horizontal="center"/>
    </xf>
    <xf numFmtId="0" fontId="0" fillId="16" borderId="23" xfId="0" applyFill="1" applyBorder="1" applyAlignment="1">
      <alignment horizontal="center" wrapText="1"/>
    </xf>
    <xf numFmtId="0" fontId="0" fillId="16" borderId="16" xfId="0" applyFill="1" applyBorder="1" applyAlignment="1">
      <alignment horizontal="center" wrapText="1"/>
    </xf>
    <xf numFmtId="165" fontId="0" fillId="16" borderId="24" xfId="1" applyNumberFormat="1" applyFont="1" applyFill="1" applyBorder="1" applyAlignment="1">
      <alignment horizontal="center"/>
    </xf>
    <xf numFmtId="165" fontId="0" fillId="16" borderId="5" xfId="1" applyNumberFormat="1" applyFont="1" applyFill="1" applyBorder="1" applyAlignment="1">
      <alignment horizontal="center"/>
    </xf>
    <xf numFmtId="165" fontId="0" fillId="16" borderId="25" xfId="1" applyNumberFormat="1" applyFont="1" applyFill="1" applyBorder="1" applyAlignment="1">
      <alignment horizontal="center"/>
    </xf>
    <xf numFmtId="165" fontId="0" fillId="16" borderId="25" xfId="1" applyNumberFormat="1" applyFont="1" applyFill="1" applyBorder="1" applyAlignment="1">
      <alignment horizontal="center" wrapText="1"/>
    </xf>
    <xf numFmtId="165" fontId="0" fillId="16" borderId="5" xfId="1" applyNumberFormat="1" applyFont="1" applyFill="1" applyBorder="1" applyAlignment="1">
      <alignment horizontal="center" wrapText="1"/>
    </xf>
    <xf numFmtId="0" fontId="0" fillId="17" borderId="26" xfId="0" applyNumberFormat="1" applyFill="1" applyBorder="1" applyAlignment="1">
      <alignment horizontal="center"/>
    </xf>
    <xf numFmtId="0" fontId="46" fillId="17" borderId="26" xfId="16" applyNumberFormat="1" applyFill="1" applyBorder="1" applyAlignment="1" applyProtection="1">
      <alignment horizontal="center"/>
    </xf>
    <xf numFmtId="0" fontId="46" fillId="17" borderId="27" xfId="16" applyNumberFormat="1" applyFill="1" applyBorder="1" applyAlignment="1" applyProtection="1">
      <alignment horizontal="center"/>
    </xf>
    <xf numFmtId="165" fontId="5" fillId="17" borderId="28" xfId="1" applyNumberFormat="1" applyFont="1" applyFill="1" applyBorder="1"/>
    <xf numFmtId="165" fontId="5" fillId="17" borderId="29" xfId="1" applyNumberFormat="1" applyFont="1" applyFill="1" applyBorder="1"/>
    <xf numFmtId="165" fontId="5" fillId="17" borderId="30" xfId="1" applyNumberFormat="1" applyFont="1" applyFill="1" applyBorder="1"/>
    <xf numFmtId="165" fontId="5" fillId="17" borderId="31" xfId="1" applyNumberFormat="1" applyFont="1" applyFill="1" applyBorder="1"/>
    <xf numFmtId="165" fontId="5" fillId="17" borderId="32" xfId="1" applyNumberFormat="1" applyFont="1" applyFill="1" applyBorder="1"/>
    <xf numFmtId="0" fontId="0" fillId="0" borderId="26" xfId="0" applyNumberFormat="1" applyFill="1" applyBorder="1" applyAlignment="1">
      <alignment horizontal="center"/>
    </xf>
    <xf numFmtId="0" fontId="46" fillId="0" borderId="26" xfId="16" applyNumberFormat="1" applyFill="1" applyBorder="1" applyAlignment="1" applyProtection="1">
      <alignment horizontal="center"/>
    </xf>
    <xf numFmtId="0" fontId="46" fillId="0" borderId="27" xfId="16" applyNumberFormat="1" applyFill="1" applyBorder="1" applyAlignment="1" applyProtection="1">
      <alignment horizontal="center"/>
    </xf>
    <xf numFmtId="165" fontId="0" fillId="0" borderId="28" xfId="1" applyNumberFormat="1" applyFont="1" applyFill="1" applyBorder="1"/>
    <xf numFmtId="165" fontId="0" fillId="0" borderId="29" xfId="1" applyNumberFormat="1" applyFont="1" applyFill="1" applyBorder="1"/>
    <xf numFmtId="165" fontId="0" fillId="0" borderId="30" xfId="1" applyNumberFormat="1" applyFont="1" applyFill="1" applyBorder="1"/>
    <xf numFmtId="165" fontId="0" fillId="0" borderId="31" xfId="1" applyNumberFormat="1" applyFont="1" applyFill="1" applyBorder="1"/>
    <xf numFmtId="165" fontId="0" fillId="0" borderId="32" xfId="1" applyNumberFormat="1" applyFont="1" applyFill="1" applyBorder="1"/>
    <xf numFmtId="165" fontId="0" fillId="17" borderId="28" xfId="1" applyNumberFormat="1" applyFont="1" applyFill="1" applyBorder="1"/>
    <xf numFmtId="165" fontId="0" fillId="17" borderId="29" xfId="1" applyNumberFormat="1" applyFont="1" applyFill="1" applyBorder="1"/>
    <xf numFmtId="165" fontId="0" fillId="17" borderId="30" xfId="1" applyNumberFormat="1" applyFont="1" applyFill="1" applyBorder="1"/>
    <xf numFmtId="165" fontId="0" fillId="17" borderId="31" xfId="1" applyNumberFormat="1" applyFont="1" applyFill="1" applyBorder="1"/>
    <xf numFmtId="165" fontId="0" fillId="17" borderId="32" xfId="1" applyNumberFormat="1" applyFont="1" applyFill="1" applyBorder="1"/>
    <xf numFmtId="0" fontId="0" fillId="17" borderId="34" xfId="0" applyNumberFormat="1" applyFill="1" applyBorder="1" applyAlignment="1">
      <alignment horizontal="center"/>
    </xf>
    <xf numFmtId="0" fontId="46" fillId="17" borderId="34" xfId="16" applyNumberFormat="1" applyFill="1" applyBorder="1" applyAlignment="1" applyProtection="1">
      <alignment horizontal="center"/>
    </xf>
    <xf numFmtId="0" fontId="46" fillId="17" borderId="35" xfId="16" applyNumberFormat="1" applyFill="1" applyBorder="1" applyAlignment="1" applyProtection="1">
      <alignment horizontal="center"/>
    </xf>
    <xf numFmtId="165" fontId="0" fillId="17" borderId="36" xfId="1" applyNumberFormat="1" applyFont="1" applyFill="1" applyBorder="1"/>
    <xf numFmtId="165" fontId="0" fillId="17" borderId="37" xfId="1" applyNumberFormat="1" applyFont="1" applyFill="1" applyBorder="1"/>
    <xf numFmtId="165" fontId="0" fillId="17" borderId="38" xfId="1" applyNumberFormat="1" applyFont="1" applyFill="1" applyBorder="1"/>
    <xf numFmtId="165" fontId="0" fillId="17" borderId="39" xfId="1" applyNumberFormat="1" applyFont="1" applyFill="1" applyBorder="1"/>
    <xf numFmtId="165" fontId="0" fillId="17" borderId="40" xfId="1" applyNumberFormat="1" applyFont="1" applyFill="1" applyBorder="1"/>
    <xf numFmtId="0" fontId="47" fillId="17" borderId="0" xfId="0" applyFont="1" applyFill="1"/>
    <xf numFmtId="0" fontId="47" fillId="5" borderId="0" xfId="0" applyFont="1" applyFill="1"/>
    <xf numFmtId="165" fontId="47" fillId="5" borderId="22" xfId="1" applyNumberFormat="1" applyFont="1" applyFill="1" applyBorder="1"/>
    <xf numFmtId="9" fontId="45" fillId="17" borderId="0" xfId="12" applyFont="1" applyFill="1" applyAlignment="1">
      <alignment horizontal="center"/>
    </xf>
    <xf numFmtId="9" fontId="45" fillId="17" borderId="0" xfId="12" applyFont="1" applyFill="1"/>
    <xf numFmtId="9" fontId="45" fillId="17" borderId="0" xfId="0" applyNumberFormat="1" applyFont="1" applyFill="1"/>
    <xf numFmtId="165" fontId="45" fillId="17" borderId="0" xfId="1" applyNumberFormat="1" applyFont="1" applyFill="1"/>
    <xf numFmtId="43" fontId="45" fillId="17" borderId="0" xfId="1" applyFont="1" applyFill="1"/>
    <xf numFmtId="0" fontId="45" fillId="17" borderId="0" xfId="0" applyFont="1" applyFill="1"/>
    <xf numFmtId="43" fontId="0" fillId="17" borderId="0" xfId="1" applyNumberFormat="1" applyFont="1" applyFill="1"/>
    <xf numFmtId="165" fontId="0" fillId="17" borderId="33" xfId="1" applyNumberFormat="1" applyFont="1" applyFill="1" applyBorder="1"/>
    <xf numFmtId="165" fontId="0" fillId="0" borderId="33" xfId="1" applyNumberFormat="1" applyFont="1" applyFill="1" applyBorder="1"/>
    <xf numFmtId="165" fontId="0" fillId="17" borderId="41" xfId="1" applyNumberFormat="1" applyFont="1" applyFill="1" applyBorder="1"/>
    <xf numFmtId="43" fontId="0" fillId="17" borderId="33" xfId="1" applyNumberFormat="1" applyFont="1" applyFill="1" applyBorder="1"/>
    <xf numFmtId="3" fontId="0" fillId="0" borderId="0" xfId="0" applyNumberFormat="1" applyAlignment="1"/>
    <xf numFmtId="4" fontId="0" fillId="0" borderId="42" xfId="0" applyNumberFormat="1" applyBorder="1"/>
    <xf numFmtId="165" fontId="0" fillId="0" borderId="22" xfId="0" applyNumberFormat="1" applyBorder="1"/>
    <xf numFmtId="0" fontId="0" fillId="0" borderId="43" xfId="0" applyBorder="1"/>
    <xf numFmtId="0" fontId="0" fillId="0" borderId="6" xfId="0" applyBorder="1"/>
    <xf numFmtId="0" fontId="0" fillId="0" borderId="44" xfId="0" applyBorder="1"/>
    <xf numFmtId="0" fontId="0" fillId="0" borderId="45" xfId="0" applyBorder="1"/>
    <xf numFmtId="165" fontId="0" fillId="0" borderId="0" xfId="0" applyNumberFormat="1" applyBorder="1"/>
    <xf numFmtId="0" fontId="0" fillId="0" borderId="46" xfId="0" applyBorder="1"/>
    <xf numFmtId="0" fontId="0" fillId="0" borderId="47" xfId="0" applyBorder="1"/>
    <xf numFmtId="43" fontId="0" fillId="0" borderId="3" xfId="0" applyNumberFormat="1" applyBorder="1"/>
    <xf numFmtId="0" fontId="0" fillId="0" borderId="48" xfId="0" applyBorder="1"/>
    <xf numFmtId="9" fontId="42" fillId="0" borderId="2" xfId="12" applyFont="1" applyFill="1" applyBorder="1" applyAlignment="1">
      <alignment horizontal="right"/>
    </xf>
    <xf numFmtId="9" fontId="9" fillId="5" borderId="2" xfId="12" applyFont="1" applyFill="1" applyBorder="1" applyAlignment="1">
      <alignment horizontal="right"/>
    </xf>
    <xf numFmtId="43" fontId="47" fillId="17" borderId="0" xfId="0" applyNumberFormat="1" applyFont="1" applyFill="1"/>
    <xf numFmtId="2" fontId="13" fillId="0" borderId="0" xfId="0" applyNumberFormat="1" applyFont="1"/>
    <xf numFmtId="165" fontId="13" fillId="0" borderId="0" xfId="1" applyNumberFormat="1" applyFont="1" applyAlignment="1">
      <alignment horizontal="center"/>
    </xf>
    <xf numFmtId="2" fontId="13" fillId="0" borderId="0" xfId="0" applyNumberFormat="1" applyFont="1" applyAlignment="1">
      <alignment horizontal="center"/>
    </xf>
    <xf numFmtId="170" fontId="0" fillId="0" borderId="0" xfId="0" applyNumberFormat="1"/>
    <xf numFmtId="0" fontId="8" fillId="4" borderId="2" xfId="0" applyFont="1" applyFill="1" applyBorder="1" applyAlignment="1">
      <alignment horizontal="center"/>
    </xf>
    <xf numFmtId="0" fontId="8" fillId="14" borderId="2" xfId="0" applyFont="1" applyFill="1" applyBorder="1" applyAlignment="1">
      <alignment horizontal="center"/>
    </xf>
    <xf numFmtId="171" fontId="0" fillId="0" borderId="0" xfId="0" applyNumberFormat="1"/>
    <xf numFmtId="164" fontId="14" fillId="0" borderId="3" xfId="0" applyNumberFormat="1" applyFont="1" applyFill="1" applyBorder="1"/>
    <xf numFmtId="0" fontId="8" fillId="18" borderId="2" xfId="0" applyFont="1" applyFill="1" applyBorder="1" applyAlignment="1">
      <alignment horizontal="center"/>
    </xf>
    <xf numFmtId="49" fontId="13" fillId="19" borderId="0" xfId="0" applyNumberFormat="1" applyFont="1" applyFill="1"/>
    <xf numFmtId="164" fontId="14" fillId="19" borderId="0" xfId="0" applyNumberFormat="1" applyFont="1" applyFill="1"/>
    <xf numFmtId="164" fontId="14" fillId="19" borderId="5" xfId="0" applyNumberFormat="1" applyFont="1" applyFill="1" applyBorder="1"/>
    <xf numFmtId="0" fontId="8" fillId="2" borderId="2" xfId="0" applyFont="1" applyFill="1" applyBorder="1" applyAlignment="1">
      <alignment horizontal="center"/>
    </xf>
    <xf numFmtId="43" fontId="0" fillId="0" borderId="2" xfId="1" applyNumberFormat="1" applyFont="1" applyBorder="1"/>
    <xf numFmtId="43" fontId="0" fillId="20" borderId="2" xfId="1" applyNumberFormat="1" applyFont="1" applyFill="1" applyBorder="1"/>
    <xf numFmtId="49" fontId="13" fillId="20" borderId="0" xfId="0" applyNumberFormat="1" applyFont="1" applyFill="1"/>
    <xf numFmtId="9" fontId="45" fillId="17" borderId="0" xfId="12" applyFont="1" applyFill="1" applyAlignment="1">
      <alignment horizontal="center"/>
    </xf>
  </cellXfs>
  <cellStyles count="17">
    <cellStyle name="Comma" xfId="1" builtinId="3"/>
    <cellStyle name="Hyperlink" xfId="13" builtinId="8"/>
    <cellStyle name="Hyperlink 2" xfId="16"/>
    <cellStyle name="Normal" xfId="0" builtinId="0"/>
    <cellStyle name="Normal 2" xfId="2"/>
    <cellStyle name="Normal 2 2" xfId="3"/>
    <cellStyle name="Normal 2 3" xfId="4"/>
    <cellStyle name="Normal 2 4" xfId="5"/>
    <cellStyle name="Normal 2 5" xfId="14"/>
    <cellStyle name="Normal 2 6" xfId="15"/>
    <cellStyle name="Normal 3" xfId="6"/>
    <cellStyle name="Normal 3 2" xfId="7"/>
    <cellStyle name="Normal 3 3" xfId="8"/>
    <cellStyle name="Normal 4" xfId="9"/>
    <cellStyle name="Normal 4 2" xfId="10"/>
    <cellStyle name="Normal 4 3" xfId="11"/>
    <cellStyle name="Percent" xfId="1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12.xml><?xml version="1.0" encoding="utf-8"?>
<ax:ocx xmlns:ax="http://schemas.microsoft.com/office/2006/activeX" xmlns:r="http://schemas.openxmlformats.org/officeDocument/2006/relationships" ax:classid="{8BD21D10-EC42-11CE-9E0D-00AA006002F3}" ax:persistence="persistStreamInit" r:id="rId1"/>
</file>

<file path=xl/activeX/activeX13.xml><?xml version="1.0" encoding="utf-8"?>
<ax:ocx xmlns:ax="http://schemas.microsoft.com/office/2006/activeX" xmlns:r="http://schemas.openxmlformats.org/officeDocument/2006/relationships" ax:classid="{8BD21D10-EC42-11CE-9E0D-00AA006002F3}" ax:persistence="persistStreamInit" r:id="rId1"/>
</file>

<file path=xl/activeX/activeX14.xml><?xml version="1.0" encoding="utf-8"?>
<ax:ocx xmlns:ax="http://schemas.microsoft.com/office/2006/activeX" xmlns:r="http://schemas.openxmlformats.org/officeDocument/2006/relationships" ax:classid="{8BD21D10-EC42-11CE-9E0D-00AA006002F3}" ax:persistence="persistStreamInit" r:id="rId1"/>
</file>

<file path=xl/activeX/activeX15.xml><?xml version="1.0" encoding="utf-8"?>
<ax:ocx xmlns:ax="http://schemas.microsoft.com/office/2006/activeX" xmlns:r="http://schemas.openxmlformats.org/officeDocument/2006/relationships" ax:classid="{8BD21D10-EC42-11CE-9E0D-00AA006002F3}" ax:persistence="persistStreamInit" r:id="rId1"/>
</file>

<file path=xl/activeX/activeX16.xml><?xml version="1.0" encoding="utf-8"?>
<ax:ocx xmlns:ax="http://schemas.microsoft.com/office/2006/activeX" xmlns:r="http://schemas.openxmlformats.org/officeDocument/2006/relationships" ax:classid="{8BD21D10-EC42-11CE-9E0D-00AA006002F3}" ax:persistence="persistStreamInit" r:id="rId1"/>
</file>

<file path=xl/activeX/activeX17.xml><?xml version="1.0" encoding="utf-8"?>
<ax:ocx xmlns:ax="http://schemas.microsoft.com/office/2006/activeX" xmlns:r="http://schemas.openxmlformats.org/officeDocument/2006/relationships" ax:classid="{8BD21D10-EC42-11CE-9E0D-00AA006002F3}" ax:persistence="persistStreamInit" r:id="rId1"/>
</file>

<file path=xl/activeX/activeX18.xml><?xml version="1.0" encoding="utf-8"?>
<ax:ocx xmlns:ax="http://schemas.microsoft.com/office/2006/activeX" xmlns:r="http://schemas.openxmlformats.org/officeDocument/2006/relationships" ax:classid="{8BD21D10-EC42-11CE-9E0D-00AA006002F3}" ax:persistence="persistStreamInit" r:id="rId1"/>
</file>

<file path=xl/activeX/activeX19.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20.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6.v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emf"/></Relationships>
</file>

<file path=xl/drawings/_rels/vmlDrawing18.v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20.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2.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4.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60097" name="FILTER" hidden="1">
              <a:extLst>
                <a:ext uri="{63B3BB69-23CF-44E3-9099-C40C66FF867C}">
                  <a14:compatExt spid="_x0000_s260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60098" name="HEADER" hidden="1">
              <a:extLst>
                <a:ext uri="{63B3BB69-23CF-44E3-9099-C40C66FF867C}">
                  <a14:compatExt spid="_x0000_s2600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4</xdr:col>
          <xdr:colOff>114300</xdr:colOff>
          <xdr:row>1</xdr:row>
          <xdr:rowOff>228600</xdr:rowOff>
        </xdr:to>
        <xdr:sp macro="" textlink="">
          <xdr:nvSpPr>
            <xdr:cNvPr id="148481" name="FILTER" hidden="1">
              <a:extLst>
                <a:ext uri="{63B3BB69-23CF-44E3-9099-C40C66FF867C}">
                  <a14:compatExt spid="_x0000_s14848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4</xdr:col>
          <xdr:colOff>114300</xdr:colOff>
          <xdr:row>1</xdr:row>
          <xdr:rowOff>228600</xdr:rowOff>
        </xdr:to>
        <xdr:sp macro="" textlink="">
          <xdr:nvSpPr>
            <xdr:cNvPr id="148482" name="HEADER" hidden="1">
              <a:extLst>
                <a:ext uri="{63B3BB69-23CF-44E3-9099-C40C66FF867C}">
                  <a14:compatExt spid="_x0000_s14848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56353" name="FILTER" hidden="1">
              <a:extLst>
                <a:ext uri="{63B3BB69-23CF-44E3-9099-C40C66FF867C}">
                  <a14:compatExt spid="_x0000_s3563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56354" name="HEADER" hidden="1">
              <a:extLst>
                <a:ext uri="{63B3BB69-23CF-44E3-9099-C40C66FF867C}">
                  <a14:compatExt spid="_x0000_s35635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35873" name="FILTER" hidden="1">
              <a:extLst>
                <a:ext uri="{63B3BB69-23CF-44E3-9099-C40C66FF867C}">
                  <a14:compatExt spid="_x0000_s3358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35874" name="HEADER" hidden="1">
              <a:extLst>
                <a:ext uri="{63B3BB69-23CF-44E3-9099-C40C66FF867C}">
                  <a14:compatExt spid="_x0000_s33587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21537" name="FILTER" hidden="1">
              <a:extLst>
                <a:ext uri="{63B3BB69-23CF-44E3-9099-C40C66FF867C}">
                  <a14:compatExt spid="_x0000_s32153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21538" name="HEADER" hidden="1">
              <a:extLst>
                <a:ext uri="{63B3BB69-23CF-44E3-9099-C40C66FF867C}">
                  <a14:compatExt spid="_x0000_s32153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03105" name="FILTER" hidden="1">
              <a:extLst>
                <a:ext uri="{63B3BB69-23CF-44E3-9099-C40C66FF867C}">
                  <a14:compatExt spid="_x0000_s3031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03106" name="HEADER" hidden="1">
              <a:extLst>
                <a:ext uri="{63B3BB69-23CF-44E3-9099-C40C66FF867C}">
                  <a14:compatExt spid="_x0000_s30310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90817" name="FILTER" hidden="1">
              <a:extLst>
                <a:ext uri="{63B3BB69-23CF-44E3-9099-C40C66FF867C}">
                  <a14:compatExt spid="_x0000_s29081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90818" name="HEADER" hidden="1">
              <a:extLst>
                <a:ext uri="{63B3BB69-23CF-44E3-9099-C40C66FF867C}">
                  <a14:compatExt spid="_x0000_s29081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43713" name="FILTER" hidden="1">
              <a:extLst>
                <a:ext uri="{63B3BB69-23CF-44E3-9099-C40C66FF867C}">
                  <a14:compatExt spid="_x0000_s24371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43714" name="HEADER" hidden="1">
              <a:extLst>
                <a:ext uri="{63B3BB69-23CF-44E3-9099-C40C66FF867C}">
                  <a14:compatExt spid="_x0000_s24371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38100</xdr:rowOff>
        </xdr:to>
        <xdr:sp macro="" textlink="">
          <xdr:nvSpPr>
            <xdr:cNvPr id="233473" name="FILTER" hidden="1">
              <a:extLst>
                <a:ext uri="{63B3BB69-23CF-44E3-9099-C40C66FF867C}">
                  <a14:compatExt spid="_x0000_s2334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38100</xdr:rowOff>
        </xdr:to>
        <xdr:sp macro="" textlink="">
          <xdr:nvSpPr>
            <xdr:cNvPr id="233474" name="HEADER" hidden="1">
              <a:extLst>
                <a:ext uri="{63B3BB69-23CF-44E3-9099-C40C66FF867C}">
                  <a14:compatExt spid="_x0000_s23347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0</xdr:row>
          <xdr:rowOff>228600</xdr:rowOff>
        </xdr:to>
        <xdr:sp macro="" textlink="">
          <xdr:nvSpPr>
            <xdr:cNvPr id="172033" name="FILTER" hidden="1">
              <a:extLst>
                <a:ext uri="{63B3BB69-23CF-44E3-9099-C40C66FF867C}">
                  <a14:compatExt spid="_x0000_s1720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0</xdr:row>
          <xdr:rowOff>228600</xdr:rowOff>
        </xdr:to>
        <xdr:sp macro="" textlink="">
          <xdr:nvSpPr>
            <xdr:cNvPr id="172034" name="HEADER" hidden="1">
              <a:extLst>
                <a:ext uri="{63B3BB69-23CF-44E3-9099-C40C66FF867C}">
                  <a14:compatExt spid="_x0000_s1720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anley%20Samidas\Desktop\Stanleys\Loacl%20Disk%20(E)\Management%20Accounting\KPM\TFI%20SL\2015\Dec\TFI\TFI%20KPM%202015%20-%20Nov%2027%20-%20Dec%203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1%20Commercial%20Invoice%20-%202016-06-1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2%20Commercial%20Invoice%20%20-%202016-06-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3%20Commercial%20Invoice%20-%202016-06-1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4%20Commercial%20Invoice%20-%202016-06-1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5%20Commercial%20Invoice%20-%202016-06-2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6%20Commercial%20Invoice%20-%202016-06-25%2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Inventory%20Summary\Summary%20P4\Inventory%20Summary.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Weekly%20P%20&amp;L%20and%20Monthly%20KPM\TeKSS\2015\Feb%20-%20Jan%2030th%20to%20Feb%2026th\KPM%202015%20TeKSS%20-%2026-02-2015%20-%209th%20M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epika%20U\Desktop\Copy%20of%20SLTI-282%20Commercial%20Invoice%20%20-%202016-09-2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20INVOICE/Monthly_Weekly%20Sales%2016/Monthly-Weekly%20Sales%20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Sales%20Inv\July%20Inv\266%20Commercial%20Invoce%20-%202016-07-2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Sales%20Inv\July%20Inv\267%20Commercial%20Invoice%20-%202016-07-2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48%20Commercial%20Invoice%20-%202016-06-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49%20Commercial%20Invoice%20-%202016-06-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Sales%20Inv\Sales%20Jun%20201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tanley%20Samidas\AppData\Local\Microsoft\Windows\Temporary%20Internet%20Files\Content.Outlook\EC5HI642\250%20Commercial%20Invoice%20-%202016-06-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M  - TFI "/>
      <sheetName val="KPM update - TFI "/>
      <sheetName val="TFI &amp; TeKSS- Nov 27 - Dec 31"/>
      <sheetName val="TFI &amp; TeKSS- Oct 30 - Nov 26"/>
      <sheetName val="TFI &amp; TeKSS- Aug 28 - Oct 1"/>
      <sheetName val="TFI &amp; TeKSS- Jul 31 - Aug 27"/>
      <sheetName val="TFI &amp; TeKSS- Oct 2 - Oct 29"/>
      <sheetName val="TFI &amp; TeKSS- Jul 3 - Jul 30"/>
      <sheetName val="TFI &amp; TeKSS- May 29 - Jul 2"/>
      <sheetName val="TFI &amp; TeKSS- May 1 - May 28"/>
      <sheetName val="TFI &amp; TeKSS- Apr3 - Apr30"/>
      <sheetName val="TFI &amp; TeKSS-Feb 27 - Apr 2"/>
      <sheetName val="TFI &amp; TeKSS-Feb 27-Apr 2"/>
      <sheetName val="TFI -Jan 30 - Feb 26"/>
      <sheetName val="TeKSS -Jan 30 - Feb 26"/>
      <sheetName val="TFI - Jan 2nd to 29th -  QB "/>
      <sheetName val="KPM update - TeKSS"/>
      <sheetName val="TeKSS - Jan 2nd to 29th"/>
      <sheetName val="Appportionment Basis-Common cos"/>
      <sheetName val="Mail from Sam"/>
      <sheetName val="TeKSS Jan2 - Jan29"/>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51">
          <cell r="M251">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s>
    <sheetDataSet>
      <sheetData sheetId="0"/>
      <sheetData sheetId="1">
        <row r="24">
          <cell r="M24">
            <v>31500</v>
          </cell>
        </row>
        <row r="31">
          <cell r="M31">
            <v>6678.7576923076922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s>
    <sheetDataSet>
      <sheetData sheetId="0"/>
      <sheetData sheetId="1">
        <row r="26">
          <cell r="M26">
            <v>1518.26</v>
          </cell>
        </row>
        <row r="31">
          <cell r="M31">
            <v>2241.1251923076925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 val="Cost for #500"/>
    </sheetNames>
    <sheetDataSet>
      <sheetData sheetId="0"/>
      <sheetData sheetId="1">
        <row r="44">
          <cell r="M44">
            <v>8554.1899999999987</v>
          </cell>
        </row>
        <row r="47">
          <cell r="M47">
            <v>14.5</v>
          </cell>
        </row>
        <row r="50">
          <cell r="M50">
            <v>5.0999999999999996</v>
          </cell>
        </row>
        <row r="58">
          <cell r="M58">
            <v>275.44</v>
          </cell>
        </row>
        <row r="79">
          <cell r="M79">
            <v>255.72499999999997</v>
          </cell>
        </row>
        <row r="83">
          <cell r="M83">
            <v>189.75</v>
          </cell>
        </row>
        <row r="85">
          <cell r="M85">
            <v>153</v>
          </cell>
        </row>
        <row r="91">
          <cell r="M91">
            <v>159.65</v>
          </cell>
        </row>
        <row r="97">
          <cell r="M97">
            <v>5908.9596923076915</v>
          </cell>
        </row>
      </sheetData>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s>
    <sheetDataSet>
      <sheetData sheetId="0"/>
      <sheetData sheetId="1">
        <row r="26">
          <cell r="M26">
            <v>5383.86</v>
          </cell>
        </row>
        <row r="31">
          <cell r="M31">
            <v>3733.6526923076917</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 val="Sheet1"/>
    </sheetNames>
    <sheetDataSet>
      <sheetData sheetId="0"/>
      <sheetData sheetId="1">
        <row r="41">
          <cell r="M41">
            <v>8265.65</v>
          </cell>
        </row>
        <row r="105">
          <cell r="M105">
            <v>6534.8841923076916</v>
          </cell>
        </row>
      </sheetData>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s>
    <sheetDataSet>
      <sheetData sheetId="0"/>
      <sheetData sheetId="1">
        <row r="25">
          <cell r="M25">
            <v>24.799999999999997</v>
          </cell>
        </row>
        <row r="31">
          <cell r="M31">
            <v>6955.3099999999995</v>
          </cell>
        </row>
        <row r="37">
          <cell r="M37">
            <v>4530.0526923076914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oshan"/>
      <sheetName val="H-Rasangika"/>
      <sheetName val="Wadduwa-K"/>
      <sheetName val="Summary"/>
    </sheetNames>
    <sheetDataSet>
      <sheetData sheetId="0"/>
      <sheetData sheetId="1"/>
      <sheetData sheetId="2"/>
      <sheetData sheetId="3">
        <row r="16">
          <cell r="E16">
            <v>0</v>
          </cell>
          <cell r="F16">
            <v>9992301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M"/>
      <sheetName val="Summary"/>
      <sheetName val="P&amp;L2013"/>
      <sheetName val="P&amp;L13 update 27.1.14"/>
      <sheetName val="Summary Update 27.1.14"/>
      <sheetName val="KPM -  TeKSS "/>
      <sheetName val="KPM update - TFI "/>
      <sheetName val="TFI - Jan 2nd to 29th -  QB "/>
      <sheetName val="KPM update - TeKSS"/>
      <sheetName val="TFI &amp; TeKSS-Jan 30th - Feb 26th"/>
      <sheetName val="TeKSS - Jan 2nd to 29th"/>
      <sheetName val="KPM update 2014"/>
      <sheetName val="Salary Breakdown"/>
      <sheetName val="Appportionment Basis-Common cos"/>
      <sheetName val="Mail from Sam"/>
    </sheetNames>
    <sheetDataSet>
      <sheetData sheetId="0"/>
      <sheetData sheetId="1"/>
      <sheetData sheetId="2"/>
      <sheetData sheetId="3"/>
      <sheetData sheetId="4"/>
      <sheetData sheetId="5"/>
      <sheetData sheetId="6"/>
      <sheetData sheetId="7"/>
      <sheetData sheetId="8"/>
      <sheetData sheetId="9">
        <row r="16">
          <cell r="M16">
            <v>0</v>
          </cell>
        </row>
        <row r="24">
          <cell r="J24">
            <v>12133957.289999999</v>
          </cell>
        </row>
        <row r="33">
          <cell r="M33">
            <v>0</v>
          </cell>
        </row>
        <row r="50">
          <cell r="J50">
            <v>3346423.46</v>
          </cell>
        </row>
        <row r="58">
          <cell r="J58">
            <v>898998.51</v>
          </cell>
        </row>
        <row r="64">
          <cell r="J64">
            <v>8532636</v>
          </cell>
        </row>
        <row r="247">
          <cell r="J247">
            <v>900000</v>
          </cell>
        </row>
      </sheetData>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RCIAL INVOICE"/>
      <sheetName val="PACKING LIST"/>
      <sheetName val="INVOICE"/>
      <sheetName val="Cost for #500"/>
    </sheetNames>
    <sheetDataSet>
      <sheetData sheetId="0"/>
      <sheetData sheetId="1"/>
      <sheetData sheetId="2">
        <row r="137">
          <cell r="O137">
            <v>2204931.8401500001</v>
          </cell>
        </row>
        <row r="139">
          <cell r="O139">
            <v>201893.44500000001</v>
          </cell>
        </row>
        <row r="140">
          <cell r="O140">
            <v>1088449.9840499996</v>
          </cell>
        </row>
        <row r="141">
          <cell r="O141">
            <v>5539.8603448275862</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Nov"/>
      <sheetName val="Summary Oct"/>
      <sheetName val="Summary Sep"/>
      <sheetName val="Summary Aug"/>
      <sheetName val="Summary July"/>
      <sheetName val="Summary Jun"/>
      <sheetName val="1116"/>
      <sheetName val="1016"/>
      <sheetName val="0916"/>
      <sheetName val="0816  "/>
      <sheetName val="0716 "/>
      <sheetName val="0616"/>
      <sheetName val="SP Nov"/>
      <sheetName val="SP Oct"/>
      <sheetName val="SP Sep "/>
      <sheetName val="SP Aug"/>
      <sheetName val="SP Jul 16"/>
      <sheetName val="YTD 2016"/>
      <sheetName val="Sales Detail"/>
      <sheetName val="Sales Detail."/>
      <sheetName val="Sales - Detail"/>
      <sheetName val="Sheet5"/>
      <sheetName val="SP Jun 16"/>
      <sheetName val="SP Jul 16,"/>
    </sheetNames>
    <sheetDataSet>
      <sheetData sheetId="0"/>
      <sheetData sheetId="1"/>
      <sheetData sheetId="2"/>
      <sheetData sheetId="3">
        <row r="10">
          <cell r="N10">
            <v>1304890.5210000002</v>
          </cell>
        </row>
        <row r="11">
          <cell r="N11">
            <v>635655.1923</v>
          </cell>
        </row>
        <row r="12">
          <cell r="N12">
            <v>1384522.9462999997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 val="Sheet1"/>
    </sheetNames>
    <sheetDataSet>
      <sheetData sheetId="0" refreshError="1"/>
      <sheetData sheetId="1">
        <row r="28">
          <cell r="P28">
            <v>272979.84960000002</v>
          </cell>
        </row>
        <row r="31">
          <cell r="P31">
            <v>24842.16</v>
          </cell>
        </row>
        <row r="32">
          <cell r="P32">
            <v>413095.17712499993</v>
          </cell>
        </row>
        <row r="33">
          <cell r="P33">
            <v>5532.3775862068969</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 val="Cost for #500"/>
    </sheetNames>
    <sheetDataSet>
      <sheetData sheetId="0" refreshError="1"/>
      <sheetData sheetId="1">
        <row r="90">
          <cell r="O90">
            <v>1566470.4458400006</v>
          </cell>
        </row>
        <row r="93">
          <cell r="O93">
            <v>139595.4</v>
          </cell>
        </row>
        <row r="94">
          <cell r="O94">
            <v>746104.17599999998</v>
          </cell>
        </row>
        <row r="95">
          <cell r="O95">
            <v>5526.7655172413797</v>
          </cell>
        </row>
      </sheetData>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 val="Cost for #500"/>
    </sheetNames>
    <sheetDataSet>
      <sheetData sheetId="0" refreshError="1"/>
      <sheetData sheetId="1" refreshError="1">
        <row r="46">
          <cell r="M46">
            <v>8174.5779999999995</v>
          </cell>
        </row>
        <row r="80">
          <cell r="M80">
            <v>4782.5076923076913</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 val="Cost for #500"/>
    </sheetNames>
    <sheetDataSet>
      <sheetData sheetId="0"/>
      <sheetData sheetId="1">
        <row r="40">
          <cell r="M40">
            <v>8289.49</v>
          </cell>
        </row>
        <row r="100">
          <cell r="M100">
            <v>5717.1051923076921</v>
          </cell>
        </row>
      </sheetData>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48"/>
      <sheetName val="249"/>
      <sheetName val="251"/>
      <sheetName val="250"/>
      <sheetName val="252"/>
      <sheetName val="253"/>
      <sheetName val="254"/>
      <sheetName val="255"/>
      <sheetName val="256"/>
      <sheetName val="Sales Jun-16"/>
    </sheetNames>
    <sheetDataSet>
      <sheetData sheetId="0"/>
      <sheetData sheetId="1"/>
      <sheetData sheetId="2"/>
      <sheetData sheetId="3"/>
      <sheetData sheetId="4">
        <row r="25">
          <cell r="M25">
            <v>818.2</v>
          </cell>
        </row>
        <row r="29">
          <cell r="M29">
            <v>666.69999999999993</v>
          </cell>
        </row>
      </sheetData>
      <sheetData sheetId="5"/>
      <sheetData sheetId="6"/>
      <sheetData sheetId="7"/>
      <sheetData sheetId="8">
        <row r="41">
          <cell r="M41">
            <v>8265.65</v>
          </cell>
        </row>
        <row r="45">
          <cell r="M45">
            <v>5.76</v>
          </cell>
        </row>
        <row r="51">
          <cell r="M51">
            <v>40.549999999999997</v>
          </cell>
        </row>
        <row r="69">
          <cell r="M69">
            <v>705.92000000000007</v>
          </cell>
        </row>
        <row r="99">
          <cell r="M99">
            <v>577.87</v>
          </cell>
        </row>
      </sheetData>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INVOICE"/>
    </sheetNames>
    <sheetDataSet>
      <sheetData sheetId="0"/>
      <sheetData sheetId="1">
        <row r="25">
          <cell r="M25">
            <v>818.2</v>
          </cell>
        </row>
        <row r="35">
          <cell r="M35">
            <v>1911.0666923076924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image" Target="../media/image16.emf"/><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16.xml"/><Relationship Id="rId5" Type="http://schemas.openxmlformats.org/officeDocument/2006/relationships/image" Target="../media/image15.emf"/><Relationship Id="rId4" Type="http://schemas.openxmlformats.org/officeDocument/2006/relationships/control" Target="../activeX/activeX1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vmlDrawing" Target="../drawings/vmlDrawing16.vml"/><Relationship Id="rId7" Type="http://schemas.openxmlformats.org/officeDocument/2006/relationships/image" Target="../media/image18.emf"/><Relationship Id="rId2" Type="http://schemas.openxmlformats.org/officeDocument/2006/relationships/drawing" Target="../drawings/drawing9.xml"/><Relationship Id="rId1" Type="http://schemas.openxmlformats.org/officeDocument/2006/relationships/printerSettings" Target="../printerSettings/printerSettings16.bin"/><Relationship Id="rId6" Type="http://schemas.openxmlformats.org/officeDocument/2006/relationships/control" Target="../activeX/activeX18.xml"/><Relationship Id="rId5" Type="http://schemas.openxmlformats.org/officeDocument/2006/relationships/image" Target="../media/image17.emf"/><Relationship Id="rId4" Type="http://schemas.openxmlformats.org/officeDocument/2006/relationships/control" Target="../activeX/activeX17.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vmlDrawing" Target="../drawings/vmlDrawing18.vml"/><Relationship Id="rId7" Type="http://schemas.openxmlformats.org/officeDocument/2006/relationships/image" Target="../media/image20.emf"/><Relationship Id="rId2" Type="http://schemas.openxmlformats.org/officeDocument/2006/relationships/drawing" Target="../drawings/drawing10.xml"/><Relationship Id="rId1" Type="http://schemas.openxmlformats.org/officeDocument/2006/relationships/printerSettings" Target="../printerSettings/printerSettings17.bin"/><Relationship Id="rId6" Type="http://schemas.openxmlformats.org/officeDocument/2006/relationships/control" Target="../activeX/activeX20.xml"/><Relationship Id="rId5" Type="http://schemas.openxmlformats.org/officeDocument/2006/relationships/image" Target="../media/image19.emf"/><Relationship Id="rId4" Type="http://schemas.openxmlformats.org/officeDocument/2006/relationships/control" Target="../activeX/activeX19.xml"/></Relationships>
</file>

<file path=xl/worksheets/_rels/sheet22.xml.rels><?xml version="1.0" encoding="UTF-8" standalone="yes"?>
<Relationships xmlns="http://schemas.openxmlformats.org/package/2006/relationships"><Relationship Id="rId8" Type="http://schemas.openxmlformats.org/officeDocument/2006/relationships/hyperlink" Target="mailto:abhiramit@cisintl.com" TargetMode="External"/><Relationship Id="rId3" Type="http://schemas.openxmlformats.org/officeDocument/2006/relationships/hyperlink" Target="mailto:abhiramit@cisintl.com" TargetMode="External"/><Relationship Id="rId7" Type="http://schemas.openxmlformats.org/officeDocument/2006/relationships/hyperlink" Target="http://www.etropicalfish.com/" TargetMode="External"/><Relationship Id="rId12" Type="http://schemas.openxmlformats.org/officeDocument/2006/relationships/printerSettings" Target="../printerSettings/printerSettings18.bin"/><Relationship Id="rId2" Type="http://schemas.openxmlformats.org/officeDocument/2006/relationships/hyperlink" Target="http://www.etropicalfish.com/" TargetMode="External"/><Relationship Id="rId1" Type="http://schemas.openxmlformats.org/officeDocument/2006/relationships/hyperlink" Target="mailto:Sam@etropicalfish.Com" TargetMode="External"/><Relationship Id="rId6" Type="http://schemas.openxmlformats.org/officeDocument/2006/relationships/hyperlink" Target="mailto:Sam@etropicalfish.Com" TargetMode="External"/><Relationship Id="rId11" Type="http://schemas.openxmlformats.org/officeDocument/2006/relationships/hyperlink" Target="mailto:Sam@etropicalfish.Com" TargetMode="External"/><Relationship Id="rId5" Type="http://schemas.openxmlformats.org/officeDocument/2006/relationships/hyperlink" Target="mailto:sam@etropicalfish.com" TargetMode="External"/><Relationship Id="rId10" Type="http://schemas.openxmlformats.org/officeDocument/2006/relationships/hyperlink" Target="mailto:abhiramit@cisintl.com" TargetMode="External"/><Relationship Id="rId4" Type="http://schemas.openxmlformats.org/officeDocument/2006/relationships/hyperlink" Target="mailto:indraniw@cisintl.com" TargetMode="External"/><Relationship Id="rId9" Type="http://schemas.openxmlformats.org/officeDocument/2006/relationships/hyperlink" Target="mailto:RGAWLIK@ca.rr.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4.xml"/><Relationship Id="rId5" Type="http://schemas.openxmlformats.org/officeDocument/2006/relationships/image" Target="../media/image3.emf"/><Relationship Id="rId4"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6.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6.xml"/><Relationship Id="rId5" Type="http://schemas.openxmlformats.org/officeDocument/2006/relationships/image" Target="../media/image5.emf"/><Relationship Id="rId4" Type="http://schemas.openxmlformats.org/officeDocument/2006/relationships/control" Target="../activeX/activeX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8.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8.xml"/><Relationship Id="rId5" Type="http://schemas.openxmlformats.org/officeDocument/2006/relationships/image" Target="../media/image7.emf"/><Relationship Id="rId4" Type="http://schemas.openxmlformats.org/officeDocument/2006/relationships/control" Target="../activeX/activeX7.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image" Target="../media/image10.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0.xml"/><Relationship Id="rId5" Type="http://schemas.openxmlformats.org/officeDocument/2006/relationships/image" Target="../media/image9.emf"/><Relationship Id="rId4" Type="http://schemas.openxmlformats.org/officeDocument/2006/relationships/control" Target="../activeX/activeX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12.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12.xml"/><Relationship Id="rId5" Type="http://schemas.openxmlformats.org/officeDocument/2006/relationships/image" Target="../media/image11.emf"/><Relationship Id="rId4" Type="http://schemas.openxmlformats.org/officeDocument/2006/relationships/control" Target="../activeX/activeX1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image" Target="../media/image14.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4.xml"/><Relationship Id="rId5" Type="http://schemas.openxmlformats.org/officeDocument/2006/relationships/image" Target="../media/image13.emf"/><Relationship Id="rId4" Type="http://schemas.openxmlformats.org/officeDocument/2006/relationships/control" Target="../activeX/activeX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U260"/>
  <sheetViews>
    <sheetView workbookViewId="0">
      <pane xSplit="9" ySplit="1" topLeftCell="J14" activePane="bottomRight" state="frozenSplit"/>
      <selection pane="topRight" activeCell="J1" sqref="J1"/>
      <selection pane="bottomLeft" activeCell="A2" sqref="A2"/>
      <selection pane="bottomRight" activeCell="M28" sqref="M28:M29"/>
    </sheetView>
  </sheetViews>
  <sheetFormatPr defaultRowHeight="15" x14ac:dyDescent="0.25"/>
  <cols>
    <col min="1" max="8" width="3" style="159" customWidth="1"/>
    <col min="9" max="9" width="38.140625" style="159" customWidth="1"/>
    <col min="10" max="10" width="15.42578125" style="5" bestFit="1" customWidth="1"/>
    <col min="11" max="11" width="12.7109375" style="154" bestFit="1" customWidth="1"/>
    <col min="12" max="12" width="9.85546875" style="167" bestFit="1" customWidth="1"/>
    <col min="13" max="13" width="9.140625" style="14"/>
    <col min="14" max="19" width="9.140625" style="154"/>
    <col min="20" max="20" width="15" style="154" customWidth="1"/>
    <col min="21" max="21" width="13.7109375" style="154" customWidth="1"/>
    <col min="22" max="16384" width="9.140625" style="154"/>
  </cols>
  <sheetData>
    <row r="1" spans="1:21" s="158" customFormat="1" ht="15.75" thickBot="1" x14ac:dyDescent="0.3">
      <c r="A1" s="157"/>
      <c r="B1" s="157"/>
      <c r="C1" s="157"/>
      <c r="D1" s="157"/>
      <c r="E1" s="157"/>
      <c r="F1" s="157"/>
      <c r="G1" s="157"/>
      <c r="H1" s="157"/>
      <c r="I1" s="157"/>
      <c r="J1" s="178" t="s">
        <v>688</v>
      </c>
      <c r="K1" s="158" t="s">
        <v>724</v>
      </c>
      <c r="L1" s="206"/>
      <c r="M1" s="313"/>
      <c r="N1" s="159"/>
      <c r="O1" s="159"/>
      <c r="P1" s="159"/>
      <c r="Q1" s="159"/>
      <c r="R1" s="159"/>
      <c r="S1" s="159"/>
      <c r="T1" s="159"/>
      <c r="U1" s="5"/>
    </row>
    <row r="2" spans="1:21" ht="15.75" thickTop="1" x14ac:dyDescent="0.25">
      <c r="A2" s="171"/>
      <c r="B2" s="171" t="s">
        <v>20</v>
      </c>
      <c r="C2" s="171"/>
      <c r="D2" s="171"/>
      <c r="E2" s="171"/>
      <c r="F2" s="171"/>
      <c r="G2" s="171"/>
      <c r="H2" s="171"/>
      <c r="I2" s="171"/>
      <c r="J2" s="176"/>
      <c r="L2" s="206"/>
      <c r="M2" s="313"/>
      <c r="N2" s="159"/>
      <c r="O2" s="159"/>
      <c r="P2" s="159"/>
      <c r="Q2" s="159"/>
      <c r="R2" s="159"/>
      <c r="S2" s="159"/>
      <c r="T2" s="159"/>
      <c r="U2" s="5"/>
    </row>
    <row r="3" spans="1:21" ht="15.75" thickBot="1" x14ac:dyDescent="0.3">
      <c r="A3" s="171"/>
      <c r="B3" s="171"/>
      <c r="C3" s="171"/>
      <c r="D3" s="171" t="s">
        <v>21</v>
      </c>
      <c r="E3" s="171"/>
      <c r="F3" s="171"/>
      <c r="G3" s="171"/>
      <c r="H3" s="171"/>
      <c r="I3" s="171"/>
      <c r="J3" s="176"/>
      <c r="L3" s="314"/>
      <c r="M3" s="315"/>
      <c r="N3" s="157"/>
      <c r="O3" s="157"/>
      <c r="P3" s="157"/>
      <c r="Q3" s="157"/>
      <c r="R3" s="157"/>
      <c r="S3" s="157"/>
      <c r="T3" s="157"/>
      <c r="U3" s="178" t="s">
        <v>680</v>
      </c>
    </row>
    <row r="4" spans="1:21" ht="15.75" thickTop="1" x14ac:dyDescent="0.25">
      <c r="A4" s="171"/>
      <c r="B4" s="171"/>
      <c r="C4" s="171"/>
      <c r="D4" s="171"/>
      <c r="E4" s="171" t="s">
        <v>22</v>
      </c>
      <c r="F4" s="171"/>
      <c r="G4" s="171"/>
      <c r="H4" s="171"/>
      <c r="I4" s="171"/>
      <c r="J4" s="176"/>
      <c r="L4" s="206"/>
      <c r="M4" s="313" t="s">
        <v>20</v>
      </c>
      <c r="N4" s="171"/>
      <c r="O4" s="171"/>
      <c r="P4" s="171"/>
      <c r="Q4" s="171"/>
      <c r="R4" s="171"/>
      <c r="S4" s="171"/>
      <c r="T4" s="171"/>
      <c r="U4" s="176"/>
    </row>
    <row r="5" spans="1:21" x14ac:dyDescent="0.25">
      <c r="A5" s="171"/>
      <c r="B5" s="171"/>
      <c r="C5" s="171"/>
      <c r="D5" s="171"/>
      <c r="E5" s="171"/>
      <c r="F5" s="171" t="s">
        <v>23</v>
      </c>
      <c r="G5" s="171"/>
      <c r="H5" s="171"/>
      <c r="I5" s="171"/>
      <c r="J5" s="176">
        <v>12416097.470000001</v>
      </c>
      <c r="K5" s="170">
        <f>U7+U8</f>
        <v>13663067.42</v>
      </c>
      <c r="L5" s="206"/>
      <c r="M5" s="313"/>
      <c r="N5" s="171"/>
      <c r="O5" s="171" t="s">
        <v>21</v>
      </c>
      <c r="P5" s="171"/>
      <c r="Q5" s="171"/>
      <c r="R5" s="171"/>
      <c r="S5" s="171"/>
      <c r="T5" s="171"/>
      <c r="U5" s="176"/>
    </row>
    <row r="6" spans="1:21" x14ac:dyDescent="0.25">
      <c r="A6" s="171"/>
      <c r="B6" s="171"/>
      <c r="C6" s="171"/>
      <c r="D6" s="171"/>
      <c r="E6" s="171"/>
      <c r="F6" s="171" t="s">
        <v>26</v>
      </c>
      <c r="G6" s="171"/>
      <c r="H6" s="171"/>
      <c r="I6" s="171"/>
      <c r="J6" s="176">
        <v>407416.56</v>
      </c>
      <c r="K6" s="170">
        <f>U9</f>
        <v>441990.36</v>
      </c>
      <c r="L6" s="206"/>
      <c r="M6" s="313"/>
      <c r="N6" s="171"/>
      <c r="O6" s="171"/>
      <c r="P6" s="171" t="s">
        <v>22</v>
      </c>
      <c r="Q6" s="171"/>
      <c r="R6" s="171"/>
      <c r="S6" s="171"/>
      <c r="T6" s="171"/>
      <c r="U6" s="176"/>
    </row>
    <row r="7" spans="1:21" x14ac:dyDescent="0.25">
      <c r="A7" s="171"/>
      <c r="B7" s="171"/>
      <c r="C7" s="171"/>
      <c r="D7" s="171"/>
      <c r="E7" s="171"/>
      <c r="F7" s="171" t="s">
        <v>27</v>
      </c>
      <c r="G7" s="171"/>
      <c r="H7" s="171"/>
      <c r="I7" s="171"/>
      <c r="J7" s="176">
        <v>5745731.0899999999</v>
      </c>
      <c r="K7" s="170">
        <f>U10</f>
        <v>6206352.5999999996</v>
      </c>
      <c r="L7" s="206"/>
      <c r="M7" s="313"/>
      <c r="N7" s="171"/>
      <c r="O7" s="171"/>
      <c r="P7" s="171"/>
      <c r="Q7" s="171" t="s">
        <v>23</v>
      </c>
      <c r="R7" s="171"/>
      <c r="S7" s="171"/>
      <c r="T7" s="171"/>
      <c r="U7" s="176">
        <v>12703069.57</v>
      </c>
    </row>
    <row r="8" spans="1:21" x14ac:dyDescent="0.25">
      <c r="A8" s="171"/>
      <c r="B8" s="171"/>
      <c r="C8" s="171"/>
      <c r="D8" s="171"/>
      <c r="E8" s="171"/>
      <c r="F8" s="171" t="s">
        <v>28</v>
      </c>
      <c r="G8" s="171"/>
      <c r="H8" s="171"/>
      <c r="I8" s="171"/>
      <c r="J8" s="176">
        <v>49877.74</v>
      </c>
      <c r="K8" s="170">
        <f>U11</f>
        <v>99718.55</v>
      </c>
      <c r="L8" s="206"/>
      <c r="M8" s="313"/>
      <c r="N8" s="171"/>
      <c r="O8" s="171"/>
      <c r="P8" s="171"/>
      <c r="Q8" s="171" t="s">
        <v>25</v>
      </c>
      <c r="R8" s="171"/>
      <c r="S8" s="171"/>
      <c r="T8" s="171"/>
      <c r="U8" s="176">
        <v>959997.85</v>
      </c>
    </row>
    <row r="9" spans="1:21" ht="15.75" thickBot="1" x14ac:dyDescent="0.3">
      <c r="A9" s="171"/>
      <c r="B9" s="171"/>
      <c r="C9" s="171"/>
      <c r="D9" s="171"/>
      <c r="E9" s="171"/>
      <c r="F9" s="171" t="s">
        <v>618</v>
      </c>
      <c r="G9" s="171"/>
      <c r="H9" s="171"/>
      <c r="I9" s="171"/>
      <c r="J9" s="8">
        <v>94085.65</v>
      </c>
      <c r="K9" s="170">
        <f>U12</f>
        <v>265060.21000000002</v>
      </c>
      <c r="L9" s="206"/>
      <c r="M9" s="313"/>
      <c r="N9" s="171"/>
      <c r="O9" s="171"/>
      <c r="P9" s="171"/>
      <c r="Q9" s="171" t="s">
        <v>26</v>
      </c>
      <c r="R9" s="171"/>
      <c r="S9" s="171"/>
      <c r="T9" s="171"/>
      <c r="U9" s="176">
        <v>441990.36</v>
      </c>
    </row>
    <row r="10" spans="1:21" ht="15.75" thickBot="1" x14ac:dyDescent="0.3">
      <c r="A10" s="171"/>
      <c r="B10" s="171"/>
      <c r="C10" s="171"/>
      <c r="D10" s="171"/>
      <c r="E10" s="171" t="s">
        <v>39</v>
      </c>
      <c r="F10" s="171"/>
      <c r="G10" s="171"/>
      <c r="H10" s="171"/>
      <c r="I10" s="171"/>
      <c r="J10" s="10">
        <f>ROUND(SUM(J4:J9),5)</f>
        <v>18713208.510000002</v>
      </c>
      <c r="K10" s="10">
        <f>ROUND(SUM(K4:K9),5)</f>
        <v>20676189.140000001</v>
      </c>
      <c r="L10" s="206"/>
      <c r="M10" s="313"/>
      <c r="N10" s="171"/>
      <c r="O10" s="171"/>
      <c r="P10" s="171"/>
      <c r="Q10" s="171" t="s">
        <v>27</v>
      </c>
      <c r="R10" s="171"/>
      <c r="S10" s="171"/>
      <c r="T10" s="171"/>
      <c r="U10" s="176">
        <v>6206352.5999999996</v>
      </c>
    </row>
    <row r="11" spans="1:21" ht="30" customHeight="1" x14ac:dyDescent="0.25">
      <c r="A11" s="171"/>
      <c r="B11" s="171"/>
      <c r="C11" s="171"/>
      <c r="D11" s="171" t="s">
        <v>40</v>
      </c>
      <c r="E11" s="171"/>
      <c r="F11" s="171"/>
      <c r="G11" s="171"/>
      <c r="H11" s="171"/>
      <c r="I11" s="171"/>
      <c r="J11" s="176">
        <f>ROUND(J3+J10,5)</f>
        <v>18713208.510000002</v>
      </c>
      <c r="L11" s="206"/>
      <c r="M11" s="313"/>
      <c r="N11" s="171"/>
      <c r="O11" s="171"/>
      <c r="P11" s="171"/>
      <c r="Q11" s="171" t="s">
        <v>28</v>
      </c>
      <c r="R11" s="171"/>
      <c r="S11" s="171"/>
      <c r="T11" s="171"/>
      <c r="U11" s="176">
        <v>99718.55</v>
      </c>
    </row>
    <row r="12" spans="1:21" ht="30" customHeight="1" thickBot="1" x14ac:dyDescent="0.3">
      <c r="A12" s="171"/>
      <c r="B12" s="171"/>
      <c r="C12" s="171"/>
      <c r="D12" s="171" t="s">
        <v>41</v>
      </c>
      <c r="E12" s="171"/>
      <c r="F12" s="171"/>
      <c r="G12" s="171"/>
      <c r="H12" s="171"/>
      <c r="I12" s="171"/>
      <c r="J12" s="176"/>
      <c r="L12" s="206"/>
      <c r="M12" s="313"/>
      <c r="N12" s="171"/>
      <c r="O12" s="171"/>
      <c r="P12" s="171"/>
      <c r="Q12" s="171" t="s">
        <v>618</v>
      </c>
      <c r="R12" s="171"/>
      <c r="S12" s="171"/>
      <c r="T12" s="171"/>
      <c r="U12" s="8">
        <v>265060.21000000002</v>
      </c>
    </row>
    <row r="13" spans="1:21" ht="15.75" thickBot="1" x14ac:dyDescent="0.3">
      <c r="A13" s="171"/>
      <c r="B13" s="171"/>
      <c r="C13" s="171"/>
      <c r="D13" s="171"/>
      <c r="E13" s="171" t="s">
        <v>619</v>
      </c>
      <c r="F13" s="171"/>
      <c r="G13" s="171"/>
      <c r="H13" s="171"/>
      <c r="I13" s="171"/>
      <c r="J13" s="176">
        <v>11301</v>
      </c>
      <c r="L13" s="206"/>
      <c r="M13" s="313"/>
      <c r="N13" s="171"/>
      <c r="O13" s="171"/>
      <c r="P13" s="171" t="s">
        <v>39</v>
      </c>
      <c r="Q13" s="171"/>
      <c r="R13" s="171"/>
      <c r="S13" s="171"/>
      <c r="T13" s="171"/>
      <c r="U13" s="10">
        <f>ROUND(SUM(U6:U12),5)</f>
        <v>20676189.140000001</v>
      </c>
    </row>
    <row r="14" spans="1:21" x14ac:dyDescent="0.25">
      <c r="A14" s="171"/>
      <c r="B14" s="171"/>
      <c r="C14" s="171"/>
      <c r="D14" s="171"/>
      <c r="E14" s="171" t="s">
        <v>42</v>
      </c>
      <c r="F14" s="171"/>
      <c r="G14" s="171"/>
      <c r="H14" s="171"/>
      <c r="I14" s="171"/>
      <c r="J14" s="176"/>
      <c r="L14" s="206"/>
      <c r="M14" s="313"/>
      <c r="N14" s="171"/>
      <c r="O14" s="171" t="s">
        <v>40</v>
      </c>
      <c r="P14" s="171"/>
      <c r="Q14" s="171"/>
      <c r="R14" s="171"/>
      <c r="S14" s="171"/>
      <c r="T14" s="171"/>
      <c r="U14" s="176">
        <f>ROUND(U5+U13,5)</f>
        <v>20676189.140000001</v>
      </c>
    </row>
    <row r="15" spans="1:21" x14ac:dyDescent="0.25">
      <c r="A15" s="171"/>
      <c r="B15" s="171"/>
      <c r="C15" s="171"/>
      <c r="D15" s="171"/>
      <c r="E15" s="171"/>
      <c r="F15" s="171" t="s">
        <v>725</v>
      </c>
      <c r="G15" s="171"/>
      <c r="H15" s="171"/>
      <c r="I15" s="171"/>
      <c r="J15" s="176"/>
      <c r="L15" s="206"/>
      <c r="M15" s="313"/>
      <c r="N15" s="171"/>
      <c r="O15" s="171" t="s">
        <v>41</v>
      </c>
      <c r="P15" s="171"/>
      <c r="Q15" s="171"/>
      <c r="R15" s="171"/>
      <c r="S15" s="171"/>
      <c r="T15" s="171"/>
      <c r="U15" s="176"/>
    </row>
    <row r="16" spans="1:21" ht="15.75" thickBot="1" x14ac:dyDescent="0.3">
      <c r="A16" s="171"/>
      <c r="B16" s="171"/>
      <c r="C16" s="171"/>
      <c r="D16" s="171"/>
      <c r="E16" s="171"/>
      <c r="F16" s="171"/>
      <c r="G16" s="171" t="s">
        <v>726</v>
      </c>
      <c r="H16" s="171"/>
      <c r="I16" s="171"/>
      <c r="J16" s="220">
        <v>0</v>
      </c>
      <c r="L16" s="206"/>
      <c r="M16" s="313"/>
      <c r="N16" s="171"/>
      <c r="O16" s="171"/>
      <c r="P16" s="171" t="s">
        <v>42</v>
      </c>
      <c r="Q16" s="171"/>
      <c r="R16" s="171"/>
      <c r="S16" s="171"/>
      <c r="T16" s="171"/>
      <c r="U16" s="176"/>
    </row>
    <row r="17" spans="1:21" x14ac:dyDescent="0.25">
      <c r="A17" s="171"/>
      <c r="B17" s="171"/>
      <c r="C17" s="171"/>
      <c r="D17" s="171"/>
      <c r="E17" s="171"/>
      <c r="F17" s="171" t="s">
        <v>727</v>
      </c>
      <c r="G17" s="171"/>
      <c r="H17" s="171"/>
      <c r="I17" s="171"/>
      <c r="J17" s="176">
        <f>ROUND(SUM(J15:J16),5)</f>
        <v>0</v>
      </c>
      <c r="L17" s="206"/>
      <c r="M17" s="313"/>
      <c r="N17" s="171"/>
      <c r="O17" s="171"/>
      <c r="P17" s="171"/>
      <c r="Q17" s="171" t="s">
        <v>43</v>
      </c>
      <c r="R17" s="171"/>
      <c r="S17" s="171"/>
      <c r="T17" s="171"/>
      <c r="U17" s="176"/>
    </row>
    <row r="18" spans="1:21" ht="30" customHeight="1" x14ac:dyDescent="0.25">
      <c r="A18" s="171"/>
      <c r="B18" s="171"/>
      <c r="C18" s="171"/>
      <c r="D18" s="171"/>
      <c r="E18" s="171"/>
      <c r="F18" s="171" t="s">
        <v>43</v>
      </c>
      <c r="G18" s="171"/>
      <c r="H18" s="171"/>
      <c r="I18" s="171"/>
      <c r="J18" s="176"/>
      <c r="L18" s="206"/>
      <c r="M18" s="313"/>
      <c r="N18" s="171"/>
      <c r="O18" s="171"/>
      <c r="P18" s="171"/>
      <c r="Q18" s="171"/>
      <c r="R18" s="171" t="s">
        <v>44</v>
      </c>
      <c r="S18" s="171"/>
      <c r="T18" s="171"/>
      <c r="U18" s="176">
        <f>5109490+16780.63+93530.21</f>
        <v>5219800.84</v>
      </c>
    </row>
    <row r="19" spans="1:21" x14ac:dyDescent="0.25">
      <c r="A19" s="171"/>
      <c r="B19" s="171"/>
      <c r="C19" s="171"/>
      <c r="D19" s="171"/>
      <c r="E19" s="171"/>
      <c r="F19" s="171"/>
      <c r="G19" s="171" t="s">
        <v>44</v>
      </c>
      <c r="H19" s="171"/>
      <c r="I19" s="171"/>
      <c r="J19" s="176">
        <v>6000852.5</v>
      </c>
      <c r="K19" s="170">
        <f>U18</f>
        <v>5219800.84</v>
      </c>
      <c r="L19" s="206">
        <f>J19-K19</f>
        <v>781051.66000000015</v>
      </c>
      <c r="M19" s="313">
        <f>L19/146.33/1000</f>
        <v>5.3376044556823627</v>
      </c>
      <c r="N19" s="171"/>
      <c r="O19" s="171"/>
      <c r="P19" s="171"/>
      <c r="Q19" s="171"/>
      <c r="R19" s="171" t="s">
        <v>45</v>
      </c>
      <c r="S19" s="171"/>
      <c r="T19" s="171"/>
      <c r="U19" s="176">
        <v>57448</v>
      </c>
    </row>
    <row r="20" spans="1:21" ht="15.75" thickBot="1" x14ac:dyDescent="0.3">
      <c r="A20" s="171"/>
      <c r="B20" s="171"/>
      <c r="C20" s="171"/>
      <c r="D20" s="171"/>
      <c r="E20" s="171"/>
      <c r="F20" s="171"/>
      <c r="G20" s="171" t="s">
        <v>45</v>
      </c>
      <c r="H20" s="171"/>
      <c r="I20" s="171"/>
      <c r="J20" s="176">
        <v>185398.45</v>
      </c>
      <c r="K20" s="170">
        <f>U19</f>
        <v>57448</v>
      </c>
      <c r="L20" s="206">
        <f t="shared" ref="L20:L22" si="0">J20-K20</f>
        <v>127950.45000000001</v>
      </c>
      <c r="M20" s="313">
        <f>L20/146.33/1000</f>
        <v>0.8743965693979362</v>
      </c>
      <c r="N20" s="171"/>
      <c r="O20" s="171"/>
      <c r="P20" s="171"/>
      <c r="Q20" s="171"/>
      <c r="R20" s="171" t="s">
        <v>47</v>
      </c>
      <c r="S20" s="171"/>
      <c r="T20" s="171"/>
      <c r="U20" s="220">
        <v>205658</v>
      </c>
    </row>
    <row r="21" spans="1:21" x14ac:dyDescent="0.25">
      <c r="A21" s="171"/>
      <c r="B21" s="171"/>
      <c r="C21" s="171"/>
      <c r="D21" s="171"/>
      <c r="E21" s="171"/>
      <c r="F21" s="171"/>
      <c r="G21" s="171" t="s">
        <v>46</v>
      </c>
      <c r="H21" s="171"/>
      <c r="I21" s="171"/>
      <c r="J21" s="176">
        <v>36000</v>
      </c>
      <c r="L21" s="206">
        <f t="shared" si="0"/>
        <v>36000</v>
      </c>
      <c r="M21" s="313">
        <f t="shared" ref="M21:M22" si="1">L21/146.33/1000</f>
        <v>0.24601927150960157</v>
      </c>
      <c r="N21" s="171"/>
      <c r="O21" s="171"/>
      <c r="P21" s="171"/>
      <c r="Q21" s="171" t="s">
        <v>48</v>
      </c>
      <c r="R21" s="171"/>
      <c r="S21" s="171"/>
      <c r="T21" s="171"/>
      <c r="U21" s="176">
        <f>ROUND(SUM(U17:U20),5)</f>
        <v>5482906.8399999999</v>
      </c>
    </row>
    <row r="22" spans="1:21" ht="15.75" thickBot="1" x14ac:dyDescent="0.3">
      <c r="A22" s="171"/>
      <c r="B22" s="171"/>
      <c r="C22" s="171"/>
      <c r="D22" s="171"/>
      <c r="E22" s="171"/>
      <c r="F22" s="171"/>
      <c r="G22" s="171" t="s">
        <v>47</v>
      </c>
      <c r="H22" s="171"/>
      <c r="I22" s="171"/>
      <c r="J22" s="220">
        <v>522095</v>
      </c>
      <c r="K22" s="170">
        <f>U20</f>
        <v>205658</v>
      </c>
      <c r="L22" s="206">
        <f t="shared" si="0"/>
        <v>316437</v>
      </c>
      <c r="M22" s="313">
        <f t="shared" si="1"/>
        <v>2.1624888949634387</v>
      </c>
      <c r="N22" s="171"/>
      <c r="O22" s="171"/>
      <c r="P22" s="171"/>
      <c r="Q22" s="171" t="s">
        <v>49</v>
      </c>
      <c r="R22" s="171"/>
      <c r="S22" s="171"/>
      <c r="T22" s="171"/>
      <c r="U22" s="176"/>
    </row>
    <row r="23" spans="1:21" x14ac:dyDescent="0.25">
      <c r="A23" s="171"/>
      <c r="B23" s="171"/>
      <c r="C23" s="171"/>
      <c r="D23" s="171"/>
      <c r="E23" s="171"/>
      <c r="F23" s="171" t="s">
        <v>48</v>
      </c>
      <c r="G23" s="171"/>
      <c r="H23" s="171"/>
      <c r="I23" s="171"/>
      <c r="J23" s="176">
        <f>ROUND(SUM(J18:J22),5)</f>
        <v>6744345.9500000002</v>
      </c>
      <c r="K23" s="176">
        <f>ROUND(SUM(K18:K22),5)</f>
        <v>5482906.8399999999</v>
      </c>
      <c r="L23" s="206"/>
      <c r="M23" s="313">
        <f>SUM(M19:M22)</f>
        <v>8.6205091915533387</v>
      </c>
      <c r="N23" s="171"/>
      <c r="O23" s="171"/>
      <c r="P23" s="171"/>
      <c r="Q23" s="171"/>
      <c r="R23" s="171" t="s">
        <v>446</v>
      </c>
      <c r="S23" s="171"/>
      <c r="T23" s="171"/>
      <c r="U23" s="176">
        <v>62702</v>
      </c>
    </row>
    <row r="24" spans="1:21" ht="30" customHeight="1" x14ac:dyDescent="0.25">
      <c r="A24" s="171"/>
      <c r="B24" s="171"/>
      <c r="C24" s="171"/>
      <c r="D24" s="171"/>
      <c r="E24" s="171"/>
      <c r="F24" s="171" t="s">
        <v>49</v>
      </c>
      <c r="G24" s="171"/>
      <c r="H24" s="171"/>
      <c r="I24" s="171"/>
      <c r="J24" s="176"/>
      <c r="L24" s="206"/>
      <c r="M24" s="313"/>
      <c r="N24" s="171"/>
      <c r="O24" s="171"/>
      <c r="P24" s="171"/>
      <c r="Q24" s="171"/>
      <c r="R24" s="171" t="s">
        <v>50</v>
      </c>
      <c r="S24" s="171"/>
      <c r="T24" s="171"/>
      <c r="U24" s="176">
        <v>28800</v>
      </c>
    </row>
    <row r="25" spans="1:21" ht="15.75" thickBot="1" x14ac:dyDescent="0.3">
      <c r="A25" s="171"/>
      <c r="B25" s="171"/>
      <c r="C25" s="171"/>
      <c r="D25" s="171"/>
      <c r="E25" s="171"/>
      <c r="F25" s="171"/>
      <c r="G25" s="171" t="s">
        <v>51</v>
      </c>
      <c r="H25" s="171"/>
      <c r="I25" s="171"/>
      <c r="J25" s="220">
        <v>10000</v>
      </c>
      <c r="K25" s="316">
        <f>U23+U24+U25+U26+U27+U28+U29</f>
        <v>610649.5</v>
      </c>
      <c r="L25" s="206"/>
      <c r="M25" s="313"/>
      <c r="N25" s="171"/>
      <c r="O25" s="171"/>
      <c r="P25" s="171"/>
      <c r="Q25" s="171"/>
      <c r="R25" s="171" t="s">
        <v>447</v>
      </c>
      <c r="S25" s="171"/>
      <c r="T25" s="171"/>
      <c r="U25" s="176">
        <v>10500</v>
      </c>
    </row>
    <row r="26" spans="1:21" x14ac:dyDescent="0.25">
      <c r="A26" s="171"/>
      <c r="B26" s="171"/>
      <c r="C26" s="171"/>
      <c r="D26" s="171"/>
      <c r="E26" s="171"/>
      <c r="F26" s="171" t="s">
        <v>54</v>
      </c>
      <c r="G26" s="171"/>
      <c r="H26" s="171"/>
      <c r="I26" s="171"/>
      <c r="J26" s="176">
        <f>ROUND(SUM(J24:J25),5)</f>
        <v>10000</v>
      </c>
      <c r="L26" s="206"/>
      <c r="M26" s="313"/>
      <c r="N26" s="171"/>
      <c r="O26" s="171"/>
      <c r="P26" s="171"/>
      <c r="Q26" s="171"/>
      <c r="R26" s="171" t="s">
        <v>448</v>
      </c>
      <c r="S26" s="171"/>
      <c r="T26" s="171"/>
      <c r="U26" s="176">
        <v>665</v>
      </c>
    </row>
    <row r="27" spans="1:21" ht="30" customHeight="1" x14ac:dyDescent="0.25">
      <c r="A27" s="171"/>
      <c r="B27" s="171"/>
      <c r="C27" s="171"/>
      <c r="D27" s="171"/>
      <c r="E27" s="171"/>
      <c r="F27" s="171" t="s">
        <v>55</v>
      </c>
      <c r="G27" s="171"/>
      <c r="H27" s="171"/>
      <c r="I27" s="171"/>
      <c r="J27" s="176"/>
      <c r="L27" s="206"/>
      <c r="M27" s="313"/>
      <c r="N27" s="171"/>
      <c r="O27" s="171"/>
      <c r="P27" s="171"/>
      <c r="Q27" s="171"/>
      <c r="R27" s="171" t="s">
        <v>449</v>
      </c>
      <c r="S27" s="171"/>
      <c r="T27" s="171"/>
      <c r="U27" s="176">
        <v>22420</v>
      </c>
    </row>
    <row r="28" spans="1:21" x14ac:dyDescent="0.25">
      <c r="A28" s="171"/>
      <c r="B28" s="171"/>
      <c r="C28" s="171"/>
      <c r="D28" s="171"/>
      <c r="E28" s="171"/>
      <c r="F28" s="171"/>
      <c r="G28" s="171" t="s">
        <v>56</v>
      </c>
      <c r="H28" s="171"/>
      <c r="I28" s="171"/>
      <c r="J28" s="176">
        <v>4860950.8099999996</v>
      </c>
      <c r="K28" s="170">
        <f>U32+U33</f>
        <v>5362933.6400000006</v>
      </c>
      <c r="L28" s="206"/>
      <c r="M28" s="313"/>
      <c r="N28" s="171"/>
      <c r="O28" s="171"/>
      <c r="P28" s="171"/>
      <c r="Q28" s="171"/>
      <c r="R28" s="171" t="s">
        <v>51</v>
      </c>
      <c r="S28" s="171"/>
      <c r="T28" s="171"/>
      <c r="U28" s="176">
        <v>5000</v>
      </c>
    </row>
    <row r="29" spans="1:21" ht="15.75" thickBot="1" x14ac:dyDescent="0.3">
      <c r="A29" s="171"/>
      <c r="B29" s="171"/>
      <c r="C29" s="171"/>
      <c r="D29" s="171"/>
      <c r="E29" s="171"/>
      <c r="F29" s="171"/>
      <c r="G29" s="171" t="s">
        <v>59</v>
      </c>
      <c r="H29" s="171"/>
      <c r="I29" s="171"/>
      <c r="J29" s="176">
        <v>60269.1</v>
      </c>
      <c r="K29" s="170">
        <f>U34</f>
        <v>101160.85</v>
      </c>
      <c r="L29" s="206"/>
      <c r="M29" s="313"/>
      <c r="N29" s="171"/>
      <c r="O29" s="171"/>
      <c r="P29" s="171"/>
      <c r="Q29" s="171"/>
      <c r="R29" s="171" t="s">
        <v>53</v>
      </c>
      <c r="S29" s="171"/>
      <c r="T29" s="171"/>
      <c r="U29" s="220">
        <v>480562.5</v>
      </c>
    </row>
    <row r="30" spans="1:21" x14ac:dyDescent="0.25">
      <c r="A30" s="171"/>
      <c r="B30" s="171"/>
      <c r="C30" s="171"/>
      <c r="D30" s="171"/>
      <c r="E30" s="171"/>
      <c r="F30" s="171"/>
      <c r="G30" s="171" t="s">
        <v>60</v>
      </c>
      <c r="H30" s="171"/>
      <c r="I30" s="171"/>
      <c r="J30" s="176">
        <v>27128.73</v>
      </c>
      <c r="K30" s="170"/>
      <c r="L30" s="206"/>
      <c r="M30" s="313"/>
      <c r="N30" s="171"/>
      <c r="O30" s="171"/>
      <c r="P30" s="171"/>
      <c r="Q30" s="171" t="s">
        <v>54</v>
      </c>
      <c r="R30" s="171"/>
      <c r="S30" s="171"/>
      <c r="T30" s="171"/>
      <c r="U30" s="176">
        <f>ROUND(SUM(U22:U29),5)</f>
        <v>610649.5</v>
      </c>
    </row>
    <row r="31" spans="1:21" ht="15.75" thickBot="1" x14ac:dyDescent="0.3">
      <c r="A31" s="171"/>
      <c r="B31" s="171"/>
      <c r="C31" s="171"/>
      <c r="D31" s="171"/>
      <c r="E31" s="171"/>
      <c r="F31" s="171"/>
      <c r="G31" s="171" t="s">
        <v>689</v>
      </c>
      <c r="H31" s="171"/>
      <c r="I31" s="171"/>
      <c r="J31" s="220">
        <v>11588.46</v>
      </c>
      <c r="K31" s="170">
        <f>U35</f>
        <v>0</v>
      </c>
      <c r="L31" s="206"/>
      <c r="M31" s="313"/>
      <c r="N31" s="171"/>
      <c r="O31" s="171"/>
      <c r="P31" s="171"/>
      <c r="Q31" s="171" t="s">
        <v>55</v>
      </c>
      <c r="R31" s="171"/>
      <c r="S31" s="171"/>
      <c r="T31" s="171"/>
      <c r="U31" s="176"/>
    </row>
    <row r="32" spans="1:21" x14ac:dyDescent="0.25">
      <c r="A32" s="171"/>
      <c r="B32" s="171"/>
      <c r="C32" s="171"/>
      <c r="D32" s="171"/>
      <c r="E32" s="171"/>
      <c r="F32" s="171" t="s">
        <v>61</v>
      </c>
      <c r="G32" s="171"/>
      <c r="H32" s="171"/>
      <c r="I32" s="171"/>
      <c r="J32" s="176">
        <f>ROUND(SUM(J27:J31),5)</f>
        <v>4959937.0999999996</v>
      </c>
      <c r="K32" s="176">
        <f>ROUND(SUM(K27:K31),5)</f>
        <v>5464094.4900000002</v>
      </c>
      <c r="L32" s="206"/>
      <c r="M32" s="313"/>
      <c r="N32" s="171"/>
      <c r="O32" s="171"/>
      <c r="P32" s="171"/>
      <c r="Q32" s="171"/>
      <c r="R32" s="171" t="s">
        <v>56</v>
      </c>
      <c r="S32" s="171"/>
      <c r="T32" s="171"/>
      <c r="U32" s="176">
        <v>5122622.74</v>
      </c>
    </row>
    <row r="33" spans="1:21" ht="30" customHeight="1" x14ac:dyDescent="0.25">
      <c r="A33" s="171"/>
      <c r="B33" s="171"/>
      <c r="C33" s="171"/>
      <c r="D33" s="171"/>
      <c r="E33" s="171"/>
      <c r="F33" s="171" t="s">
        <v>62</v>
      </c>
      <c r="G33" s="171"/>
      <c r="H33" s="171"/>
      <c r="I33" s="171"/>
      <c r="J33" s="176"/>
      <c r="L33" s="206"/>
      <c r="M33" s="313"/>
      <c r="N33" s="171"/>
      <c r="O33" s="171"/>
      <c r="P33" s="171"/>
      <c r="Q33" s="171"/>
      <c r="R33" s="171" t="s">
        <v>620</v>
      </c>
      <c r="S33" s="171"/>
      <c r="T33" s="171"/>
      <c r="U33" s="176">
        <v>240310.9</v>
      </c>
    </row>
    <row r="34" spans="1:21" x14ac:dyDescent="0.25">
      <c r="A34" s="171"/>
      <c r="B34" s="171"/>
      <c r="C34" s="171"/>
      <c r="D34" s="171"/>
      <c r="E34" s="171"/>
      <c r="F34" s="171"/>
      <c r="G34" s="171" t="s">
        <v>63</v>
      </c>
      <c r="H34" s="171"/>
      <c r="I34" s="171"/>
      <c r="J34" s="176">
        <v>1108130</v>
      </c>
      <c r="K34" s="170">
        <f t="shared" ref="K34:K40" si="2">U38</f>
        <v>998738.36</v>
      </c>
      <c r="L34" s="206"/>
      <c r="M34" s="313"/>
      <c r="N34" s="171"/>
      <c r="O34" s="171"/>
      <c r="P34" s="171"/>
      <c r="Q34" s="171"/>
      <c r="R34" s="171" t="s">
        <v>59</v>
      </c>
      <c r="S34" s="171"/>
      <c r="T34" s="171"/>
      <c r="U34" s="176">
        <v>101160.85</v>
      </c>
    </row>
    <row r="35" spans="1:21" ht="15.75" thickBot="1" x14ac:dyDescent="0.3">
      <c r="A35" s="171"/>
      <c r="B35" s="171"/>
      <c r="C35" s="171"/>
      <c r="D35" s="171"/>
      <c r="E35" s="171"/>
      <c r="F35" s="171"/>
      <c r="G35" s="171" t="s">
        <v>512</v>
      </c>
      <c r="H35" s="171"/>
      <c r="I35" s="171"/>
      <c r="J35" s="176">
        <v>138927.6</v>
      </c>
      <c r="K35" s="170">
        <f t="shared" si="2"/>
        <v>120514.6</v>
      </c>
      <c r="L35" s="206"/>
      <c r="M35" s="313"/>
      <c r="N35" s="171"/>
      <c r="O35" s="171"/>
      <c r="P35" s="171"/>
      <c r="Q35" s="171"/>
      <c r="R35" s="171" t="s">
        <v>60</v>
      </c>
      <c r="S35" s="171"/>
      <c r="T35" s="171"/>
      <c r="U35" s="220">
        <v>0</v>
      </c>
    </row>
    <row r="36" spans="1:21" x14ac:dyDescent="0.25">
      <c r="A36" s="171"/>
      <c r="B36" s="171"/>
      <c r="C36" s="171"/>
      <c r="D36" s="171"/>
      <c r="E36" s="171"/>
      <c r="F36" s="171"/>
      <c r="G36" s="171" t="s">
        <v>513</v>
      </c>
      <c r="H36" s="171"/>
      <c r="I36" s="171"/>
      <c r="J36" s="176">
        <v>34731.9</v>
      </c>
      <c r="K36" s="170">
        <f t="shared" si="2"/>
        <v>30128.65</v>
      </c>
      <c r="L36" s="206"/>
      <c r="M36" s="313"/>
      <c r="N36" s="171"/>
      <c r="O36" s="171"/>
      <c r="P36" s="171"/>
      <c r="Q36" s="171" t="s">
        <v>61</v>
      </c>
      <c r="R36" s="171"/>
      <c r="S36" s="171"/>
      <c r="T36" s="171"/>
      <c r="U36" s="176">
        <f>ROUND(SUM(U31:U35),5)</f>
        <v>5464094.4900000002</v>
      </c>
    </row>
    <row r="37" spans="1:21" x14ac:dyDescent="0.25">
      <c r="A37" s="171"/>
      <c r="B37" s="171"/>
      <c r="C37" s="171"/>
      <c r="D37" s="171"/>
      <c r="E37" s="171"/>
      <c r="F37" s="171"/>
      <c r="G37" s="171" t="s">
        <v>64</v>
      </c>
      <c r="H37" s="171"/>
      <c r="I37" s="171"/>
      <c r="J37" s="176">
        <v>402060.61</v>
      </c>
      <c r="K37" s="170">
        <f t="shared" si="2"/>
        <v>336203.29</v>
      </c>
      <c r="L37" s="206"/>
      <c r="M37" s="313"/>
      <c r="N37" s="171"/>
      <c r="O37" s="171"/>
      <c r="P37" s="171"/>
      <c r="Q37" s="171" t="s">
        <v>62</v>
      </c>
      <c r="R37" s="171"/>
      <c r="S37" s="171"/>
      <c r="T37" s="171"/>
      <c r="U37" s="176"/>
    </row>
    <row r="38" spans="1:21" x14ac:dyDescent="0.25">
      <c r="A38" s="171"/>
      <c r="B38" s="171"/>
      <c r="C38" s="171"/>
      <c r="D38" s="171"/>
      <c r="E38" s="171"/>
      <c r="F38" s="171"/>
      <c r="G38" s="171" t="s">
        <v>65</v>
      </c>
      <c r="H38" s="171"/>
      <c r="I38" s="171"/>
      <c r="J38" s="176">
        <v>130891.84</v>
      </c>
      <c r="K38" s="170">
        <f t="shared" si="2"/>
        <v>108300.76</v>
      </c>
      <c r="L38" s="206"/>
      <c r="M38" s="313"/>
      <c r="N38" s="171"/>
      <c r="O38" s="171"/>
      <c r="P38" s="171"/>
      <c r="Q38" s="171"/>
      <c r="R38" s="171" t="s">
        <v>63</v>
      </c>
      <c r="S38" s="171"/>
      <c r="T38" s="171"/>
      <c r="U38" s="176">
        <v>998738.36</v>
      </c>
    </row>
    <row r="39" spans="1:21" x14ac:dyDescent="0.25">
      <c r="A39" s="171"/>
      <c r="B39" s="171"/>
      <c r="C39" s="171"/>
      <c r="D39" s="171"/>
      <c r="E39" s="171"/>
      <c r="F39" s="171"/>
      <c r="G39" s="171" t="s">
        <v>66</v>
      </c>
      <c r="H39" s="171"/>
      <c r="I39" s="171"/>
      <c r="J39" s="176">
        <v>35715.629999999997</v>
      </c>
      <c r="K39" s="170">
        <f t="shared" si="2"/>
        <v>35005.47</v>
      </c>
      <c r="L39" s="206"/>
      <c r="M39" s="313"/>
      <c r="N39" s="171"/>
      <c r="O39" s="171"/>
      <c r="P39" s="171"/>
      <c r="Q39" s="171"/>
      <c r="R39" s="171" t="s">
        <v>512</v>
      </c>
      <c r="S39" s="171"/>
      <c r="T39" s="171"/>
      <c r="U39" s="176">
        <v>120514.6</v>
      </c>
    </row>
    <row r="40" spans="1:21" ht="15.75" thickBot="1" x14ac:dyDescent="0.3">
      <c r="A40" s="171"/>
      <c r="B40" s="171"/>
      <c r="C40" s="171"/>
      <c r="D40" s="171"/>
      <c r="E40" s="171"/>
      <c r="F40" s="171"/>
      <c r="G40" s="171" t="s">
        <v>645</v>
      </c>
      <c r="H40" s="171"/>
      <c r="I40" s="171"/>
      <c r="J40" s="220">
        <v>89027.13</v>
      </c>
      <c r="K40" s="170">
        <f t="shared" si="2"/>
        <v>89027.13</v>
      </c>
      <c r="L40" s="206"/>
      <c r="M40" s="313"/>
      <c r="N40" s="171"/>
      <c r="O40" s="171"/>
      <c r="P40" s="171"/>
      <c r="Q40" s="171"/>
      <c r="R40" s="171" t="s">
        <v>513</v>
      </c>
      <c r="S40" s="171"/>
      <c r="T40" s="171"/>
      <c r="U40" s="176">
        <v>30128.65</v>
      </c>
    </row>
    <row r="41" spans="1:21" x14ac:dyDescent="0.25">
      <c r="A41" s="171"/>
      <c r="B41" s="171"/>
      <c r="C41" s="171"/>
      <c r="D41" s="171"/>
      <c r="E41" s="171"/>
      <c r="F41" s="171" t="s">
        <v>67</v>
      </c>
      <c r="G41" s="171"/>
      <c r="H41" s="171"/>
      <c r="I41" s="171"/>
      <c r="J41" s="176">
        <f>ROUND(SUM(J33:J40),5)</f>
        <v>1939484.71</v>
      </c>
      <c r="L41" s="206"/>
      <c r="M41" s="313"/>
      <c r="N41" s="171"/>
      <c r="O41" s="171"/>
      <c r="P41" s="171"/>
      <c r="Q41" s="171"/>
      <c r="R41" s="171" t="s">
        <v>64</v>
      </c>
      <c r="S41" s="171"/>
      <c r="T41" s="171"/>
      <c r="U41" s="176">
        <v>336203.29</v>
      </c>
    </row>
    <row r="42" spans="1:21" ht="30" customHeight="1" x14ac:dyDescent="0.25">
      <c r="A42" s="171"/>
      <c r="B42" s="171"/>
      <c r="C42" s="171"/>
      <c r="D42" s="171"/>
      <c r="E42" s="171"/>
      <c r="F42" s="171" t="s">
        <v>68</v>
      </c>
      <c r="G42" s="171"/>
      <c r="H42" s="171"/>
      <c r="I42" s="171"/>
      <c r="J42" s="176"/>
      <c r="L42" s="206"/>
      <c r="M42" s="313"/>
      <c r="N42" s="171"/>
      <c r="O42" s="171"/>
      <c r="P42" s="171"/>
      <c r="Q42" s="171"/>
      <c r="R42" s="171" t="s">
        <v>65</v>
      </c>
      <c r="S42" s="171"/>
      <c r="T42" s="171"/>
      <c r="U42" s="176">
        <v>108300.76</v>
      </c>
    </row>
    <row r="43" spans="1:21" x14ac:dyDescent="0.25">
      <c r="A43" s="171"/>
      <c r="B43" s="171"/>
      <c r="C43" s="171"/>
      <c r="D43" s="171"/>
      <c r="E43" s="171"/>
      <c r="F43" s="171"/>
      <c r="G43" s="171" t="s">
        <v>690</v>
      </c>
      <c r="H43" s="171"/>
      <c r="I43" s="171"/>
      <c r="J43" s="176">
        <v>28425</v>
      </c>
      <c r="L43" s="206"/>
      <c r="M43" s="313"/>
      <c r="N43" s="171"/>
      <c r="O43" s="171"/>
      <c r="P43" s="171"/>
      <c r="Q43" s="171"/>
      <c r="R43" s="171" t="s">
        <v>66</v>
      </c>
      <c r="S43" s="171"/>
      <c r="T43" s="171"/>
      <c r="U43" s="176">
        <v>35005.47</v>
      </c>
    </row>
    <row r="44" spans="1:21" ht="15.75" thickBot="1" x14ac:dyDescent="0.3">
      <c r="A44" s="171"/>
      <c r="B44" s="171"/>
      <c r="C44" s="171"/>
      <c r="D44" s="171"/>
      <c r="E44" s="171"/>
      <c r="F44" s="171"/>
      <c r="G44" s="171" t="s">
        <v>691</v>
      </c>
      <c r="H44" s="171"/>
      <c r="I44" s="171"/>
      <c r="J44" s="220">
        <v>17900</v>
      </c>
      <c r="L44" s="206"/>
      <c r="M44" s="313"/>
      <c r="N44" s="171"/>
      <c r="O44" s="171"/>
      <c r="P44" s="171"/>
      <c r="Q44" s="171"/>
      <c r="R44" s="171" t="s">
        <v>645</v>
      </c>
      <c r="S44" s="171"/>
      <c r="T44" s="171"/>
      <c r="U44" s="220">
        <v>89027.13</v>
      </c>
    </row>
    <row r="45" spans="1:21" x14ac:dyDescent="0.25">
      <c r="A45" s="171"/>
      <c r="B45" s="171"/>
      <c r="C45" s="171"/>
      <c r="D45" s="171"/>
      <c r="E45" s="171"/>
      <c r="F45" s="171" t="s">
        <v>70</v>
      </c>
      <c r="G45" s="171"/>
      <c r="H45" s="171"/>
      <c r="I45" s="171"/>
      <c r="J45" s="176">
        <f>ROUND(SUM(J42:J44),5)</f>
        <v>46325</v>
      </c>
      <c r="L45" s="206"/>
      <c r="M45" s="313"/>
      <c r="N45" s="171"/>
      <c r="O45" s="171"/>
      <c r="P45" s="171"/>
      <c r="Q45" s="171" t="s">
        <v>67</v>
      </c>
      <c r="R45" s="171"/>
      <c r="S45" s="171"/>
      <c r="T45" s="171"/>
      <c r="U45" s="176">
        <f>ROUND(SUM(U37:U44),5)</f>
        <v>1717918.26</v>
      </c>
    </row>
    <row r="46" spans="1:21" ht="30" customHeight="1" thickBot="1" x14ac:dyDescent="0.3">
      <c r="A46" s="171"/>
      <c r="B46" s="171"/>
      <c r="C46" s="171"/>
      <c r="D46" s="171"/>
      <c r="E46" s="171"/>
      <c r="F46" s="171" t="s">
        <v>624</v>
      </c>
      <c r="G46" s="171"/>
      <c r="H46" s="171"/>
      <c r="I46" s="171"/>
      <c r="J46" s="8">
        <v>25215.72</v>
      </c>
      <c r="L46" s="206"/>
      <c r="M46" s="313"/>
      <c r="N46" s="171"/>
      <c r="O46" s="171"/>
      <c r="P46" s="171"/>
      <c r="Q46" s="171" t="s">
        <v>514</v>
      </c>
      <c r="R46" s="171"/>
      <c r="S46" s="171"/>
      <c r="T46" s="171"/>
      <c r="U46" s="176"/>
    </row>
    <row r="47" spans="1:21" ht="15.75" thickBot="1" x14ac:dyDescent="0.3">
      <c r="A47" s="171"/>
      <c r="B47" s="171"/>
      <c r="C47" s="171"/>
      <c r="D47" s="171"/>
      <c r="E47" s="171" t="s">
        <v>71</v>
      </c>
      <c r="F47" s="171"/>
      <c r="G47" s="171"/>
      <c r="H47" s="171"/>
      <c r="I47" s="171"/>
      <c r="J47" s="11">
        <f>ROUND(J14+J17+J23+J26+J32+J41+SUM(J45:J46),5)</f>
        <v>13725308.48</v>
      </c>
      <c r="L47" s="206"/>
      <c r="M47" s="313"/>
      <c r="N47" s="171"/>
      <c r="O47" s="171"/>
      <c r="P47" s="171"/>
      <c r="Q47" s="171"/>
      <c r="R47" s="171" t="s">
        <v>621</v>
      </c>
      <c r="S47" s="171"/>
      <c r="T47" s="171"/>
      <c r="U47" s="176">
        <v>2090</v>
      </c>
    </row>
    <row r="48" spans="1:21" ht="30" customHeight="1" thickBot="1" x14ac:dyDescent="0.3">
      <c r="A48" s="171"/>
      <c r="B48" s="171"/>
      <c r="C48" s="171"/>
      <c r="D48" s="171" t="s">
        <v>72</v>
      </c>
      <c r="E48" s="171"/>
      <c r="F48" s="171"/>
      <c r="G48" s="171"/>
      <c r="H48" s="171"/>
      <c r="I48" s="171"/>
      <c r="J48" s="10">
        <f>ROUND(SUM(J12:J13)+J47,5)</f>
        <v>13736609.48</v>
      </c>
      <c r="L48" s="206"/>
      <c r="M48" s="313"/>
      <c r="N48" s="171"/>
      <c r="O48" s="171"/>
      <c r="P48" s="171"/>
      <c r="Q48" s="171"/>
      <c r="R48" s="171" t="s">
        <v>654</v>
      </c>
      <c r="S48" s="171"/>
      <c r="T48" s="171"/>
      <c r="U48" s="176"/>
    </row>
    <row r="49" spans="1:21" ht="30" customHeight="1" x14ac:dyDescent="0.25">
      <c r="A49" s="171"/>
      <c r="B49" s="171"/>
      <c r="C49" s="171" t="s">
        <v>73</v>
      </c>
      <c r="D49" s="171"/>
      <c r="E49" s="171"/>
      <c r="F49" s="171"/>
      <c r="G49" s="171"/>
      <c r="H49" s="171"/>
      <c r="I49" s="171"/>
      <c r="J49" s="176">
        <f>ROUND(J11-J48,5)</f>
        <v>4976599.03</v>
      </c>
      <c r="L49" s="206"/>
      <c r="M49" s="313"/>
      <c r="N49" s="171"/>
      <c r="O49" s="171"/>
      <c r="P49" s="171"/>
      <c r="Q49" s="171"/>
      <c r="R49" s="171"/>
      <c r="S49" s="171" t="s">
        <v>655</v>
      </c>
      <c r="T49" s="171"/>
      <c r="U49" s="176">
        <v>64000</v>
      </c>
    </row>
    <row r="50" spans="1:21" ht="30" customHeight="1" thickBot="1" x14ac:dyDescent="0.3">
      <c r="A50" s="171"/>
      <c r="B50" s="171"/>
      <c r="C50" s="171"/>
      <c r="D50" s="171" t="s">
        <v>74</v>
      </c>
      <c r="E50" s="171"/>
      <c r="F50" s="171"/>
      <c r="G50" s="171"/>
      <c r="H50" s="171"/>
      <c r="I50" s="171"/>
      <c r="J50" s="176"/>
      <c r="L50" s="206"/>
      <c r="M50" s="313"/>
      <c r="N50" s="171"/>
      <c r="O50" s="171"/>
      <c r="P50" s="171"/>
      <c r="Q50" s="171"/>
      <c r="R50" s="171"/>
      <c r="S50" s="171" t="s">
        <v>656</v>
      </c>
      <c r="T50" s="171"/>
      <c r="U50" s="8">
        <v>3130</v>
      </c>
    </row>
    <row r="51" spans="1:21" ht="15.75" thickBot="1" x14ac:dyDescent="0.3">
      <c r="A51" s="171"/>
      <c r="B51" s="171"/>
      <c r="C51" s="171"/>
      <c r="D51" s="171"/>
      <c r="E51" s="171" t="s">
        <v>75</v>
      </c>
      <c r="F51" s="171"/>
      <c r="G51" s="171"/>
      <c r="H51" s="171"/>
      <c r="I51" s="171"/>
      <c r="J51" s="176"/>
      <c r="L51" s="206"/>
      <c r="M51" s="313"/>
      <c r="N51" s="171"/>
      <c r="O51" s="171"/>
      <c r="P51" s="171"/>
      <c r="Q51" s="171"/>
      <c r="R51" s="171" t="s">
        <v>657</v>
      </c>
      <c r="S51" s="171"/>
      <c r="T51" s="171"/>
      <c r="U51" s="10">
        <f>ROUND(SUM(U48:U50),5)</f>
        <v>67130</v>
      </c>
    </row>
    <row r="52" spans="1:21" ht="15.75" thickBot="1" x14ac:dyDescent="0.3">
      <c r="A52" s="171"/>
      <c r="B52" s="171"/>
      <c r="C52" s="171"/>
      <c r="D52" s="171"/>
      <c r="E52" s="171"/>
      <c r="F52" s="171" t="s">
        <v>189</v>
      </c>
      <c r="G52" s="171"/>
      <c r="H52" s="171"/>
      <c r="I52" s="171"/>
      <c r="J52" s="176"/>
      <c r="L52" s="206"/>
      <c r="M52" s="313"/>
      <c r="N52" s="171"/>
      <c r="O52" s="171"/>
      <c r="P52" s="171"/>
      <c r="Q52" s="171" t="s">
        <v>516</v>
      </c>
      <c r="R52" s="171"/>
      <c r="S52" s="171"/>
      <c r="T52" s="171"/>
      <c r="U52" s="176">
        <f>ROUND(SUM(U46:U47)+U51,5)</f>
        <v>69220</v>
      </c>
    </row>
    <row r="53" spans="1:21" ht="15.75" thickBot="1" x14ac:dyDescent="0.3">
      <c r="A53" s="171"/>
      <c r="B53" s="171"/>
      <c r="C53" s="171"/>
      <c r="D53" s="171"/>
      <c r="E53" s="171"/>
      <c r="F53" s="171"/>
      <c r="G53" s="171" t="s">
        <v>76</v>
      </c>
      <c r="H53" s="171"/>
      <c r="I53" s="171"/>
      <c r="J53" s="176"/>
      <c r="L53" s="206"/>
      <c r="M53" s="313"/>
      <c r="N53" s="171"/>
      <c r="O53" s="171"/>
      <c r="P53" s="171" t="s">
        <v>71</v>
      </c>
      <c r="Q53" s="171"/>
      <c r="R53" s="171"/>
      <c r="S53" s="171"/>
      <c r="T53" s="171"/>
      <c r="U53" s="11">
        <f>ROUND(U16+U21+U30+U36+U45+SUM(U52:U52),5)</f>
        <v>13344789.09</v>
      </c>
    </row>
    <row r="54" spans="1:21" ht="15.75" thickBot="1" x14ac:dyDescent="0.3">
      <c r="A54" s="171"/>
      <c r="B54" s="171"/>
      <c r="C54" s="171"/>
      <c r="D54" s="171"/>
      <c r="E54" s="171"/>
      <c r="F54" s="171"/>
      <c r="G54" s="171"/>
      <c r="H54" s="171" t="s">
        <v>77</v>
      </c>
      <c r="I54" s="171"/>
      <c r="J54" s="176">
        <v>6000</v>
      </c>
      <c r="L54" s="206"/>
      <c r="M54" s="313"/>
      <c r="N54" s="171"/>
      <c r="O54" s="171" t="s">
        <v>72</v>
      </c>
      <c r="P54" s="171"/>
      <c r="Q54" s="171"/>
      <c r="R54" s="171"/>
      <c r="S54" s="171"/>
      <c r="T54" s="171"/>
      <c r="U54" s="10">
        <f>ROUND(SUM(U15:U15)+U53,5)</f>
        <v>13344789.09</v>
      </c>
    </row>
    <row r="55" spans="1:21" x14ac:dyDescent="0.25">
      <c r="A55" s="171"/>
      <c r="B55" s="171"/>
      <c r="C55" s="171"/>
      <c r="D55" s="171"/>
      <c r="E55" s="171"/>
      <c r="F55" s="171"/>
      <c r="G55" s="171"/>
      <c r="H55" s="171" t="s">
        <v>78</v>
      </c>
      <c r="I55" s="171"/>
      <c r="J55" s="176">
        <v>42982.8</v>
      </c>
      <c r="L55" s="206"/>
      <c r="M55" s="313"/>
      <c r="N55" s="171" t="s">
        <v>73</v>
      </c>
      <c r="O55" s="171"/>
      <c r="P55" s="171"/>
      <c r="Q55" s="171"/>
      <c r="R55" s="171"/>
      <c r="S55" s="171"/>
      <c r="T55" s="171"/>
      <c r="U55" s="176">
        <f>ROUND(U14-U54,5)</f>
        <v>7331400.0499999998</v>
      </c>
    </row>
    <row r="56" spans="1:21" x14ac:dyDescent="0.25">
      <c r="A56" s="171"/>
      <c r="B56" s="171"/>
      <c r="C56" s="171"/>
      <c r="D56" s="171"/>
      <c r="E56" s="171"/>
      <c r="F56" s="171"/>
      <c r="G56" s="171"/>
      <c r="H56" s="171" t="s">
        <v>79</v>
      </c>
      <c r="I56" s="171"/>
      <c r="J56" s="176">
        <v>7250</v>
      </c>
      <c r="L56" s="206"/>
      <c r="M56" s="313"/>
      <c r="N56" s="171"/>
      <c r="O56" s="171" t="s">
        <v>74</v>
      </c>
      <c r="P56" s="171"/>
      <c r="Q56" s="171"/>
      <c r="R56" s="171"/>
      <c r="S56" s="171"/>
      <c r="T56" s="171"/>
      <c r="U56" s="176"/>
    </row>
    <row r="57" spans="1:21" x14ac:dyDescent="0.25">
      <c r="A57" s="171"/>
      <c r="B57" s="171"/>
      <c r="C57" s="171"/>
      <c r="D57" s="171"/>
      <c r="E57" s="171"/>
      <c r="F57" s="171"/>
      <c r="G57" s="171"/>
      <c r="H57" s="171" t="s">
        <v>80</v>
      </c>
      <c r="I57" s="171"/>
      <c r="J57" s="176">
        <v>34902</v>
      </c>
      <c r="L57" s="206"/>
      <c r="M57" s="313"/>
      <c r="N57" s="171"/>
      <c r="O57" s="171"/>
      <c r="P57" s="171" t="s">
        <v>75</v>
      </c>
      <c r="Q57" s="171"/>
      <c r="R57" s="171"/>
      <c r="S57" s="171"/>
      <c r="T57" s="171"/>
      <c r="U57" s="176"/>
    </row>
    <row r="58" spans="1:21" x14ac:dyDescent="0.25">
      <c r="A58" s="171"/>
      <c r="B58" s="171"/>
      <c r="C58" s="171"/>
      <c r="D58" s="171"/>
      <c r="E58" s="171"/>
      <c r="F58" s="171"/>
      <c r="G58" s="171"/>
      <c r="H58" s="171" t="s">
        <v>453</v>
      </c>
      <c r="I58" s="171"/>
      <c r="J58" s="176">
        <v>2570.4</v>
      </c>
      <c r="L58" s="206"/>
      <c r="M58" s="313"/>
      <c r="N58" s="171"/>
      <c r="O58" s="171"/>
      <c r="P58" s="171"/>
      <c r="Q58" s="171" t="s">
        <v>189</v>
      </c>
      <c r="R58" s="171"/>
      <c r="S58" s="171"/>
      <c r="T58" s="171"/>
      <c r="U58" s="176"/>
    </row>
    <row r="59" spans="1:21" x14ac:dyDescent="0.25">
      <c r="A59" s="171"/>
      <c r="B59" s="171"/>
      <c r="C59" s="171"/>
      <c r="D59" s="171"/>
      <c r="E59" s="171"/>
      <c r="F59" s="171"/>
      <c r="G59" s="171"/>
      <c r="H59" s="171" t="s">
        <v>81</v>
      </c>
      <c r="I59" s="171"/>
      <c r="J59" s="176"/>
      <c r="L59" s="206"/>
      <c r="M59" s="313"/>
      <c r="N59" s="171"/>
      <c r="O59" s="171"/>
      <c r="P59" s="171"/>
      <c r="Q59" s="171"/>
      <c r="R59" s="171" t="s">
        <v>76</v>
      </c>
      <c r="S59" s="171"/>
      <c r="T59" s="171"/>
      <c r="U59" s="176"/>
    </row>
    <row r="60" spans="1:21" ht="15.75" thickBot="1" x14ac:dyDescent="0.3">
      <c r="A60" s="171"/>
      <c r="B60" s="171"/>
      <c r="C60" s="171"/>
      <c r="D60" s="171"/>
      <c r="E60" s="171"/>
      <c r="F60" s="171"/>
      <c r="G60" s="171"/>
      <c r="H60" s="171"/>
      <c r="I60" s="171" t="s">
        <v>82</v>
      </c>
      <c r="J60" s="220">
        <v>20605</v>
      </c>
      <c r="L60" s="206"/>
      <c r="M60" s="313"/>
      <c r="N60" s="171"/>
      <c r="O60" s="171"/>
      <c r="P60" s="171"/>
      <c r="Q60" s="171"/>
      <c r="R60" s="171"/>
      <c r="S60" s="171" t="s">
        <v>77</v>
      </c>
      <c r="T60" s="171"/>
      <c r="U60" s="176">
        <v>18000</v>
      </c>
    </row>
    <row r="61" spans="1:21" x14ac:dyDescent="0.25">
      <c r="A61" s="171"/>
      <c r="B61" s="171"/>
      <c r="C61" s="171"/>
      <c r="D61" s="171"/>
      <c r="E61" s="171"/>
      <c r="F61" s="171"/>
      <c r="G61" s="171"/>
      <c r="H61" s="171" t="s">
        <v>83</v>
      </c>
      <c r="I61" s="171"/>
      <c r="J61" s="176">
        <f>ROUND(SUM(J59:J60),5)</f>
        <v>20605</v>
      </c>
      <c r="L61" s="206"/>
      <c r="M61" s="313"/>
      <c r="N61" s="171"/>
      <c r="O61" s="171"/>
      <c r="P61" s="171"/>
      <c r="Q61" s="171"/>
      <c r="R61" s="171"/>
      <c r="S61" s="171" t="s">
        <v>78</v>
      </c>
      <c r="T61" s="171"/>
      <c r="U61" s="176">
        <v>43226.8</v>
      </c>
    </row>
    <row r="62" spans="1:21" ht="30" customHeight="1" x14ac:dyDescent="0.25">
      <c r="A62" s="171"/>
      <c r="B62" s="171"/>
      <c r="C62" s="171"/>
      <c r="D62" s="171"/>
      <c r="E62" s="171"/>
      <c r="F62" s="171"/>
      <c r="G62" s="171"/>
      <c r="H62" s="171" t="s">
        <v>190</v>
      </c>
      <c r="I62" s="171"/>
      <c r="J62" s="176">
        <v>100844</v>
      </c>
      <c r="L62" s="206"/>
      <c r="M62" s="313"/>
      <c r="N62" s="171"/>
      <c r="O62" s="171"/>
      <c r="P62" s="171"/>
      <c r="Q62" s="171"/>
      <c r="R62" s="171"/>
      <c r="S62" s="171" t="s">
        <v>79</v>
      </c>
      <c r="T62" s="171"/>
      <c r="U62" s="176">
        <v>4250</v>
      </c>
    </row>
    <row r="63" spans="1:21" x14ac:dyDescent="0.25">
      <c r="A63" s="171"/>
      <c r="B63" s="171"/>
      <c r="C63" s="171"/>
      <c r="D63" s="171"/>
      <c r="E63" s="171"/>
      <c r="F63" s="171"/>
      <c r="G63" s="171"/>
      <c r="H63" s="171" t="s">
        <v>84</v>
      </c>
      <c r="I63" s="171"/>
      <c r="J63" s="176">
        <v>48000</v>
      </c>
      <c r="L63" s="206"/>
      <c r="M63" s="313"/>
      <c r="N63" s="171"/>
      <c r="O63" s="171"/>
      <c r="P63" s="171"/>
      <c r="Q63" s="171"/>
      <c r="R63" s="171"/>
      <c r="S63" s="171" t="s">
        <v>80</v>
      </c>
      <c r="T63" s="171"/>
      <c r="U63" s="176">
        <v>1008</v>
      </c>
    </row>
    <row r="64" spans="1:21" x14ac:dyDescent="0.25">
      <c r="A64" s="171"/>
      <c r="B64" s="171"/>
      <c r="C64" s="171"/>
      <c r="D64" s="171"/>
      <c r="E64" s="171"/>
      <c r="F64" s="171"/>
      <c r="G64" s="171"/>
      <c r="H64" s="171" t="s">
        <v>517</v>
      </c>
      <c r="I64" s="171"/>
      <c r="J64" s="176"/>
      <c r="L64" s="206"/>
      <c r="M64" s="313"/>
      <c r="N64" s="171"/>
      <c r="O64" s="171"/>
      <c r="P64" s="171"/>
      <c r="Q64" s="171"/>
      <c r="R64" s="171"/>
      <c r="S64" s="171" t="s">
        <v>453</v>
      </c>
      <c r="T64" s="171"/>
      <c r="U64" s="176">
        <v>2570.4</v>
      </c>
    </row>
    <row r="65" spans="1:21" x14ac:dyDescent="0.25">
      <c r="A65" s="171"/>
      <c r="B65" s="171"/>
      <c r="C65" s="171"/>
      <c r="D65" s="171"/>
      <c r="E65" s="171"/>
      <c r="F65" s="171"/>
      <c r="G65" s="171"/>
      <c r="H65" s="171"/>
      <c r="I65" s="171" t="s">
        <v>518</v>
      </c>
      <c r="J65" s="176">
        <v>7101.61</v>
      </c>
      <c r="L65" s="206"/>
      <c r="M65" s="313"/>
      <c r="N65" s="171"/>
      <c r="O65" s="171"/>
      <c r="P65" s="171"/>
      <c r="Q65" s="171"/>
      <c r="R65" s="171"/>
      <c r="S65" s="171" t="s">
        <v>81</v>
      </c>
      <c r="T65" s="171"/>
      <c r="U65" s="176"/>
    </row>
    <row r="66" spans="1:21" ht="15.75" thickBot="1" x14ac:dyDescent="0.3">
      <c r="A66" s="171"/>
      <c r="B66" s="171"/>
      <c r="C66" s="171"/>
      <c r="D66" s="171"/>
      <c r="E66" s="171"/>
      <c r="F66" s="171"/>
      <c r="G66" s="171"/>
      <c r="H66" s="171"/>
      <c r="I66" s="171" t="s">
        <v>519</v>
      </c>
      <c r="J66" s="8">
        <v>8391.85</v>
      </c>
      <c r="L66" s="206"/>
      <c r="M66" s="313"/>
      <c r="N66" s="171"/>
      <c r="O66" s="171"/>
      <c r="P66" s="171"/>
      <c r="Q66" s="171"/>
      <c r="R66" s="171"/>
      <c r="S66" s="171"/>
      <c r="T66" s="171" t="s">
        <v>82</v>
      </c>
      <c r="U66" s="220">
        <v>11270</v>
      </c>
    </row>
    <row r="67" spans="1:21" ht="15.75" thickBot="1" x14ac:dyDescent="0.3">
      <c r="A67" s="171"/>
      <c r="B67" s="171"/>
      <c r="C67" s="171"/>
      <c r="D67" s="171"/>
      <c r="E67" s="171"/>
      <c r="F67" s="171"/>
      <c r="G67" s="171"/>
      <c r="H67" s="171" t="s">
        <v>520</v>
      </c>
      <c r="I67" s="171"/>
      <c r="J67" s="10">
        <f>ROUND(SUM(J64:J66),5)</f>
        <v>15493.46</v>
      </c>
      <c r="L67" s="206"/>
      <c r="M67" s="313"/>
      <c r="N67" s="171"/>
      <c r="O67" s="171"/>
      <c r="P67" s="171"/>
      <c r="Q67" s="171"/>
      <c r="R67" s="171"/>
      <c r="S67" s="171" t="s">
        <v>83</v>
      </c>
      <c r="T67" s="171"/>
      <c r="U67" s="176">
        <f>ROUND(SUM(U65:U66),5)</f>
        <v>11270</v>
      </c>
    </row>
    <row r="68" spans="1:21" ht="30" customHeight="1" x14ac:dyDescent="0.25">
      <c r="A68" s="171"/>
      <c r="B68" s="171"/>
      <c r="C68" s="171"/>
      <c r="D68" s="171"/>
      <c r="E68" s="171"/>
      <c r="F68" s="171"/>
      <c r="G68" s="171" t="s">
        <v>85</v>
      </c>
      <c r="H68" s="171"/>
      <c r="I68" s="171"/>
      <c r="J68" s="176">
        <f>ROUND(SUM(J53:J58)+SUM(J61:J63)+J67,5)</f>
        <v>278647.65999999997</v>
      </c>
      <c r="L68" s="206"/>
      <c r="M68" s="313"/>
      <c r="N68" s="171"/>
      <c r="O68" s="171"/>
      <c r="P68" s="171"/>
      <c r="Q68" s="171"/>
      <c r="R68" s="171"/>
      <c r="S68" s="171" t="s">
        <v>190</v>
      </c>
      <c r="T68" s="171"/>
      <c r="U68" s="176">
        <v>75740</v>
      </c>
    </row>
    <row r="69" spans="1:21" ht="30" customHeight="1" x14ac:dyDescent="0.25">
      <c r="A69" s="171"/>
      <c r="B69" s="171"/>
      <c r="C69" s="171"/>
      <c r="D69" s="171"/>
      <c r="E69" s="171"/>
      <c r="F69" s="171"/>
      <c r="G69" s="171" t="s">
        <v>86</v>
      </c>
      <c r="H69" s="171"/>
      <c r="I69" s="171"/>
      <c r="J69" s="176"/>
      <c r="L69" s="206"/>
      <c r="M69" s="313"/>
      <c r="N69" s="171"/>
      <c r="O69" s="171"/>
      <c r="P69" s="171"/>
      <c r="Q69" s="171"/>
      <c r="R69" s="171"/>
      <c r="S69" s="171" t="s">
        <v>84</v>
      </c>
      <c r="T69" s="171"/>
      <c r="U69" s="176">
        <v>40130</v>
      </c>
    </row>
    <row r="70" spans="1:21" x14ac:dyDescent="0.25">
      <c r="A70" s="171"/>
      <c r="B70" s="171"/>
      <c r="C70" s="171"/>
      <c r="D70" s="171"/>
      <c r="E70" s="171"/>
      <c r="F70" s="171"/>
      <c r="G70" s="171"/>
      <c r="H70" s="171" t="s">
        <v>87</v>
      </c>
      <c r="I70" s="171"/>
      <c r="J70" s="176">
        <v>271500</v>
      </c>
      <c r="K70" s="170">
        <f>U77</f>
        <v>354000</v>
      </c>
      <c r="L70" s="206"/>
      <c r="M70" s="313"/>
      <c r="N70" s="171"/>
      <c r="O70" s="171"/>
      <c r="P70" s="171"/>
      <c r="Q70" s="171"/>
      <c r="R70" s="171"/>
      <c r="S70" s="171" t="s">
        <v>517</v>
      </c>
      <c r="T70" s="171"/>
      <c r="U70" s="176"/>
    </row>
    <row r="71" spans="1:21" x14ac:dyDescent="0.25">
      <c r="A71" s="171"/>
      <c r="B71" s="171"/>
      <c r="C71" s="171"/>
      <c r="D71" s="171"/>
      <c r="E71" s="171"/>
      <c r="F71" s="171"/>
      <c r="G71" s="171"/>
      <c r="H71" s="171" t="s">
        <v>522</v>
      </c>
      <c r="I71" s="171"/>
      <c r="J71" s="176">
        <v>32580</v>
      </c>
      <c r="K71" s="170">
        <f t="shared" ref="K71:K76" si="3">U78</f>
        <v>31680</v>
      </c>
      <c r="L71" s="206"/>
      <c r="M71" s="313"/>
      <c r="N71" s="171"/>
      <c r="O71" s="171"/>
      <c r="P71" s="171"/>
      <c r="Q71" s="171"/>
      <c r="R71" s="171"/>
      <c r="S71" s="171"/>
      <c r="T71" s="171" t="s">
        <v>518</v>
      </c>
      <c r="U71" s="176">
        <v>7101.61</v>
      </c>
    </row>
    <row r="72" spans="1:21" ht="15.75" thickBot="1" x14ac:dyDescent="0.3">
      <c r="A72" s="171"/>
      <c r="B72" s="171"/>
      <c r="C72" s="171"/>
      <c r="D72" s="171"/>
      <c r="E72" s="171"/>
      <c r="F72" s="171"/>
      <c r="G72" s="171"/>
      <c r="H72" s="171" t="s">
        <v>523</v>
      </c>
      <c r="I72" s="171"/>
      <c r="J72" s="176">
        <v>8145</v>
      </c>
      <c r="K72" s="170">
        <f t="shared" si="3"/>
        <v>7920</v>
      </c>
      <c r="L72" s="206"/>
      <c r="M72" s="313"/>
      <c r="N72" s="171"/>
      <c r="O72" s="171"/>
      <c r="P72" s="171"/>
      <c r="Q72" s="171"/>
      <c r="R72" s="171"/>
      <c r="S72" s="171"/>
      <c r="T72" s="171" t="s">
        <v>519</v>
      </c>
      <c r="U72" s="220">
        <v>8391.85</v>
      </c>
    </row>
    <row r="73" spans="1:21" x14ac:dyDescent="0.25">
      <c r="A73" s="171"/>
      <c r="B73" s="171"/>
      <c r="C73" s="171"/>
      <c r="D73" s="171"/>
      <c r="E73" s="171"/>
      <c r="F73" s="171"/>
      <c r="G73" s="171"/>
      <c r="H73" s="171" t="s">
        <v>524</v>
      </c>
      <c r="I73" s="171"/>
      <c r="J73" s="176">
        <v>73000</v>
      </c>
      <c r="K73" s="170">
        <f t="shared" si="3"/>
        <v>127826.54</v>
      </c>
      <c r="L73" s="206"/>
      <c r="M73" s="313"/>
      <c r="N73" s="171"/>
      <c r="O73" s="171"/>
      <c r="P73" s="171"/>
      <c r="Q73" s="171"/>
      <c r="R73" s="171"/>
      <c r="S73" s="171" t="s">
        <v>520</v>
      </c>
      <c r="T73" s="171"/>
      <c r="U73" s="176">
        <f>ROUND(SUM(U70:U72),5)</f>
        <v>15493.46</v>
      </c>
    </row>
    <row r="74" spans="1:21" ht="15.75" thickBot="1" x14ac:dyDescent="0.3">
      <c r="A74" s="171"/>
      <c r="B74" s="171"/>
      <c r="C74" s="171"/>
      <c r="D74" s="171"/>
      <c r="E74" s="171"/>
      <c r="F74" s="171"/>
      <c r="G74" s="171"/>
      <c r="H74" s="171" t="s">
        <v>88</v>
      </c>
      <c r="I74" s="171"/>
      <c r="J74" s="176">
        <v>5500</v>
      </c>
      <c r="K74" s="170">
        <f t="shared" si="3"/>
        <v>37925</v>
      </c>
      <c r="L74" s="206"/>
      <c r="M74" s="313"/>
      <c r="N74" s="171"/>
      <c r="O74" s="171"/>
      <c r="P74" s="171"/>
      <c r="Q74" s="171"/>
      <c r="R74" s="171"/>
      <c r="S74" s="171" t="s">
        <v>521</v>
      </c>
      <c r="T74" s="171"/>
      <c r="U74" s="220">
        <v>3100</v>
      </c>
    </row>
    <row r="75" spans="1:21" x14ac:dyDescent="0.25">
      <c r="A75" s="171"/>
      <c r="B75" s="171"/>
      <c r="C75" s="171"/>
      <c r="D75" s="171"/>
      <c r="E75" s="171"/>
      <c r="F75" s="171"/>
      <c r="G75" s="171"/>
      <c r="H75" s="171" t="s">
        <v>89</v>
      </c>
      <c r="I75" s="171"/>
      <c r="J75" s="176">
        <v>28000</v>
      </c>
      <c r="K75" s="170">
        <f t="shared" si="3"/>
        <v>28000</v>
      </c>
      <c r="L75" s="206"/>
      <c r="M75" s="313"/>
      <c r="N75" s="171"/>
      <c r="O75" s="171"/>
      <c r="P75" s="171"/>
      <c r="Q75" s="171"/>
      <c r="R75" s="171" t="s">
        <v>85</v>
      </c>
      <c r="S75" s="171"/>
      <c r="T75" s="171"/>
      <c r="U75" s="176">
        <f>ROUND(SUM(U59:U64)+SUM(U67:U69)+SUM(U73:U74),5)</f>
        <v>214788.66</v>
      </c>
    </row>
    <row r="76" spans="1:21" ht="15.75" thickBot="1" x14ac:dyDescent="0.3">
      <c r="A76" s="171"/>
      <c r="B76" s="171"/>
      <c r="C76" s="171"/>
      <c r="D76" s="171"/>
      <c r="E76" s="171"/>
      <c r="F76" s="171"/>
      <c r="G76" s="171"/>
      <c r="H76" s="171" t="s">
        <v>646</v>
      </c>
      <c r="I76" s="171"/>
      <c r="J76" s="220">
        <v>24200</v>
      </c>
      <c r="K76" s="170">
        <f t="shared" si="3"/>
        <v>24200</v>
      </c>
      <c r="L76" s="206"/>
      <c r="M76" s="313"/>
      <c r="N76" s="171"/>
      <c r="O76" s="171"/>
      <c r="P76" s="171"/>
      <c r="Q76" s="171"/>
      <c r="R76" s="171" t="s">
        <v>86</v>
      </c>
      <c r="S76" s="171"/>
      <c r="T76" s="171"/>
      <c r="U76" s="176"/>
    </row>
    <row r="77" spans="1:21" x14ac:dyDescent="0.25">
      <c r="A77" s="171"/>
      <c r="B77" s="171"/>
      <c r="C77" s="171"/>
      <c r="D77" s="171"/>
      <c r="E77" s="171"/>
      <c r="F77" s="171"/>
      <c r="G77" s="171" t="s">
        <v>91</v>
      </c>
      <c r="H77" s="171"/>
      <c r="I77" s="171"/>
      <c r="J77" s="176">
        <f>ROUND(SUM(J69:J76),5)</f>
        <v>442925</v>
      </c>
      <c r="L77" s="206"/>
      <c r="M77" s="313"/>
      <c r="N77" s="171"/>
      <c r="O77" s="171"/>
      <c r="P77" s="171"/>
      <c r="Q77" s="171"/>
      <c r="R77" s="171"/>
      <c r="S77" s="171" t="s">
        <v>87</v>
      </c>
      <c r="T77" s="171"/>
      <c r="U77" s="176">
        <v>354000</v>
      </c>
    </row>
    <row r="78" spans="1:21" ht="30" customHeight="1" x14ac:dyDescent="0.25">
      <c r="A78" s="171"/>
      <c r="B78" s="171"/>
      <c r="C78" s="171"/>
      <c r="D78" s="171"/>
      <c r="E78" s="171"/>
      <c r="F78" s="171"/>
      <c r="G78" s="171" t="s">
        <v>92</v>
      </c>
      <c r="H78" s="171"/>
      <c r="I78" s="171"/>
      <c r="J78" s="176"/>
      <c r="L78" s="206"/>
      <c r="M78" s="313"/>
      <c r="N78" s="171"/>
      <c r="O78" s="171"/>
      <c r="P78" s="171"/>
      <c r="Q78" s="171"/>
      <c r="R78" s="171"/>
      <c r="S78" s="171" t="s">
        <v>522</v>
      </c>
      <c r="T78" s="171"/>
      <c r="U78" s="176">
        <v>31680</v>
      </c>
    </row>
    <row r="79" spans="1:21" x14ac:dyDescent="0.25">
      <c r="A79" s="171"/>
      <c r="B79" s="171"/>
      <c r="C79" s="171"/>
      <c r="D79" s="171"/>
      <c r="E79" s="171"/>
      <c r="F79" s="171"/>
      <c r="G79" s="171"/>
      <c r="H79" s="171" t="s">
        <v>93</v>
      </c>
      <c r="I79" s="171"/>
      <c r="J79" s="176">
        <v>2254.89</v>
      </c>
      <c r="L79" s="206"/>
      <c r="M79" s="313"/>
      <c r="N79" s="171"/>
      <c r="O79" s="171"/>
      <c r="P79" s="171"/>
      <c r="Q79" s="171"/>
      <c r="R79" s="171"/>
      <c r="S79" s="171" t="s">
        <v>523</v>
      </c>
      <c r="T79" s="171"/>
      <c r="U79" s="176">
        <v>7920</v>
      </c>
    </row>
    <row r="80" spans="1:21" x14ac:dyDescent="0.25">
      <c r="A80" s="171"/>
      <c r="B80" s="171"/>
      <c r="C80" s="171"/>
      <c r="D80" s="171"/>
      <c r="E80" s="171"/>
      <c r="F80" s="171"/>
      <c r="G80" s="171"/>
      <c r="H80" s="171" t="s">
        <v>525</v>
      </c>
      <c r="I80" s="171"/>
      <c r="J80" s="176">
        <v>14528.28</v>
      </c>
      <c r="L80" s="206"/>
      <c r="M80" s="313"/>
      <c r="N80" s="171"/>
      <c r="O80" s="171"/>
      <c r="P80" s="171"/>
      <c r="Q80" s="171"/>
      <c r="R80" s="171"/>
      <c r="S80" s="171" t="s">
        <v>524</v>
      </c>
      <c r="T80" s="171"/>
      <c r="U80" s="176">
        <v>127826.54</v>
      </c>
    </row>
    <row r="81" spans="1:21" x14ac:dyDescent="0.25">
      <c r="A81" s="171"/>
      <c r="B81" s="171"/>
      <c r="C81" s="171"/>
      <c r="D81" s="171"/>
      <c r="E81" s="171"/>
      <c r="F81" s="171"/>
      <c r="G81" s="171"/>
      <c r="H81" s="171" t="s">
        <v>94</v>
      </c>
      <c r="I81" s="171"/>
      <c r="J81" s="176">
        <v>15300.5</v>
      </c>
      <c r="L81" s="206"/>
      <c r="M81" s="313"/>
      <c r="N81" s="171"/>
      <c r="O81" s="171"/>
      <c r="P81" s="171"/>
      <c r="Q81" s="171"/>
      <c r="R81" s="171"/>
      <c r="S81" s="171" t="s">
        <v>88</v>
      </c>
      <c r="T81" s="171"/>
      <c r="U81" s="176">
        <v>37925</v>
      </c>
    </row>
    <row r="82" spans="1:21" x14ac:dyDescent="0.25">
      <c r="A82" s="171"/>
      <c r="B82" s="171"/>
      <c r="C82" s="171"/>
      <c r="D82" s="171"/>
      <c r="E82" s="171"/>
      <c r="F82" s="171"/>
      <c r="G82" s="171"/>
      <c r="H82" s="171" t="s">
        <v>95</v>
      </c>
      <c r="I82" s="171"/>
      <c r="J82" s="176">
        <v>21592.62</v>
      </c>
      <c r="L82" s="206"/>
      <c r="M82" s="313"/>
      <c r="N82" s="171"/>
      <c r="O82" s="171"/>
      <c r="P82" s="171"/>
      <c r="Q82" s="171"/>
      <c r="R82" s="171"/>
      <c r="S82" s="171" t="s">
        <v>89</v>
      </c>
      <c r="T82" s="171"/>
      <c r="U82" s="176">
        <v>28000</v>
      </c>
    </row>
    <row r="83" spans="1:21" ht="15.75" thickBot="1" x14ac:dyDescent="0.3">
      <c r="A83" s="171"/>
      <c r="B83" s="171"/>
      <c r="C83" s="171"/>
      <c r="D83" s="171"/>
      <c r="E83" s="171"/>
      <c r="F83" s="171"/>
      <c r="G83" s="171"/>
      <c r="H83" s="171" t="s">
        <v>526</v>
      </c>
      <c r="I83" s="171"/>
      <c r="J83" s="220">
        <v>43301.88</v>
      </c>
      <c r="L83" s="206"/>
      <c r="M83" s="313"/>
      <c r="N83" s="171"/>
      <c r="O83" s="171"/>
      <c r="P83" s="171"/>
      <c r="Q83" s="171"/>
      <c r="R83" s="171"/>
      <c r="S83" s="171" t="s">
        <v>646</v>
      </c>
      <c r="T83" s="171"/>
      <c r="U83" s="220">
        <v>24200</v>
      </c>
    </row>
    <row r="84" spans="1:21" x14ac:dyDescent="0.25">
      <c r="A84" s="171"/>
      <c r="B84" s="171"/>
      <c r="C84" s="171"/>
      <c r="D84" s="171"/>
      <c r="E84" s="171"/>
      <c r="F84" s="171"/>
      <c r="G84" s="171" t="s">
        <v>96</v>
      </c>
      <c r="H84" s="171"/>
      <c r="I84" s="171"/>
      <c r="J84" s="176">
        <f>ROUND(SUM(J78:J83),5)</f>
        <v>96978.17</v>
      </c>
      <c r="L84" s="206"/>
      <c r="M84" s="313"/>
      <c r="N84" s="171"/>
      <c r="O84" s="171"/>
      <c r="P84" s="171"/>
      <c r="Q84" s="171"/>
      <c r="R84" s="171" t="s">
        <v>91</v>
      </c>
      <c r="S84" s="171"/>
      <c r="T84" s="171"/>
      <c r="U84" s="176">
        <f>ROUND(SUM(U76:U83),5)</f>
        <v>611551.54</v>
      </c>
    </row>
    <row r="85" spans="1:21" ht="30" customHeight="1" x14ac:dyDescent="0.25">
      <c r="A85" s="171"/>
      <c r="B85" s="171"/>
      <c r="C85" s="171"/>
      <c r="D85" s="171"/>
      <c r="E85" s="171"/>
      <c r="F85" s="171"/>
      <c r="G85" s="171" t="s">
        <v>97</v>
      </c>
      <c r="H85" s="171"/>
      <c r="I85" s="171"/>
      <c r="J85" s="176"/>
      <c r="L85" s="206"/>
      <c r="M85" s="313"/>
      <c r="N85" s="171"/>
      <c r="O85" s="171"/>
      <c r="P85" s="171"/>
      <c r="Q85" s="171"/>
      <c r="R85" s="171" t="s">
        <v>92</v>
      </c>
      <c r="S85" s="171"/>
      <c r="T85" s="171"/>
      <c r="U85" s="176"/>
    </row>
    <row r="86" spans="1:21" x14ac:dyDescent="0.25">
      <c r="A86" s="171"/>
      <c r="B86" s="171"/>
      <c r="C86" s="171"/>
      <c r="D86" s="171"/>
      <c r="E86" s="171"/>
      <c r="F86" s="171"/>
      <c r="G86" s="171"/>
      <c r="H86" s="171" t="s">
        <v>98</v>
      </c>
      <c r="I86" s="171"/>
      <c r="J86" s="176">
        <v>47235</v>
      </c>
      <c r="L86" s="206"/>
      <c r="M86" s="313"/>
      <c r="N86" s="171"/>
      <c r="O86" s="171"/>
      <c r="P86" s="171"/>
      <c r="Q86" s="171"/>
      <c r="R86" s="171"/>
      <c r="S86" s="171" t="s">
        <v>93</v>
      </c>
      <c r="T86" s="171"/>
      <c r="U86" s="176">
        <v>440.74</v>
      </c>
    </row>
    <row r="87" spans="1:21" x14ac:dyDescent="0.25">
      <c r="A87" s="171"/>
      <c r="B87" s="171"/>
      <c r="C87" s="171"/>
      <c r="D87" s="171"/>
      <c r="E87" s="171"/>
      <c r="F87" s="171"/>
      <c r="G87" s="171"/>
      <c r="H87" s="171" t="s">
        <v>625</v>
      </c>
      <c r="I87" s="171"/>
      <c r="J87" s="176">
        <v>21600</v>
      </c>
      <c r="L87" s="206"/>
      <c r="M87" s="313"/>
      <c r="N87" s="171"/>
      <c r="O87" s="171"/>
      <c r="P87" s="171"/>
      <c r="Q87" s="171"/>
      <c r="R87" s="171"/>
      <c r="S87" s="171" t="s">
        <v>525</v>
      </c>
      <c r="T87" s="171"/>
      <c r="U87" s="176">
        <v>6700.27</v>
      </c>
    </row>
    <row r="88" spans="1:21" x14ac:dyDescent="0.25">
      <c r="A88" s="171"/>
      <c r="B88" s="171"/>
      <c r="C88" s="171"/>
      <c r="D88" s="171"/>
      <c r="E88" s="171"/>
      <c r="F88" s="171"/>
      <c r="G88" s="171"/>
      <c r="H88" s="171" t="s">
        <v>99</v>
      </c>
      <c r="I88" s="171"/>
      <c r="J88" s="176">
        <v>0</v>
      </c>
      <c r="L88" s="206"/>
      <c r="M88" s="313"/>
      <c r="N88" s="171"/>
      <c r="O88" s="171"/>
      <c r="P88" s="171"/>
      <c r="Q88" s="171"/>
      <c r="R88" s="171"/>
      <c r="S88" s="171" t="s">
        <v>94</v>
      </c>
      <c r="T88" s="171"/>
      <c r="U88" s="176">
        <v>8504.2000000000007</v>
      </c>
    </row>
    <row r="89" spans="1:21" x14ac:dyDescent="0.25">
      <c r="A89" s="171"/>
      <c r="B89" s="171"/>
      <c r="C89" s="171"/>
      <c r="D89" s="171"/>
      <c r="E89" s="171"/>
      <c r="F89" s="171"/>
      <c r="G89" s="171"/>
      <c r="H89" s="171" t="s">
        <v>100</v>
      </c>
      <c r="I89" s="171"/>
      <c r="J89" s="176">
        <v>0</v>
      </c>
      <c r="L89" s="206"/>
      <c r="M89" s="313"/>
      <c r="N89" s="171"/>
      <c r="O89" s="171"/>
      <c r="P89" s="171"/>
      <c r="Q89" s="171"/>
      <c r="R89" s="171"/>
      <c r="S89" s="171" t="s">
        <v>95</v>
      </c>
      <c r="T89" s="171"/>
      <c r="U89" s="176">
        <v>17945.13</v>
      </c>
    </row>
    <row r="90" spans="1:21" ht="15.75" thickBot="1" x14ac:dyDescent="0.3">
      <c r="A90" s="171"/>
      <c r="B90" s="171"/>
      <c r="C90" s="171"/>
      <c r="D90" s="171"/>
      <c r="E90" s="171"/>
      <c r="F90" s="171"/>
      <c r="G90" s="171"/>
      <c r="H90" s="171" t="s">
        <v>527</v>
      </c>
      <c r="I90" s="171"/>
      <c r="J90" s="220">
        <v>14000</v>
      </c>
      <c r="L90" s="206"/>
      <c r="M90" s="313"/>
      <c r="N90" s="171"/>
      <c r="O90" s="171"/>
      <c r="P90" s="171"/>
      <c r="Q90" s="171"/>
      <c r="R90" s="171"/>
      <c r="S90" s="171" t="s">
        <v>526</v>
      </c>
      <c r="T90" s="171"/>
      <c r="U90" s="220">
        <v>43301.88</v>
      </c>
    </row>
    <row r="91" spans="1:21" x14ac:dyDescent="0.25">
      <c r="A91" s="171"/>
      <c r="B91" s="171"/>
      <c r="C91" s="171"/>
      <c r="D91" s="171"/>
      <c r="E91" s="171"/>
      <c r="F91" s="171"/>
      <c r="G91" s="171" t="s">
        <v>102</v>
      </c>
      <c r="H91" s="171"/>
      <c r="I91" s="171"/>
      <c r="J91" s="176">
        <f>ROUND(SUM(J85:J90),5)</f>
        <v>82835</v>
      </c>
      <c r="L91" s="206"/>
      <c r="M91" s="313"/>
      <c r="N91" s="171"/>
      <c r="O91" s="171"/>
      <c r="P91" s="171"/>
      <c r="Q91" s="171"/>
      <c r="R91" s="171" t="s">
        <v>96</v>
      </c>
      <c r="S91" s="171"/>
      <c r="T91" s="171"/>
      <c r="U91" s="176">
        <f>ROUND(SUM(U85:U90),5)</f>
        <v>76892.22</v>
      </c>
    </row>
    <row r="92" spans="1:21" ht="30" customHeight="1" x14ac:dyDescent="0.25">
      <c r="A92" s="171"/>
      <c r="B92" s="171"/>
      <c r="C92" s="171"/>
      <c r="D92" s="171"/>
      <c r="E92" s="171"/>
      <c r="F92" s="171"/>
      <c r="G92" s="171" t="s">
        <v>103</v>
      </c>
      <c r="H92" s="171"/>
      <c r="I92" s="171"/>
      <c r="J92" s="176"/>
      <c r="L92" s="206"/>
      <c r="M92" s="313"/>
      <c r="N92" s="171"/>
      <c r="O92" s="171"/>
      <c r="P92" s="171"/>
      <c r="Q92" s="171"/>
      <c r="R92" s="171" t="s">
        <v>97</v>
      </c>
      <c r="S92" s="171"/>
      <c r="T92" s="171"/>
      <c r="U92" s="176"/>
    </row>
    <row r="93" spans="1:21" x14ac:dyDescent="0.25">
      <c r="A93" s="171"/>
      <c r="B93" s="171"/>
      <c r="C93" s="171"/>
      <c r="D93" s="171"/>
      <c r="E93" s="171"/>
      <c r="F93" s="171"/>
      <c r="G93" s="171"/>
      <c r="H93" s="171" t="s">
        <v>104</v>
      </c>
      <c r="I93" s="171"/>
      <c r="J93" s="176">
        <v>46176</v>
      </c>
      <c r="L93" s="206"/>
      <c r="M93" s="313"/>
      <c r="N93" s="171"/>
      <c r="O93" s="171"/>
      <c r="P93" s="171"/>
      <c r="Q93" s="171"/>
      <c r="R93" s="171"/>
      <c r="S93" s="171" t="s">
        <v>98</v>
      </c>
      <c r="T93" s="171"/>
      <c r="U93" s="176">
        <v>1740</v>
      </c>
    </row>
    <row r="94" spans="1:21" x14ac:dyDescent="0.25">
      <c r="A94" s="171"/>
      <c r="B94" s="171"/>
      <c r="C94" s="171"/>
      <c r="D94" s="171"/>
      <c r="E94" s="171"/>
      <c r="F94" s="171"/>
      <c r="G94" s="171"/>
      <c r="H94" s="171" t="s">
        <v>455</v>
      </c>
      <c r="I94" s="171"/>
      <c r="J94" s="176">
        <v>87210</v>
      </c>
      <c r="L94" s="206"/>
      <c r="M94" s="313"/>
      <c r="N94" s="171"/>
      <c r="O94" s="171"/>
      <c r="P94" s="171"/>
      <c r="Q94" s="171"/>
      <c r="R94" s="171"/>
      <c r="S94" s="171" t="s">
        <v>625</v>
      </c>
      <c r="T94" s="171"/>
      <c r="U94" s="176">
        <v>27490</v>
      </c>
    </row>
    <row r="95" spans="1:21" x14ac:dyDescent="0.25">
      <c r="A95" s="171"/>
      <c r="B95" s="171"/>
      <c r="C95" s="171"/>
      <c r="D95" s="171"/>
      <c r="E95" s="171"/>
      <c r="F95" s="171"/>
      <c r="G95" s="171"/>
      <c r="H95" s="171" t="s">
        <v>528</v>
      </c>
      <c r="I95" s="171"/>
      <c r="J95" s="176">
        <v>136850.54</v>
      </c>
      <c r="L95" s="206"/>
      <c r="M95" s="313"/>
      <c r="N95" s="171"/>
      <c r="O95" s="171"/>
      <c r="P95" s="171"/>
      <c r="Q95" s="171"/>
      <c r="R95" s="171"/>
      <c r="S95" s="171" t="s">
        <v>99</v>
      </c>
      <c r="T95" s="171"/>
      <c r="U95" s="176">
        <v>0</v>
      </c>
    </row>
    <row r="96" spans="1:21" x14ac:dyDescent="0.25">
      <c r="A96" s="171"/>
      <c r="B96" s="171"/>
      <c r="C96" s="171"/>
      <c r="D96" s="171"/>
      <c r="E96" s="171"/>
      <c r="F96" s="171"/>
      <c r="G96" s="171"/>
      <c r="H96" s="171" t="s">
        <v>529</v>
      </c>
      <c r="I96" s="171"/>
      <c r="J96" s="176">
        <v>134366.23000000001</v>
      </c>
      <c r="L96" s="206"/>
      <c r="M96" s="313"/>
      <c r="N96" s="171"/>
      <c r="O96" s="171"/>
      <c r="P96" s="171"/>
      <c r="Q96" s="171"/>
      <c r="R96" s="171"/>
      <c r="S96" s="171" t="s">
        <v>100</v>
      </c>
      <c r="T96" s="171"/>
      <c r="U96" s="176">
        <v>5000</v>
      </c>
    </row>
    <row r="97" spans="1:21" ht="15.75" thickBot="1" x14ac:dyDescent="0.3">
      <c r="A97" s="171"/>
      <c r="B97" s="171"/>
      <c r="C97" s="171"/>
      <c r="D97" s="171"/>
      <c r="E97" s="171"/>
      <c r="F97" s="171"/>
      <c r="G97" s="171"/>
      <c r="H97" s="171" t="s">
        <v>530</v>
      </c>
      <c r="I97" s="171"/>
      <c r="J97" s="176">
        <v>85420.41</v>
      </c>
      <c r="L97" s="206"/>
      <c r="M97" s="313"/>
      <c r="N97" s="171"/>
      <c r="O97" s="171"/>
      <c r="P97" s="171"/>
      <c r="Q97" s="171"/>
      <c r="R97" s="171"/>
      <c r="S97" s="171" t="s">
        <v>527</v>
      </c>
      <c r="T97" s="171"/>
      <c r="U97" s="220">
        <v>7500</v>
      </c>
    </row>
    <row r="98" spans="1:21" x14ac:dyDescent="0.25">
      <c r="A98" s="171"/>
      <c r="B98" s="171"/>
      <c r="C98" s="171"/>
      <c r="D98" s="171"/>
      <c r="E98" s="171"/>
      <c r="F98" s="171"/>
      <c r="G98" s="171"/>
      <c r="H98" s="171" t="s">
        <v>669</v>
      </c>
      <c r="I98" s="171"/>
      <c r="J98" s="176">
        <v>30000</v>
      </c>
      <c r="L98" s="206"/>
      <c r="M98" s="313"/>
      <c r="N98" s="171"/>
      <c r="O98" s="171"/>
      <c r="P98" s="171"/>
      <c r="Q98" s="171"/>
      <c r="R98" s="171" t="s">
        <v>102</v>
      </c>
      <c r="S98" s="171"/>
      <c r="T98" s="171"/>
      <c r="U98" s="176">
        <f>ROUND(SUM(U92:U97),5)</f>
        <v>41730</v>
      </c>
    </row>
    <row r="99" spans="1:21" ht="15.75" thickBot="1" x14ac:dyDescent="0.3">
      <c r="A99" s="171"/>
      <c r="B99" s="171"/>
      <c r="C99" s="171"/>
      <c r="D99" s="171"/>
      <c r="E99" s="171"/>
      <c r="F99" s="171"/>
      <c r="G99" s="171"/>
      <c r="H99" s="171" t="s">
        <v>475</v>
      </c>
      <c r="I99" s="171"/>
      <c r="J99" s="220">
        <v>7600</v>
      </c>
      <c r="L99" s="206"/>
      <c r="M99" s="313"/>
      <c r="N99" s="171"/>
      <c r="O99" s="171"/>
      <c r="P99" s="171"/>
      <c r="Q99" s="171"/>
      <c r="R99" s="171" t="s">
        <v>103</v>
      </c>
      <c r="S99" s="171"/>
      <c r="T99" s="171"/>
      <c r="U99" s="176"/>
    </row>
    <row r="100" spans="1:21" x14ac:dyDescent="0.25">
      <c r="A100" s="171"/>
      <c r="B100" s="171"/>
      <c r="C100" s="171"/>
      <c r="D100" s="171"/>
      <c r="E100" s="171"/>
      <c r="F100" s="171"/>
      <c r="G100" s="171" t="s">
        <v>108</v>
      </c>
      <c r="H100" s="171"/>
      <c r="I100" s="171"/>
      <c r="J100" s="176">
        <f>ROUND(SUM(J92:J99),5)</f>
        <v>527623.18000000005</v>
      </c>
      <c r="L100" s="206"/>
      <c r="M100" s="313"/>
      <c r="N100" s="171"/>
      <c r="O100" s="171"/>
      <c r="P100" s="171"/>
      <c r="Q100" s="171"/>
      <c r="R100" s="171"/>
      <c r="S100" s="171" t="s">
        <v>104</v>
      </c>
      <c r="T100" s="171"/>
      <c r="U100" s="176">
        <v>27083</v>
      </c>
    </row>
    <row r="101" spans="1:21" ht="30" customHeight="1" x14ac:dyDescent="0.25">
      <c r="A101" s="171"/>
      <c r="B101" s="171"/>
      <c r="C101" s="171"/>
      <c r="D101" s="171"/>
      <c r="E101" s="171"/>
      <c r="F101" s="171"/>
      <c r="G101" s="171" t="s">
        <v>456</v>
      </c>
      <c r="H101" s="171"/>
      <c r="I101" s="171"/>
      <c r="J101" s="176"/>
      <c r="L101" s="206"/>
      <c r="M101" s="313"/>
      <c r="N101" s="171"/>
      <c r="O101" s="171"/>
      <c r="P101" s="171"/>
      <c r="Q101" s="171"/>
      <c r="R101" s="171"/>
      <c r="S101" s="171" t="s">
        <v>106</v>
      </c>
      <c r="T101" s="171"/>
      <c r="U101" s="176">
        <v>635</v>
      </c>
    </row>
    <row r="102" spans="1:21" ht="15.75" thickBot="1" x14ac:dyDescent="0.3">
      <c r="A102" s="171"/>
      <c r="B102" s="171"/>
      <c r="C102" s="171"/>
      <c r="D102" s="171"/>
      <c r="E102" s="171"/>
      <c r="F102" s="171"/>
      <c r="G102" s="171"/>
      <c r="H102" s="171" t="s">
        <v>476</v>
      </c>
      <c r="I102" s="171"/>
      <c r="J102" s="8">
        <v>6021.59</v>
      </c>
      <c r="L102" s="206"/>
      <c r="M102" s="313"/>
      <c r="N102" s="171"/>
      <c r="O102" s="171"/>
      <c r="P102" s="171"/>
      <c r="Q102" s="171"/>
      <c r="R102" s="171"/>
      <c r="S102" s="171" t="s">
        <v>455</v>
      </c>
      <c r="T102" s="171"/>
      <c r="U102" s="176">
        <v>87210</v>
      </c>
    </row>
    <row r="103" spans="1:21" ht="15.75" thickBot="1" x14ac:dyDescent="0.3">
      <c r="A103" s="171"/>
      <c r="B103" s="171"/>
      <c r="C103" s="171"/>
      <c r="D103" s="171"/>
      <c r="E103" s="171"/>
      <c r="F103" s="171"/>
      <c r="G103" s="171" t="s">
        <v>458</v>
      </c>
      <c r="H103" s="171"/>
      <c r="I103" s="171"/>
      <c r="J103" s="10">
        <f>ROUND(SUM(J101:J102),5)</f>
        <v>6021.59</v>
      </c>
      <c r="L103" s="206"/>
      <c r="M103" s="313"/>
      <c r="N103" s="171"/>
      <c r="O103" s="171"/>
      <c r="P103" s="171"/>
      <c r="Q103" s="171"/>
      <c r="R103" s="171"/>
      <c r="S103" s="171" t="s">
        <v>107</v>
      </c>
      <c r="T103" s="171"/>
      <c r="U103" s="176">
        <v>5540</v>
      </c>
    </row>
    <row r="104" spans="1:21" ht="30" customHeight="1" x14ac:dyDescent="0.25">
      <c r="A104" s="171"/>
      <c r="B104" s="171"/>
      <c r="C104" s="171"/>
      <c r="D104" s="171"/>
      <c r="E104" s="171"/>
      <c r="F104" s="171" t="s">
        <v>191</v>
      </c>
      <c r="G104" s="171"/>
      <c r="H104" s="171"/>
      <c r="I104" s="171"/>
      <c r="J104" s="176">
        <f>ROUND(J52+J68+J77+J84+J91+J100+J103,5)</f>
        <v>1435030.6</v>
      </c>
      <c r="L104" s="206"/>
      <c r="M104" s="313"/>
      <c r="N104" s="171"/>
      <c r="O104" s="171"/>
      <c r="P104" s="171"/>
      <c r="Q104" s="171"/>
      <c r="R104" s="171"/>
      <c r="S104" s="171" t="s">
        <v>528</v>
      </c>
      <c r="T104" s="171"/>
      <c r="U104" s="176">
        <v>136850.54</v>
      </c>
    </row>
    <row r="105" spans="1:21" ht="30" customHeight="1" x14ac:dyDescent="0.25">
      <c r="A105" s="171"/>
      <c r="B105" s="171"/>
      <c r="C105" s="171"/>
      <c r="D105" s="171"/>
      <c r="E105" s="171"/>
      <c r="F105" s="171" t="s">
        <v>109</v>
      </c>
      <c r="G105" s="171"/>
      <c r="H105" s="171"/>
      <c r="I105" s="171"/>
      <c r="J105" s="176"/>
      <c r="L105" s="206"/>
      <c r="M105" s="313"/>
      <c r="N105" s="171"/>
      <c r="O105" s="171"/>
      <c r="P105" s="171"/>
      <c r="Q105" s="171"/>
      <c r="R105" s="171"/>
      <c r="S105" s="171" t="s">
        <v>529</v>
      </c>
      <c r="T105" s="171"/>
      <c r="U105" s="176">
        <v>134366.23000000001</v>
      </c>
    </row>
    <row r="106" spans="1:21" x14ac:dyDescent="0.25">
      <c r="A106" s="171"/>
      <c r="B106" s="171"/>
      <c r="C106" s="171"/>
      <c r="D106" s="171"/>
      <c r="E106" s="171"/>
      <c r="F106" s="171"/>
      <c r="G106" s="171" t="s">
        <v>110</v>
      </c>
      <c r="H106" s="171"/>
      <c r="I106" s="171"/>
      <c r="J106" s="176"/>
      <c r="L106" s="206"/>
      <c r="M106" s="313"/>
      <c r="N106" s="171"/>
      <c r="O106" s="171"/>
      <c r="P106" s="171"/>
      <c r="Q106" s="171"/>
      <c r="R106" s="171"/>
      <c r="S106" s="171" t="s">
        <v>530</v>
      </c>
      <c r="T106" s="171"/>
      <c r="U106" s="176">
        <v>85420.41</v>
      </c>
    </row>
    <row r="107" spans="1:21" x14ac:dyDescent="0.25">
      <c r="A107" s="171"/>
      <c r="B107" s="171"/>
      <c r="C107" s="171"/>
      <c r="D107" s="171"/>
      <c r="E107" s="171"/>
      <c r="F107" s="171"/>
      <c r="G107" s="171"/>
      <c r="H107" s="171" t="s">
        <v>111</v>
      </c>
      <c r="I107" s="171"/>
      <c r="J107" s="176">
        <v>13375</v>
      </c>
      <c r="L107" s="206"/>
      <c r="M107" s="313"/>
      <c r="N107" s="171"/>
      <c r="O107" s="171"/>
      <c r="P107" s="171"/>
      <c r="Q107" s="171"/>
      <c r="R107" s="171"/>
      <c r="S107" s="171" t="s">
        <v>669</v>
      </c>
      <c r="T107" s="171"/>
      <c r="U107" s="176">
        <v>30000</v>
      </c>
    </row>
    <row r="108" spans="1:21" ht="15.75" thickBot="1" x14ac:dyDescent="0.3">
      <c r="A108" s="171"/>
      <c r="B108" s="171"/>
      <c r="C108" s="171"/>
      <c r="D108" s="171"/>
      <c r="E108" s="171"/>
      <c r="F108" s="171"/>
      <c r="G108" s="171"/>
      <c r="H108" s="171" t="s">
        <v>112</v>
      </c>
      <c r="I108" s="171"/>
      <c r="J108" s="176">
        <v>88769.2</v>
      </c>
      <c r="L108" s="206"/>
      <c r="M108" s="313"/>
      <c r="N108" s="171"/>
      <c r="O108" s="171"/>
      <c r="P108" s="171"/>
      <c r="Q108" s="171"/>
      <c r="R108" s="171"/>
      <c r="S108" s="171" t="s">
        <v>475</v>
      </c>
      <c r="T108" s="171"/>
      <c r="U108" s="220">
        <v>4025</v>
      </c>
    </row>
    <row r="109" spans="1:21" x14ac:dyDescent="0.25">
      <c r="A109" s="171"/>
      <c r="B109" s="171"/>
      <c r="C109" s="171"/>
      <c r="D109" s="171"/>
      <c r="E109" s="171"/>
      <c r="F109" s="171"/>
      <c r="G109" s="171"/>
      <c r="H109" s="171" t="s">
        <v>113</v>
      </c>
      <c r="I109" s="171"/>
      <c r="J109" s="176">
        <v>21279</v>
      </c>
      <c r="L109" s="206"/>
      <c r="M109" s="313"/>
      <c r="N109" s="171"/>
      <c r="O109" s="171"/>
      <c r="P109" s="171"/>
      <c r="Q109" s="171"/>
      <c r="R109" s="171" t="s">
        <v>108</v>
      </c>
      <c r="S109" s="171"/>
      <c r="T109" s="171"/>
      <c r="U109" s="176">
        <f>ROUND(SUM(U99:U108),5)</f>
        <v>511130.18</v>
      </c>
    </row>
    <row r="110" spans="1:21" x14ac:dyDescent="0.25">
      <c r="A110" s="171"/>
      <c r="B110" s="171"/>
      <c r="C110" s="171"/>
      <c r="D110" s="171"/>
      <c r="E110" s="171"/>
      <c r="F110" s="171"/>
      <c r="G110" s="171"/>
      <c r="H110" s="171" t="s">
        <v>532</v>
      </c>
      <c r="I110" s="171"/>
      <c r="J110" s="176">
        <v>89860</v>
      </c>
      <c r="L110" s="206"/>
      <c r="M110" s="313"/>
      <c r="N110" s="171"/>
      <c r="O110" s="171"/>
      <c r="P110" s="171"/>
      <c r="Q110" s="171"/>
      <c r="R110" s="171" t="s">
        <v>456</v>
      </c>
      <c r="S110" s="171"/>
      <c r="T110" s="171"/>
      <c r="U110" s="5"/>
    </row>
    <row r="111" spans="1:21" x14ac:dyDescent="0.25">
      <c r="A111" s="171"/>
      <c r="B111" s="171"/>
      <c r="C111" s="171"/>
      <c r="D111" s="171"/>
      <c r="E111" s="171"/>
      <c r="F111" s="171"/>
      <c r="G111" s="171"/>
      <c r="H111" s="171" t="s">
        <v>114</v>
      </c>
      <c r="I111" s="171"/>
      <c r="J111" s="176">
        <v>5449.37</v>
      </c>
      <c r="L111" s="206"/>
      <c r="M111" s="313"/>
      <c r="N111" s="171"/>
      <c r="O111" s="171"/>
      <c r="P111" s="171"/>
      <c r="Q111" s="171"/>
      <c r="R111" s="171"/>
      <c r="S111" s="171" t="s">
        <v>476</v>
      </c>
      <c r="T111" s="171"/>
      <c r="U111" s="222">
        <v>176394.69</v>
      </c>
    </row>
    <row r="112" spans="1:21" ht="15.75" thickBot="1" x14ac:dyDescent="0.3">
      <c r="A112" s="171"/>
      <c r="B112" s="171"/>
      <c r="C112" s="171"/>
      <c r="D112" s="171"/>
      <c r="E112" s="171"/>
      <c r="F112" s="171"/>
      <c r="G112" s="171"/>
      <c r="H112" s="171" t="s">
        <v>459</v>
      </c>
      <c r="I112" s="171"/>
      <c r="J112" s="176">
        <v>9639</v>
      </c>
      <c r="L112" s="206"/>
      <c r="M112" s="313"/>
      <c r="N112" s="171"/>
      <c r="O112" s="171"/>
      <c r="P112" s="171"/>
      <c r="Q112" s="171"/>
      <c r="R112" s="171"/>
      <c r="S112" s="171" t="s">
        <v>476</v>
      </c>
      <c r="T112" s="171"/>
      <c r="U112" s="8">
        <v>6307.87</v>
      </c>
    </row>
    <row r="113" spans="1:21" ht="15.75" thickBot="1" x14ac:dyDescent="0.3">
      <c r="A113" s="171"/>
      <c r="B113" s="171"/>
      <c r="C113" s="171"/>
      <c r="D113" s="171"/>
      <c r="E113" s="171"/>
      <c r="F113" s="171"/>
      <c r="G113" s="171"/>
      <c r="H113" s="171" t="s">
        <v>533</v>
      </c>
      <c r="I113" s="171"/>
      <c r="J113" s="176">
        <v>2233.7399999999998</v>
      </c>
      <c r="L113" s="206"/>
      <c r="M113" s="313"/>
      <c r="N113" s="171"/>
      <c r="O113" s="171"/>
      <c r="P113" s="171"/>
      <c r="Q113" s="171"/>
      <c r="R113" s="171" t="s">
        <v>458</v>
      </c>
      <c r="S113" s="171"/>
      <c r="T113" s="171"/>
      <c r="U113" s="10">
        <f>ROUND(SUM(U111:U112),5)</f>
        <v>182702.56</v>
      </c>
    </row>
    <row r="114" spans="1:21" x14ac:dyDescent="0.25">
      <c r="A114" s="171"/>
      <c r="B114" s="171"/>
      <c r="C114" s="171"/>
      <c r="D114" s="171"/>
      <c r="E114" s="171"/>
      <c r="F114" s="171"/>
      <c r="G114" s="171"/>
      <c r="H114" s="171" t="s">
        <v>115</v>
      </c>
      <c r="I114" s="171"/>
      <c r="J114" s="176">
        <v>25871</v>
      </c>
      <c r="L114" s="206"/>
      <c r="M114" s="313"/>
      <c r="N114" s="171"/>
      <c r="O114" s="171"/>
      <c r="P114" s="171"/>
      <c r="Q114" s="171" t="s">
        <v>191</v>
      </c>
      <c r="R114" s="171"/>
      <c r="S114" s="171"/>
      <c r="T114" s="171"/>
      <c r="U114" s="176">
        <f>ROUND(U58+U75+U84+U91+U98+U109+U113,5)</f>
        <v>1638795.16</v>
      </c>
    </row>
    <row r="115" spans="1:21" ht="15.75" thickBot="1" x14ac:dyDescent="0.3">
      <c r="A115" s="171"/>
      <c r="B115" s="171"/>
      <c r="C115" s="171"/>
      <c r="D115" s="171"/>
      <c r="E115" s="171"/>
      <c r="F115" s="171"/>
      <c r="G115" s="171"/>
      <c r="H115" s="171" t="s">
        <v>535</v>
      </c>
      <c r="I115" s="171"/>
      <c r="J115" s="220">
        <v>37236</v>
      </c>
      <c r="L115" s="206"/>
      <c r="M115" s="313"/>
      <c r="N115" s="171"/>
      <c r="O115" s="171"/>
      <c r="P115" s="171"/>
      <c r="Q115" s="171" t="s">
        <v>109</v>
      </c>
      <c r="R115" s="171"/>
      <c r="S115" s="171"/>
      <c r="T115" s="171"/>
      <c r="U115" s="176"/>
    </row>
    <row r="116" spans="1:21" x14ac:dyDescent="0.25">
      <c r="A116" s="171"/>
      <c r="B116" s="171"/>
      <c r="C116" s="171"/>
      <c r="D116" s="171"/>
      <c r="E116" s="171"/>
      <c r="F116" s="171"/>
      <c r="G116" s="171" t="s">
        <v>116</v>
      </c>
      <c r="H116" s="171"/>
      <c r="I116" s="171"/>
      <c r="J116" s="176">
        <f>ROUND(SUM(J106:J115),5)</f>
        <v>293712.31</v>
      </c>
      <c r="L116" s="206"/>
      <c r="M116" s="313"/>
      <c r="N116" s="171"/>
      <c r="O116" s="171"/>
      <c r="P116" s="171"/>
      <c r="Q116" s="171"/>
      <c r="R116" s="171" t="s">
        <v>110</v>
      </c>
      <c r="S116" s="171"/>
      <c r="T116" s="171"/>
      <c r="U116" s="176"/>
    </row>
    <row r="117" spans="1:21" ht="30" customHeight="1" x14ac:dyDescent="0.25">
      <c r="A117" s="171"/>
      <c r="B117" s="171"/>
      <c r="C117" s="171"/>
      <c r="D117" s="171"/>
      <c r="E117" s="171"/>
      <c r="F117" s="171"/>
      <c r="G117" s="171" t="s">
        <v>117</v>
      </c>
      <c r="H117" s="171"/>
      <c r="I117" s="171"/>
      <c r="J117" s="176"/>
      <c r="L117" s="206"/>
      <c r="M117" s="313"/>
      <c r="N117" s="171"/>
      <c r="O117" s="171"/>
      <c r="P117" s="171"/>
      <c r="Q117" s="171"/>
      <c r="R117" s="171"/>
      <c r="S117" s="171" t="s">
        <v>111</v>
      </c>
      <c r="T117" s="171"/>
      <c r="U117" s="176">
        <v>11000</v>
      </c>
    </row>
    <row r="118" spans="1:21" x14ac:dyDescent="0.25">
      <c r="A118" s="171"/>
      <c r="B118" s="171"/>
      <c r="C118" s="171"/>
      <c r="D118" s="171"/>
      <c r="E118" s="171"/>
      <c r="F118" s="171"/>
      <c r="G118" s="171"/>
      <c r="H118" s="171" t="s">
        <v>118</v>
      </c>
      <c r="I118" s="171"/>
      <c r="J118" s="176">
        <v>37500</v>
      </c>
      <c r="K118" s="170">
        <f>U131</f>
        <v>35000</v>
      </c>
      <c r="L118" s="206"/>
      <c r="M118" s="313"/>
      <c r="N118" s="171"/>
      <c r="O118" s="171"/>
      <c r="P118" s="171"/>
      <c r="Q118" s="171"/>
      <c r="R118" s="171"/>
      <c r="S118" s="171" t="s">
        <v>112</v>
      </c>
      <c r="T118" s="171"/>
      <c r="U118" s="176">
        <v>92413</v>
      </c>
    </row>
    <row r="119" spans="1:21" x14ac:dyDescent="0.25">
      <c r="A119" s="171"/>
      <c r="B119" s="171"/>
      <c r="C119" s="171"/>
      <c r="D119" s="171"/>
      <c r="E119" s="171"/>
      <c r="F119" s="171"/>
      <c r="G119" s="171"/>
      <c r="H119" s="171" t="s">
        <v>536</v>
      </c>
      <c r="I119" s="171"/>
      <c r="J119" s="176">
        <v>4500</v>
      </c>
      <c r="K119" s="170">
        <f t="shared" ref="K119:K122" si="4">U132</f>
        <v>4200</v>
      </c>
      <c r="L119" s="206"/>
      <c r="M119" s="313"/>
      <c r="N119" s="171"/>
      <c r="O119" s="171"/>
      <c r="P119" s="171"/>
      <c r="Q119" s="171"/>
      <c r="R119" s="171"/>
      <c r="S119" s="171" t="s">
        <v>481</v>
      </c>
      <c r="T119" s="171"/>
      <c r="U119" s="176">
        <v>12107.42</v>
      </c>
    </row>
    <row r="120" spans="1:21" x14ac:dyDescent="0.25">
      <c r="A120" s="171"/>
      <c r="B120" s="171"/>
      <c r="C120" s="171"/>
      <c r="D120" s="171"/>
      <c r="E120" s="171"/>
      <c r="F120" s="171"/>
      <c r="G120" s="171"/>
      <c r="H120" s="171" t="s">
        <v>537</v>
      </c>
      <c r="I120" s="171"/>
      <c r="J120" s="176">
        <v>1125</v>
      </c>
      <c r="K120" s="170">
        <f t="shared" si="4"/>
        <v>1050</v>
      </c>
      <c r="L120" s="206"/>
      <c r="M120" s="313"/>
      <c r="N120" s="171"/>
      <c r="O120" s="171"/>
      <c r="P120" s="171"/>
      <c r="Q120" s="171"/>
      <c r="R120" s="171"/>
      <c r="S120" s="171" t="s">
        <v>113</v>
      </c>
      <c r="T120" s="171"/>
      <c r="U120" s="176">
        <v>59919</v>
      </c>
    </row>
    <row r="121" spans="1:21" x14ac:dyDescent="0.25">
      <c r="A121" s="171"/>
      <c r="B121" s="171"/>
      <c r="C121" s="171"/>
      <c r="D121" s="171"/>
      <c r="E121" s="171"/>
      <c r="F121" s="171"/>
      <c r="G121" s="171"/>
      <c r="H121" s="171" t="s">
        <v>119</v>
      </c>
      <c r="I121" s="171"/>
      <c r="J121" s="176">
        <v>30000</v>
      </c>
      <c r="K121" s="170">
        <f t="shared" si="4"/>
        <v>30000</v>
      </c>
      <c r="L121" s="206"/>
      <c r="M121" s="313"/>
      <c r="N121" s="171"/>
      <c r="O121" s="171"/>
      <c r="P121" s="171"/>
      <c r="Q121" s="171"/>
      <c r="R121" s="171"/>
      <c r="S121" s="171" t="s">
        <v>532</v>
      </c>
      <c r="T121" s="171"/>
      <c r="U121" s="176">
        <v>63250</v>
      </c>
    </row>
    <row r="122" spans="1:21" ht="15.75" thickBot="1" x14ac:dyDescent="0.3">
      <c r="A122" s="171"/>
      <c r="B122" s="171"/>
      <c r="C122" s="171"/>
      <c r="D122" s="171"/>
      <c r="E122" s="171"/>
      <c r="F122" s="171"/>
      <c r="G122" s="171"/>
      <c r="H122" s="171" t="s">
        <v>647</v>
      </c>
      <c r="I122" s="171"/>
      <c r="J122" s="220">
        <v>3208.33</v>
      </c>
      <c r="K122" s="170">
        <f t="shared" si="4"/>
        <v>3208.33</v>
      </c>
      <c r="L122" s="206"/>
      <c r="M122" s="313"/>
      <c r="N122" s="171"/>
      <c r="O122" s="171"/>
      <c r="P122" s="171"/>
      <c r="Q122" s="171"/>
      <c r="R122" s="171"/>
      <c r="S122" s="171" t="s">
        <v>114</v>
      </c>
      <c r="T122" s="171"/>
      <c r="U122" s="176">
        <v>5980</v>
      </c>
    </row>
    <row r="123" spans="1:21" x14ac:dyDescent="0.25">
      <c r="A123" s="171"/>
      <c r="B123" s="171"/>
      <c r="C123" s="171"/>
      <c r="D123" s="171"/>
      <c r="E123" s="171"/>
      <c r="F123" s="171"/>
      <c r="G123" s="171" t="s">
        <v>120</v>
      </c>
      <c r="H123" s="171"/>
      <c r="I123" s="171"/>
      <c r="J123" s="176">
        <f>ROUND(SUM(J117:J122),5)</f>
        <v>76333.33</v>
      </c>
      <c r="L123" s="206"/>
      <c r="M123" s="313"/>
      <c r="N123" s="171"/>
      <c r="O123" s="171"/>
      <c r="P123" s="171"/>
      <c r="Q123" s="171"/>
      <c r="R123" s="171"/>
      <c r="S123" s="171" t="s">
        <v>459</v>
      </c>
      <c r="T123" s="171"/>
      <c r="U123" s="176">
        <v>9639</v>
      </c>
    </row>
    <row r="124" spans="1:21" ht="30" customHeight="1" x14ac:dyDescent="0.25">
      <c r="A124" s="171"/>
      <c r="B124" s="171"/>
      <c r="C124" s="171"/>
      <c r="D124" s="171"/>
      <c r="E124" s="171"/>
      <c r="F124" s="171"/>
      <c r="G124" s="171" t="s">
        <v>121</v>
      </c>
      <c r="H124" s="171"/>
      <c r="I124" s="171"/>
      <c r="J124" s="176"/>
      <c r="L124" s="206"/>
      <c r="M124" s="313"/>
      <c r="N124" s="171"/>
      <c r="O124" s="171"/>
      <c r="P124" s="171"/>
      <c r="Q124" s="171"/>
      <c r="R124" s="171"/>
      <c r="S124" s="171" t="s">
        <v>672</v>
      </c>
      <c r="T124" s="171"/>
      <c r="U124" s="176">
        <v>4000</v>
      </c>
    </row>
    <row r="125" spans="1:21" x14ac:dyDescent="0.25">
      <c r="A125" s="171"/>
      <c r="B125" s="171"/>
      <c r="C125" s="171"/>
      <c r="D125" s="171"/>
      <c r="E125" s="171"/>
      <c r="F125" s="171"/>
      <c r="G125" s="171"/>
      <c r="H125" s="171" t="s">
        <v>538</v>
      </c>
      <c r="I125" s="171"/>
      <c r="J125" s="176">
        <v>26590.98</v>
      </c>
      <c r="L125" s="206"/>
      <c r="M125" s="313"/>
      <c r="N125" s="171"/>
      <c r="O125" s="171"/>
      <c r="P125" s="171"/>
      <c r="Q125" s="171"/>
      <c r="R125" s="171"/>
      <c r="S125" s="171" t="s">
        <v>533</v>
      </c>
      <c r="T125" s="171"/>
      <c r="U125" s="176">
        <v>2233.7399999999998</v>
      </c>
    </row>
    <row r="126" spans="1:21" x14ac:dyDescent="0.25">
      <c r="A126" s="171"/>
      <c r="B126" s="171"/>
      <c r="C126" s="171"/>
      <c r="D126" s="171"/>
      <c r="E126" s="171"/>
      <c r="F126" s="171"/>
      <c r="G126" s="171"/>
      <c r="H126" s="171" t="s">
        <v>539</v>
      </c>
      <c r="I126" s="171"/>
      <c r="J126" s="176">
        <v>25336.29</v>
      </c>
      <c r="L126" s="206"/>
      <c r="M126" s="313"/>
      <c r="N126" s="171"/>
      <c r="O126" s="171"/>
      <c r="P126" s="171"/>
      <c r="Q126" s="171"/>
      <c r="R126" s="171"/>
      <c r="S126" s="171" t="s">
        <v>534</v>
      </c>
      <c r="T126" s="171"/>
      <c r="U126" s="176">
        <v>17500</v>
      </c>
    </row>
    <row r="127" spans="1:21" x14ac:dyDescent="0.25">
      <c r="A127" s="171"/>
      <c r="B127" s="171"/>
      <c r="C127" s="171"/>
      <c r="D127" s="171"/>
      <c r="E127" s="171"/>
      <c r="F127" s="171"/>
      <c r="G127" s="171"/>
      <c r="H127" s="171" t="s">
        <v>460</v>
      </c>
      <c r="I127" s="171"/>
      <c r="J127" s="176">
        <v>3433.89</v>
      </c>
      <c r="L127" s="206"/>
      <c r="M127" s="313"/>
      <c r="N127" s="171"/>
      <c r="O127" s="171"/>
      <c r="P127" s="171"/>
      <c r="Q127" s="171"/>
      <c r="R127" s="171"/>
      <c r="S127" s="171" t="s">
        <v>115</v>
      </c>
      <c r="T127" s="171"/>
      <c r="U127" s="176">
        <v>22149</v>
      </c>
    </row>
    <row r="128" spans="1:21" ht="15.75" thickBot="1" x14ac:dyDescent="0.3">
      <c r="A128" s="171"/>
      <c r="B128" s="171"/>
      <c r="C128" s="171"/>
      <c r="D128" s="171"/>
      <c r="E128" s="171"/>
      <c r="F128" s="171"/>
      <c r="G128" s="171"/>
      <c r="H128" s="171" t="s">
        <v>461</v>
      </c>
      <c r="I128" s="171"/>
      <c r="J128" s="220">
        <v>5500.01</v>
      </c>
      <c r="L128" s="206"/>
      <c r="M128" s="313"/>
      <c r="N128" s="171"/>
      <c r="O128" s="171"/>
      <c r="P128" s="171"/>
      <c r="Q128" s="171"/>
      <c r="R128" s="171"/>
      <c r="S128" s="171" t="s">
        <v>535</v>
      </c>
      <c r="T128" s="171"/>
      <c r="U128" s="220">
        <v>31430</v>
      </c>
    </row>
    <row r="129" spans="1:21" x14ac:dyDescent="0.25">
      <c r="A129" s="171"/>
      <c r="B129" s="171"/>
      <c r="C129" s="171"/>
      <c r="D129" s="171"/>
      <c r="E129" s="171"/>
      <c r="F129" s="171"/>
      <c r="G129" s="171" t="s">
        <v>122</v>
      </c>
      <c r="H129" s="171"/>
      <c r="I129" s="171"/>
      <c r="J129" s="176">
        <f>ROUND(SUM(J124:J128),5)</f>
        <v>60861.17</v>
      </c>
      <c r="L129" s="206"/>
      <c r="M129" s="313"/>
      <c r="N129" s="171"/>
      <c r="O129" s="171"/>
      <c r="P129" s="171"/>
      <c r="Q129" s="171"/>
      <c r="R129" s="171" t="s">
        <v>116</v>
      </c>
      <c r="S129" s="171"/>
      <c r="T129" s="171"/>
      <c r="U129" s="176">
        <f>ROUND(SUM(U116:U128),5)</f>
        <v>331621.15999999997</v>
      </c>
    </row>
    <row r="130" spans="1:21" ht="30" customHeight="1" x14ac:dyDescent="0.25">
      <c r="A130" s="171"/>
      <c r="B130" s="171"/>
      <c r="C130" s="171"/>
      <c r="D130" s="171"/>
      <c r="E130" s="171"/>
      <c r="F130" s="171"/>
      <c r="G130" s="171" t="s">
        <v>123</v>
      </c>
      <c r="H130" s="171"/>
      <c r="I130" s="171"/>
      <c r="J130" s="176"/>
      <c r="L130" s="206"/>
      <c r="M130" s="313"/>
      <c r="N130" s="171"/>
      <c r="O130" s="171"/>
      <c r="P130" s="171"/>
      <c r="Q130" s="171"/>
      <c r="R130" s="171" t="s">
        <v>117</v>
      </c>
      <c r="S130" s="171"/>
      <c r="T130" s="171"/>
      <c r="U130" s="176"/>
    </row>
    <row r="131" spans="1:21" x14ac:dyDescent="0.25">
      <c r="A131" s="171"/>
      <c r="B131" s="171"/>
      <c r="C131" s="171"/>
      <c r="D131" s="171"/>
      <c r="E131" s="171"/>
      <c r="F131" s="171"/>
      <c r="G131" s="171"/>
      <c r="H131" s="171" t="s">
        <v>540</v>
      </c>
      <c r="I131" s="171"/>
      <c r="J131" s="176">
        <v>200</v>
      </c>
      <c r="L131" s="206"/>
      <c r="M131" s="313"/>
      <c r="N131" s="171"/>
      <c r="O131" s="171"/>
      <c r="P131" s="171"/>
      <c r="Q131" s="171"/>
      <c r="R131" s="171"/>
      <c r="S131" s="171" t="s">
        <v>118</v>
      </c>
      <c r="T131" s="171"/>
      <c r="U131" s="176">
        <v>35000</v>
      </c>
    </row>
    <row r="132" spans="1:21" x14ac:dyDescent="0.25">
      <c r="A132" s="171"/>
      <c r="B132" s="171"/>
      <c r="C132" s="171"/>
      <c r="D132" s="171"/>
      <c r="E132" s="171"/>
      <c r="F132" s="171"/>
      <c r="G132" s="171"/>
      <c r="H132" s="171" t="s">
        <v>462</v>
      </c>
      <c r="I132" s="171"/>
      <c r="J132" s="176">
        <v>40</v>
      </c>
      <c r="L132" s="206"/>
      <c r="M132" s="313"/>
      <c r="N132" s="171"/>
      <c r="O132" s="171"/>
      <c r="P132" s="171"/>
      <c r="Q132" s="171"/>
      <c r="R132" s="171"/>
      <c r="S132" s="171" t="s">
        <v>536</v>
      </c>
      <c r="T132" s="171"/>
      <c r="U132" s="176">
        <v>4200</v>
      </c>
    </row>
    <row r="133" spans="1:21" x14ac:dyDescent="0.25">
      <c r="A133" s="171"/>
      <c r="B133" s="171"/>
      <c r="C133" s="171"/>
      <c r="D133" s="171"/>
      <c r="E133" s="171"/>
      <c r="F133" s="171"/>
      <c r="G133" s="171"/>
      <c r="H133" s="171" t="s">
        <v>463</v>
      </c>
      <c r="I133" s="171"/>
      <c r="J133" s="176">
        <v>4270.49</v>
      </c>
      <c r="L133" s="206"/>
      <c r="M133" s="313"/>
      <c r="N133" s="171"/>
      <c r="O133" s="171"/>
      <c r="P133" s="171"/>
      <c r="Q133" s="171"/>
      <c r="R133" s="171"/>
      <c r="S133" s="171" t="s">
        <v>537</v>
      </c>
      <c r="T133" s="171"/>
      <c r="U133" s="176">
        <v>1050</v>
      </c>
    </row>
    <row r="134" spans="1:21" ht="15.75" thickBot="1" x14ac:dyDescent="0.3">
      <c r="A134" s="171"/>
      <c r="B134" s="171"/>
      <c r="C134" s="171"/>
      <c r="D134" s="171"/>
      <c r="E134" s="171"/>
      <c r="F134" s="171"/>
      <c r="G134" s="171"/>
      <c r="H134" s="171" t="s">
        <v>124</v>
      </c>
      <c r="I134" s="171"/>
      <c r="J134" s="220">
        <v>0</v>
      </c>
      <c r="L134" s="206"/>
      <c r="M134" s="313"/>
      <c r="N134" s="171"/>
      <c r="O134" s="171"/>
      <c r="P134" s="171"/>
      <c r="Q134" s="171"/>
      <c r="R134" s="171"/>
      <c r="S134" s="171" t="s">
        <v>119</v>
      </c>
      <c r="T134" s="171"/>
      <c r="U134" s="176">
        <v>30000</v>
      </c>
    </row>
    <row r="135" spans="1:21" ht="15.75" thickBot="1" x14ac:dyDescent="0.3">
      <c r="A135" s="171"/>
      <c r="B135" s="171"/>
      <c r="C135" s="171"/>
      <c r="D135" s="171"/>
      <c r="E135" s="171"/>
      <c r="F135" s="171"/>
      <c r="G135" s="171" t="s">
        <v>125</v>
      </c>
      <c r="H135" s="171"/>
      <c r="I135" s="171"/>
      <c r="J135" s="176">
        <f>ROUND(SUM(J130:J134),5)</f>
        <v>4510.49</v>
      </c>
      <c r="L135" s="206"/>
      <c r="M135" s="313"/>
      <c r="N135" s="171"/>
      <c r="O135" s="171"/>
      <c r="P135" s="171"/>
      <c r="Q135" s="171"/>
      <c r="R135" s="171"/>
      <c r="S135" s="171" t="s">
        <v>647</v>
      </c>
      <c r="T135" s="171"/>
      <c r="U135" s="220">
        <v>3208.33</v>
      </c>
    </row>
    <row r="136" spans="1:21" ht="30" customHeight="1" x14ac:dyDescent="0.25">
      <c r="A136" s="171"/>
      <c r="B136" s="171"/>
      <c r="C136" s="171"/>
      <c r="D136" s="171"/>
      <c r="E136" s="171"/>
      <c r="F136" s="171"/>
      <c r="G136" s="171" t="s">
        <v>126</v>
      </c>
      <c r="H136" s="171"/>
      <c r="I136" s="171"/>
      <c r="J136" s="176"/>
      <c r="L136" s="206"/>
      <c r="M136" s="313"/>
      <c r="N136" s="171"/>
      <c r="O136" s="171"/>
      <c r="P136" s="171"/>
      <c r="Q136" s="171"/>
      <c r="R136" s="171" t="s">
        <v>120</v>
      </c>
      <c r="S136" s="171"/>
      <c r="T136" s="171"/>
      <c r="U136" s="176">
        <f>ROUND(SUM(U130:U135),5)</f>
        <v>73458.33</v>
      </c>
    </row>
    <row r="137" spans="1:21" x14ac:dyDescent="0.25">
      <c r="A137" s="171"/>
      <c r="B137" s="171"/>
      <c r="C137" s="171"/>
      <c r="D137" s="171"/>
      <c r="E137" s="171"/>
      <c r="F137" s="171"/>
      <c r="G137" s="171"/>
      <c r="H137" s="171" t="s">
        <v>127</v>
      </c>
      <c r="I137" s="171"/>
      <c r="J137" s="176">
        <v>5640</v>
      </c>
      <c r="L137" s="206"/>
      <c r="M137" s="313"/>
      <c r="N137" s="171"/>
      <c r="O137" s="171"/>
      <c r="P137" s="171"/>
      <c r="Q137" s="171"/>
      <c r="R137" s="171" t="s">
        <v>121</v>
      </c>
      <c r="S137" s="171"/>
      <c r="T137" s="171"/>
      <c r="U137" s="176"/>
    </row>
    <row r="138" spans="1:21" x14ac:dyDescent="0.25">
      <c r="A138" s="171"/>
      <c r="B138" s="171"/>
      <c r="C138" s="171"/>
      <c r="D138" s="171"/>
      <c r="E138" s="171"/>
      <c r="F138" s="171"/>
      <c r="G138" s="171"/>
      <c r="H138" s="171" t="s">
        <v>128</v>
      </c>
      <c r="I138" s="171"/>
      <c r="J138" s="176">
        <v>48067</v>
      </c>
      <c r="L138" s="206"/>
      <c r="M138" s="313"/>
      <c r="N138" s="171"/>
      <c r="O138" s="171"/>
      <c r="P138" s="171"/>
      <c r="Q138" s="171"/>
      <c r="R138" s="171"/>
      <c r="S138" s="171" t="s">
        <v>538</v>
      </c>
      <c r="T138" s="171"/>
      <c r="U138" s="176">
        <v>23262.23</v>
      </c>
    </row>
    <row r="139" spans="1:21" x14ac:dyDescent="0.25">
      <c r="A139" s="171"/>
      <c r="B139" s="171"/>
      <c r="C139" s="171"/>
      <c r="D139" s="171"/>
      <c r="E139" s="171"/>
      <c r="F139" s="171"/>
      <c r="G139" s="171"/>
      <c r="H139" s="171" t="s">
        <v>129</v>
      </c>
      <c r="I139" s="171"/>
      <c r="J139" s="176">
        <v>530</v>
      </c>
      <c r="L139" s="206"/>
      <c r="M139" s="313"/>
      <c r="N139" s="171"/>
      <c r="O139" s="171"/>
      <c r="P139" s="171"/>
      <c r="Q139" s="171"/>
      <c r="R139" s="171"/>
      <c r="S139" s="171" t="s">
        <v>539</v>
      </c>
      <c r="T139" s="171"/>
      <c r="U139" s="176">
        <v>15934.86</v>
      </c>
    </row>
    <row r="140" spans="1:21" x14ac:dyDescent="0.25">
      <c r="A140" s="171"/>
      <c r="B140" s="171"/>
      <c r="C140" s="171"/>
      <c r="D140" s="171"/>
      <c r="E140" s="171"/>
      <c r="F140" s="171"/>
      <c r="G140" s="171"/>
      <c r="H140" s="171" t="s">
        <v>542</v>
      </c>
      <c r="I140" s="171"/>
      <c r="J140" s="176">
        <v>46831.96</v>
      </c>
      <c r="L140" s="206"/>
      <c r="M140" s="313"/>
      <c r="N140" s="171"/>
      <c r="O140" s="171"/>
      <c r="P140" s="171"/>
      <c r="Q140" s="171"/>
      <c r="R140" s="171"/>
      <c r="S140" s="171" t="s">
        <v>460</v>
      </c>
      <c r="T140" s="171"/>
      <c r="U140" s="176">
        <v>3433.89</v>
      </c>
    </row>
    <row r="141" spans="1:21" ht="15.75" thickBot="1" x14ac:dyDescent="0.3">
      <c r="A141" s="171"/>
      <c r="B141" s="171"/>
      <c r="C141" s="171"/>
      <c r="D141" s="171"/>
      <c r="E141" s="171"/>
      <c r="F141" s="171"/>
      <c r="G141" s="171"/>
      <c r="H141" s="171" t="s">
        <v>543</v>
      </c>
      <c r="I141" s="171"/>
      <c r="J141" s="220">
        <v>54662.96</v>
      </c>
      <c r="L141" s="206"/>
      <c r="M141" s="313"/>
      <c r="N141" s="171"/>
      <c r="O141" s="171"/>
      <c r="P141" s="171"/>
      <c r="Q141" s="171"/>
      <c r="R141" s="171"/>
      <c r="S141" s="171" t="s">
        <v>461</v>
      </c>
      <c r="T141" s="171"/>
      <c r="U141" s="220">
        <v>5500.01</v>
      </c>
    </row>
    <row r="142" spans="1:21" x14ac:dyDescent="0.25">
      <c r="A142" s="171"/>
      <c r="B142" s="171"/>
      <c r="C142" s="171"/>
      <c r="D142" s="171"/>
      <c r="E142" s="171"/>
      <c r="F142" s="171"/>
      <c r="G142" s="171" t="s">
        <v>130</v>
      </c>
      <c r="H142" s="171"/>
      <c r="I142" s="171"/>
      <c r="J142" s="176">
        <f>ROUND(SUM(J136:J141),5)</f>
        <v>155731.92000000001</v>
      </c>
      <c r="L142" s="206"/>
      <c r="M142" s="313"/>
      <c r="N142" s="171"/>
      <c r="O142" s="171"/>
      <c r="P142" s="171"/>
      <c r="Q142" s="171"/>
      <c r="R142" s="171" t="s">
        <v>122</v>
      </c>
      <c r="S142" s="171"/>
      <c r="T142" s="171"/>
      <c r="U142" s="176">
        <f>ROUND(SUM(U137:U141),5)</f>
        <v>48130.99</v>
      </c>
    </row>
    <row r="143" spans="1:21" ht="30" customHeight="1" x14ac:dyDescent="0.25">
      <c r="A143" s="171"/>
      <c r="B143" s="171"/>
      <c r="C143" s="171"/>
      <c r="D143" s="171"/>
      <c r="E143" s="171"/>
      <c r="F143" s="171"/>
      <c r="G143" s="171" t="s">
        <v>131</v>
      </c>
      <c r="H143" s="171"/>
      <c r="I143" s="171"/>
      <c r="J143" s="176"/>
      <c r="L143" s="206"/>
      <c r="M143" s="313"/>
      <c r="N143" s="171"/>
      <c r="O143" s="171"/>
      <c r="P143" s="171"/>
      <c r="Q143" s="171"/>
      <c r="R143" s="171" t="s">
        <v>123</v>
      </c>
      <c r="S143" s="171"/>
      <c r="T143" s="171"/>
      <c r="U143" s="176"/>
    </row>
    <row r="144" spans="1:21" ht="15.75" thickBot="1" x14ac:dyDescent="0.3">
      <c r="A144" s="171"/>
      <c r="B144" s="171"/>
      <c r="C144" s="171"/>
      <c r="D144" s="171"/>
      <c r="E144" s="171"/>
      <c r="F144" s="171"/>
      <c r="G144" s="171"/>
      <c r="H144" s="171" t="s">
        <v>692</v>
      </c>
      <c r="I144" s="171"/>
      <c r="J144" s="220">
        <v>17388.84</v>
      </c>
      <c r="L144" s="206"/>
      <c r="M144" s="313"/>
      <c r="N144" s="171"/>
      <c r="O144" s="171"/>
      <c r="P144" s="171"/>
      <c r="Q144" s="171"/>
      <c r="R144" s="171"/>
      <c r="S144" s="171" t="s">
        <v>540</v>
      </c>
      <c r="T144" s="171"/>
      <c r="U144" s="176">
        <v>16500</v>
      </c>
    </row>
    <row r="145" spans="1:21" x14ac:dyDescent="0.25">
      <c r="A145" s="171"/>
      <c r="B145" s="171"/>
      <c r="C145" s="171"/>
      <c r="D145" s="171"/>
      <c r="E145" s="171"/>
      <c r="F145" s="171"/>
      <c r="G145" s="171" t="s">
        <v>133</v>
      </c>
      <c r="H145" s="171"/>
      <c r="I145" s="171"/>
      <c r="J145" s="176">
        <f>ROUND(SUM(J143:J144),5)</f>
        <v>17388.84</v>
      </c>
      <c r="L145" s="206"/>
      <c r="M145" s="313"/>
      <c r="N145" s="171"/>
      <c r="O145" s="171"/>
      <c r="P145" s="171"/>
      <c r="Q145" s="171"/>
      <c r="R145" s="171"/>
      <c r="S145" s="171" t="s">
        <v>462</v>
      </c>
      <c r="T145" s="171"/>
      <c r="U145" s="176">
        <v>28520</v>
      </c>
    </row>
    <row r="146" spans="1:21" ht="30" customHeight="1" thickBot="1" x14ac:dyDescent="0.3">
      <c r="A146" s="171"/>
      <c r="B146" s="171"/>
      <c r="C146" s="171"/>
      <c r="D146" s="171"/>
      <c r="E146" s="171"/>
      <c r="F146" s="171"/>
      <c r="G146" s="171" t="s">
        <v>681</v>
      </c>
      <c r="H146" s="171"/>
      <c r="I146" s="171"/>
      <c r="J146" s="220">
        <v>2370</v>
      </c>
      <c r="L146" s="206"/>
      <c r="M146" s="313"/>
      <c r="N146" s="171"/>
      <c r="O146" s="171"/>
      <c r="P146" s="171"/>
      <c r="Q146" s="171"/>
      <c r="R146" s="171"/>
      <c r="S146" s="171" t="s">
        <v>463</v>
      </c>
      <c r="T146" s="171"/>
      <c r="U146" s="176">
        <v>4270.49</v>
      </c>
    </row>
    <row r="147" spans="1:21" ht="15.75" thickBot="1" x14ac:dyDescent="0.3">
      <c r="A147" s="171"/>
      <c r="B147" s="171"/>
      <c r="C147" s="171"/>
      <c r="D147" s="171"/>
      <c r="E147" s="171"/>
      <c r="F147" s="171" t="s">
        <v>134</v>
      </c>
      <c r="G147" s="171"/>
      <c r="H147" s="171"/>
      <c r="I147" s="171"/>
      <c r="J147" s="176">
        <f>ROUND(J105+J116+J123+J129+J135+J142+SUM(J145:J146),5)</f>
        <v>610908.06000000006</v>
      </c>
      <c r="L147" s="206"/>
      <c r="M147" s="313"/>
      <c r="N147" s="171"/>
      <c r="O147" s="171"/>
      <c r="P147" s="171"/>
      <c r="Q147" s="171"/>
      <c r="R147" s="171"/>
      <c r="S147" s="171" t="s">
        <v>124</v>
      </c>
      <c r="T147" s="171"/>
      <c r="U147" s="220">
        <v>0</v>
      </c>
    </row>
    <row r="148" spans="1:21" ht="30" customHeight="1" x14ac:dyDescent="0.25">
      <c r="A148" s="171"/>
      <c r="B148" s="171"/>
      <c r="C148" s="171"/>
      <c r="D148" s="171"/>
      <c r="E148" s="171"/>
      <c r="F148" s="171" t="s">
        <v>135</v>
      </c>
      <c r="G148" s="171"/>
      <c r="H148" s="171"/>
      <c r="I148" s="171"/>
      <c r="J148" s="176"/>
      <c r="L148" s="206"/>
      <c r="M148" s="313"/>
      <c r="N148" s="171"/>
      <c r="O148" s="171"/>
      <c r="P148" s="171"/>
      <c r="Q148" s="171"/>
      <c r="R148" s="171" t="s">
        <v>125</v>
      </c>
      <c r="S148" s="171"/>
      <c r="T148" s="171"/>
      <c r="U148" s="176">
        <f>ROUND(SUM(U143:U147),5)</f>
        <v>49290.49</v>
      </c>
    </row>
    <row r="149" spans="1:21" x14ac:dyDescent="0.25">
      <c r="A149" s="171"/>
      <c r="B149" s="171"/>
      <c r="C149" s="171"/>
      <c r="D149" s="171"/>
      <c r="E149" s="171"/>
      <c r="F149" s="171"/>
      <c r="G149" s="171" t="s">
        <v>192</v>
      </c>
      <c r="H149" s="171"/>
      <c r="I149" s="171"/>
      <c r="J149" s="176"/>
      <c r="L149" s="206"/>
      <c r="M149" s="313"/>
      <c r="N149" s="171"/>
      <c r="O149" s="171"/>
      <c r="P149" s="171"/>
      <c r="Q149" s="171"/>
      <c r="R149" s="171" t="s">
        <v>126</v>
      </c>
      <c r="S149" s="171"/>
      <c r="T149" s="171"/>
      <c r="U149" s="176"/>
    </row>
    <row r="150" spans="1:21" x14ac:dyDescent="0.25">
      <c r="A150" s="171"/>
      <c r="B150" s="171"/>
      <c r="C150" s="171"/>
      <c r="D150" s="171"/>
      <c r="E150" s="171"/>
      <c r="F150" s="171"/>
      <c r="G150" s="171"/>
      <c r="H150" s="171" t="s">
        <v>193</v>
      </c>
      <c r="I150" s="171"/>
      <c r="J150" s="176">
        <v>500</v>
      </c>
      <c r="L150" s="206"/>
      <c r="M150" s="313"/>
      <c r="N150" s="171"/>
      <c r="O150" s="171"/>
      <c r="P150" s="171"/>
      <c r="Q150" s="171"/>
      <c r="R150" s="171"/>
      <c r="S150" s="171" t="s">
        <v>127</v>
      </c>
      <c r="T150" s="171"/>
      <c r="U150" s="176">
        <v>10305</v>
      </c>
    </row>
    <row r="151" spans="1:21" x14ac:dyDescent="0.25">
      <c r="A151" s="171"/>
      <c r="B151" s="171"/>
      <c r="C151" s="171"/>
      <c r="D151" s="171"/>
      <c r="E151" s="171"/>
      <c r="F151" s="171"/>
      <c r="G151" s="171"/>
      <c r="H151" s="171" t="s">
        <v>544</v>
      </c>
      <c r="I151" s="171"/>
      <c r="J151" s="176">
        <v>2680</v>
      </c>
      <c r="L151" s="206"/>
      <c r="M151" s="313"/>
      <c r="N151" s="171"/>
      <c r="O151" s="171"/>
      <c r="P151" s="171"/>
      <c r="Q151" s="171"/>
      <c r="R151" s="171"/>
      <c r="S151" s="171" t="s">
        <v>128</v>
      </c>
      <c r="T151" s="171"/>
      <c r="U151" s="176">
        <v>18920</v>
      </c>
    </row>
    <row r="152" spans="1:21" ht="15.75" thickBot="1" x14ac:dyDescent="0.3">
      <c r="A152" s="171"/>
      <c r="B152" s="171"/>
      <c r="C152" s="171"/>
      <c r="D152" s="171"/>
      <c r="E152" s="171"/>
      <c r="F152" s="171"/>
      <c r="G152" s="171"/>
      <c r="H152" s="171" t="s">
        <v>545</v>
      </c>
      <c r="I152" s="171"/>
      <c r="J152" s="220">
        <v>1200.1099999999999</v>
      </c>
      <c r="L152" s="206"/>
      <c r="M152" s="313"/>
      <c r="N152" s="171"/>
      <c r="O152" s="171"/>
      <c r="P152" s="171"/>
      <c r="Q152" s="171"/>
      <c r="R152" s="171"/>
      <c r="S152" s="171" t="s">
        <v>129</v>
      </c>
      <c r="T152" s="171"/>
      <c r="U152" s="176">
        <v>4663</v>
      </c>
    </row>
    <row r="153" spans="1:21" x14ac:dyDescent="0.25">
      <c r="A153" s="171"/>
      <c r="B153" s="171"/>
      <c r="C153" s="171"/>
      <c r="D153" s="171"/>
      <c r="E153" s="171"/>
      <c r="F153" s="171"/>
      <c r="G153" s="171" t="s">
        <v>194</v>
      </c>
      <c r="H153" s="171"/>
      <c r="I153" s="171"/>
      <c r="J153" s="176">
        <f>ROUND(SUM(J149:J152),5)</f>
        <v>4380.1099999999997</v>
      </c>
      <c r="L153" s="206"/>
      <c r="M153" s="313"/>
      <c r="N153" s="171"/>
      <c r="O153" s="171"/>
      <c r="P153" s="171"/>
      <c r="Q153" s="171"/>
      <c r="R153" s="171"/>
      <c r="S153" s="171" t="s">
        <v>541</v>
      </c>
      <c r="T153" s="171"/>
      <c r="U153" s="176">
        <v>4000</v>
      </c>
    </row>
    <row r="154" spans="1:21" ht="30" customHeight="1" x14ac:dyDescent="0.25">
      <c r="A154" s="171"/>
      <c r="B154" s="171"/>
      <c r="C154" s="171"/>
      <c r="D154" s="171"/>
      <c r="E154" s="171"/>
      <c r="F154" s="171"/>
      <c r="G154" s="171" t="s">
        <v>195</v>
      </c>
      <c r="H154" s="171"/>
      <c r="I154" s="171"/>
      <c r="J154" s="176"/>
      <c r="L154" s="206"/>
      <c r="M154" s="313"/>
      <c r="N154" s="171"/>
      <c r="O154" s="171"/>
      <c r="P154" s="171"/>
      <c r="Q154" s="171"/>
      <c r="R154" s="171"/>
      <c r="S154" s="171" t="s">
        <v>542</v>
      </c>
      <c r="T154" s="171"/>
      <c r="U154" s="176">
        <v>46831.96</v>
      </c>
    </row>
    <row r="155" spans="1:21" ht="15.75" thickBot="1" x14ac:dyDescent="0.3">
      <c r="A155" s="171"/>
      <c r="B155" s="171"/>
      <c r="C155" s="171"/>
      <c r="D155" s="171"/>
      <c r="E155" s="171"/>
      <c r="F155" s="171"/>
      <c r="G155" s="171"/>
      <c r="H155" s="171" t="s">
        <v>136</v>
      </c>
      <c r="I155" s="171"/>
      <c r="J155" s="176">
        <v>1865</v>
      </c>
      <c r="L155" s="206"/>
      <c r="M155" s="313"/>
      <c r="N155" s="171"/>
      <c r="O155" s="171"/>
      <c r="P155" s="171"/>
      <c r="Q155" s="171"/>
      <c r="R155" s="171"/>
      <c r="S155" s="171" t="s">
        <v>543</v>
      </c>
      <c r="T155" s="171"/>
      <c r="U155" s="220">
        <v>53882.96</v>
      </c>
    </row>
    <row r="156" spans="1:21" x14ac:dyDescent="0.25">
      <c r="A156" s="171"/>
      <c r="B156" s="171"/>
      <c r="C156" s="171"/>
      <c r="D156" s="171"/>
      <c r="E156" s="171"/>
      <c r="F156" s="171"/>
      <c r="G156" s="171"/>
      <c r="H156" s="171" t="s">
        <v>137</v>
      </c>
      <c r="I156" s="171"/>
      <c r="J156" s="176">
        <v>55059</v>
      </c>
      <c r="L156" s="206"/>
      <c r="M156" s="313"/>
      <c r="N156" s="171"/>
      <c r="O156" s="171"/>
      <c r="P156" s="171"/>
      <c r="Q156" s="171"/>
      <c r="R156" s="171" t="s">
        <v>130</v>
      </c>
      <c r="S156" s="171"/>
      <c r="T156" s="171"/>
      <c r="U156" s="176">
        <f>ROUND(SUM(U149:U155),5)</f>
        <v>138602.92000000001</v>
      </c>
    </row>
    <row r="157" spans="1:21" ht="15.75" thickBot="1" x14ac:dyDescent="0.3">
      <c r="A157" s="171"/>
      <c r="B157" s="171"/>
      <c r="C157" s="171"/>
      <c r="D157" s="171"/>
      <c r="E157" s="171"/>
      <c r="F157" s="171"/>
      <c r="G157" s="171"/>
      <c r="H157" s="171" t="s">
        <v>548</v>
      </c>
      <c r="I157" s="171"/>
      <c r="J157" s="8">
        <v>9452.4</v>
      </c>
      <c r="L157" s="206"/>
      <c r="M157" s="313"/>
      <c r="N157" s="171"/>
      <c r="O157" s="171"/>
      <c r="P157" s="171"/>
      <c r="Q157" s="171"/>
      <c r="R157" s="171" t="s">
        <v>681</v>
      </c>
      <c r="S157" s="171"/>
      <c r="T157" s="171"/>
      <c r="U157" s="220">
        <v>1410</v>
      </c>
    </row>
    <row r="158" spans="1:21" ht="15.75" thickBot="1" x14ac:dyDescent="0.3">
      <c r="A158" s="171"/>
      <c r="B158" s="171"/>
      <c r="C158" s="171"/>
      <c r="D158" s="171"/>
      <c r="E158" s="171"/>
      <c r="F158" s="171"/>
      <c r="G158" s="171" t="s">
        <v>196</v>
      </c>
      <c r="H158" s="171"/>
      <c r="I158" s="171"/>
      <c r="J158" s="10">
        <f>ROUND(SUM(J154:J157),5)</f>
        <v>66376.399999999994</v>
      </c>
      <c r="L158" s="206"/>
      <c r="M158" s="313"/>
      <c r="N158" s="171"/>
      <c r="O158" s="171"/>
      <c r="P158" s="171"/>
      <c r="Q158" s="171" t="s">
        <v>134</v>
      </c>
      <c r="R158" s="171"/>
      <c r="S158" s="171"/>
      <c r="T158" s="171"/>
      <c r="U158" s="176">
        <f>ROUND(U115+U129+U136+U142+U148+SUM(U156:U157),5)</f>
        <v>642513.89</v>
      </c>
    </row>
    <row r="159" spans="1:21" ht="30" customHeight="1" x14ac:dyDescent="0.25">
      <c r="A159" s="171"/>
      <c r="B159" s="171"/>
      <c r="C159" s="171"/>
      <c r="D159" s="171"/>
      <c r="E159" s="171"/>
      <c r="F159" s="171" t="s">
        <v>138</v>
      </c>
      <c r="G159" s="171"/>
      <c r="H159" s="171"/>
      <c r="I159" s="171"/>
      <c r="J159" s="176">
        <f>ROUND(J148+J153+J158,5)</f>
        <v>70756.509999999995</v>
      </c>
      <c r="L159" s="206"/>
      <c r="M159" s="313"/>
      <c r="N159" s="171"/>
      <c r="O159" s="171"/>
      <c r="P159" s="171"/>
      <c r="Q159" s="171" t="s">
        <v>135</v>
      </c>
      <c r="R159" s="171"/>
      <c r="S159" s="171"/>
      <c r="T159" s="171"/>
      <c r="U159" s="176"/>
    </row>
    <row r="160" spans="1:21" ht="30" customHeight="1" x14ac:dyDescent="0.25">
      <c r="A160" s="171"/>
      <c r="B160" s="171"/>
      <c r="C160" s="171"/>
      <c r="D160" s="171"/>
      <c r="E160" s="171"/>
      <c r="F160" s="171" t="s">
        <v>206</v>
      </c>
      <c r="G160" s="171"/>
      <c r="H160" s="171"/>
      <c r="I160" s="171"/>
      <c r="J160" s="176"/>
      <c r="L160" s="206"/>
      <c r="M160" s="313"/>
      <c r="N160" s="171"/>
      <c r="O160" s="171"/>
      <c r="P160" s="171"/>
      <c r="Q160" s="171"/>
      <c r="R160" s="171" t="s">
        <v>192</v>
      </c>
      <c r="S160" s="171"/>
      <c r="T160" s="171"/>
      <c r="U160" s="176"/>
    </row>
    <row r="161" spans="1:21" x14ac:dyDescent="0.25">
      <c r="A161" s="171"/>
      <c r="B161" s="171"/>
      <c r="C161" s="171"/>
      <c r="D161" s="171"/>
      <c r="E161" s="171"/>
      <c r="F161" s="171"/>
      <c r="G161" s="171" t="s">
        <v>184</v>
      </c>
      <c r="H161" s="171"/>
      <c r="I161" s="171"/>
      <c r="J161" s="176"/>
      <c r="L161" s="206"/>
      <c r="M161" s="313"/>
      <c r="N161" s="171"/>
      <c r="O161" s="171"/>
      <c r="P161" s="171"/>
      <c r="Q161" s="171"/>
      <c r="R161" s="171"/>
      <c r="S161" s="171" t="s">
        <v>544</v>
      </c>
      <c r="T161" s="171"/>
      <c r="U161" s="176">
        <v>1600</v>
      </c>
    </row>
    <row r="162" spans="1:21" ht="15.75" thickBot="1" x14ac:dyDescent="0.3">
      <c r="A162" s="171"/>
      <c r="B162" s="171"/>
      <c r="C162" s="171"/>
      <c r="D162" s="171"/>
      <c r="E162" s="171"/>
      <c r="F162" s="171"/>
      <c r="G162" s="171"/>
      <c r="H162" s="171" t="s">
        <v>464</v>
      </c>
      <c r="I162" s="171"/>
      <c r="J162" s="176">
        <v>56202</v>
      </c>
      <c r="L162" s="206"/>
      <c r="M162" s="313"/>
      <c r="N162" s="171"/>
      <c r="O162" s="171"/>
      <c r="P162" s="171"/>
      <c r="Q162" s="171"/>
      <c r="R162" s="171"/>
      <c r="S162" s="171" t="s">
        <v>545</v>
      </c>
      <c r="T162" s="171"/>
      <c r="U162" s="220">
        <v>3208.02</v>
      </c>
    </row>
    <row r="163" spans="1:21" x14ac:dyDescent="0.25">
      <c r="A163" s="171"/>
      <c r="B163" s="171"/>
      <c r="C163" s="171"/>
      <c r="D163" s="171"/>
      <c r="E163" s="171"/>
      <c r="F163" s="171"/>
      <c r="G163" s="171"/>
      <c r="H163" s="171" t="s">
        <v>185</v>
      </c>
      <c r="I163" s="171"/>
      <c r="J163" s="176"/>
      <c r="L163" s="206"/>
      <c r="M163" s="313"/>
      <c r="N163" s="171"/>
      <c r="O163" s="171"/>
      <c r="P163" s="171"/>
      <c r="Q163" s="171"/>
      <c r="R163" s="171" t="s">
        <v>194</v>
      </c>
      <c r="S163" s="171"/>
      <c r="T163" s="171"/>
      <c r="U163" s="176">
        <f>ROUND(SUM(U160:U162),5)</f>
        <v>4808.0200000000004</v>
      </c>
    </row>
    <row r="164" spans="1:21" x14ac:dyDescent="0.25">
      <c r="A164" s="171"/>
      <c r="B164" s="171"/>
      <c r="C164" s="171"/>
      <c r="D164" s="171"/>
      <c r="E164" s="171"/>
      <c r="F164" s="171"/>
      <c r="G164" s="171"/>
      <c r="H164" s="171"/>
      <c r="I164" s="171" t="s">
        <v>262</v>
      </c>
      <c r="J164" s="176">
        <v>32578</v>
      </c>
      <c r="L164" s="206"/>
      <c r="M164" s="313"/>
      <c r="N164" s="171"/>
      <c r="O164" s="171"/>
      <c r="P164" s="171"/>
      <c r="Q164" s="171"/>
      <c r="R164" s="171" t="s">
        <v>195</v>
      </c>
      <c r="S164" s="171"/>
      <c r="T164" s="171"/>
      <c r="U164" s="176"/>
    </row>
    <row r="165" spans="1:21" ht="15.75" thickBot="1" x14ac:dyDescent="0.3">
      <c r="A165" s="171"/>
      <c r="B165" s="171"/>
      <c r="C165" s="171"/>
      <c r="D165" s="171"/>
      <c r="E165" s="171"/>
      <c r="F165" s="171"/>
      <c r="G165" s="171"/>
      <c r="H165" s="171"/>
      <c r="I165" s="171" t="s">
        <v>552</v>
      </c>
      <c r="J165" s="220">
        <v>190</v>
      </c>
      <c r="L165" s="206"/>
      <c r="M165" s="313"/>
      <c r="N165" s="171"/>
      <c r="O165" s="171"/>
      <c r="P165" s="171"/>
      <c r="Q165" s="171"/>
      <c r="R165" s="171"/>
      <c r="S165" s="171" t="s">
        <v>136</v>
      </c>
      <c r="T165" s="171"/>
      <c r="U165" s="176">
        <v>2600</v>
      </c>
    </row>
    <row r="166" spans="1:21" x14ac:dyDescent="0.25">
      <c r="A166" s="171"/>
      <c r="B166" s="171"/>
      <c r="C166" s="171"/>
      <c r="D166" s="171"/>
      <c r="E166" s="171"/>
      <c r="F166" s="171"/>
      <c r="G166" s="171"/>
      <c r="H166" s="171" t="s">
        <v>263</v>
      </c>
      <c r="I166" s="171"/>
      <c r="J166" s="176">
        <f>ROUND(SUM(J163:J165),5)</f>
        <v>32768</v>
      </c>
      <c r="L166" s="206"/>
      <c r="M166" s="313"/>
      <c r="N166" s="171"/>
      <c r="O166" s="171"/>
      <c r="P166" s="171"/>
      <c r="Q166" s="171"/>
      <c r="R166" s="171"/>
      <c r="S166" s="171" t="s">
        <v>137</v>
      </c>
      <c r="T166" s="171"/>
      <c r="U166" s="176">
        <v>55059</v>
      </c>
    </row>
    <row r="167" spans="1:21" ht="30" customHeight="1" thickBot="1" x14ac:dyDescent="0.3">
      <c r="A167" s="171"/>
      <c r="B167" s="171"/>
      <c r="C167" s="171"/>
      <c r="D167" s="171"/>
      <c r="E167" s="171"/>
      <c r="F167" s="171"/>
      <c r="G167" s="171"/>
      <c r="H167" s="171" t="s">
        <v>553</v>
      </c>
      <c r="I167" s="171"/>
      <c r="J167" s="220">
        <v>4726.04</v>
      </c>
      <c r="L167" s="206"/>
      <c r="M167" s="313"/>
      <c r="N167" s="171"/>
      <c r="O167" s="171"/>
      <c r="P167" s="171"/>
      <c r="Q167" s="171"/>
      <c r="R167" s="171"/>
      <c r="S167" s="171" t="s">
        <v>548</v>
      </c>
      <c r="T167" s="171"/>
      <c r="U167" s="8">
        <v>9452.4</v>
      </c>
    </row>
    <row r="168" spans="1:21" ht="15.75" thickBot="1" x14ac:dyDescent="0.3">
      <c r="A168" s="171"/>
      <c r="B168" s="171"/>
      <c r="C168" s="171"/>
      <c r="D168" s="171"/>
      <c r="E168" s="171"/>
      <c r="F168" s="171"/>
      <c r="G168" s="171" t="s">
        <v>186</v>
      </c>
      <c r="H168" s="171"/>
      <c r="I168" s="171"/>
      <c r="J168" s="176">
        <f>ROUND(SUM(J161:J162)+SUM(J166:J167),5)</f>
        <v>93696.04</v>
      </c>
      <c r="L168" s="206"/>
      <c r="M168" s="313"/>
      <c r="N168" s="171"/>
      <c r="O168" s="171"/>
      <c r="P168" s="171"/>
      <c r="Q168" s="171"/>
      <c r="R168" s="171" t="s">
        <v>196</v>
      </c>
      <c r="S168" s="171"/>
      <c r="T168" s="171"/>
      <c r="U168" s="10">
        <f>ROUND(SUM(U164:U167),5)</f>
        <v>67111.399999999994</v>
      </c>
    </row>
    <row r="169" spans="1:21" ht="30" customHeight="1" x14ac:dyDescent="0.25">
      <c r="A169" s="171"/>
      <c r="B169" s="171"/>
      <c r="C169" s="171"/>
      <c r="D169" s="171"/>
      <c r="E169" s="171"/>
      <c r="F169" s="171"/>
      <c r="G169" s="171" t="s">
        <v>207</v>
      </c>
      <c r="H169" s="171"/>
      <c r="I169" s="171"/>
      <c r="J169" s="176"/>
      <c r="L169" s="206"/>
      <c r="M169" s="313"/>
      <c r="N169" s="171"/>
      <c r="O169" s="171"/>
      <c r="P169" s="171"/>
      <c r="Q169" s="171" t="s">
        <v>138</v>
      </c>
      <c r="R169" s="171"/>
      <c r="S169" s="171"/>
      <c r="T169" s="171"/>
      <c r="U169" s="176">
        <f>ROUND(U159+U163+U168,5)</f>
        <v>71919.42</v>
      </c>
    </row>
    <row r="170" spans="1:21" x14ac:dyDescent="0.25">
      <c r="A170" s="171"/>
      <c r="B170" s="171"/>
      <c r="C170" s="171"/>
      <c r="D170" s="171"/>
      <c r="E170" s="171"/>
      <c r="F170" s="171"/>
      <c r="G170" s="171"/>
      <c r="H170" s="171" t="s">
        <v>211</v>
      </c>
      <c r="I170" s="171"/>
      <c r="J170" s="176">
        <v>50000</v>
      </c>
      <c r="K170" s="170">
        <f>U180</f>
        <v>50000</v>
      </c>
      <c r="L170" s="206"/>
      <c r="M170" s="313"/>
      <c r="N170" s="171"/>
      <c r="O170" s="171"/>
      <c r="P170" s="171"/>
      <c r="Q170" s="171" t="s">
        <v>206</v>
      </c>
      <c r="R170" s="171"/>
      <c r="S170" s="171"/>
      <c r="T170" s="171"/>
      <c r="U170" s="176"/>
    </row>
    <row r="171" spans="1:21" x14ac:dyDescent="0.25">
      <c r="A171" s="171"/>
      <c r="B171" s="171"/>
      <c r="C171" s="171"/>
      <c r="D171" s="171"/>
      <c r="E171" s="171"/>
      <c r="F171" s="171"/>
      <c r="G171" s="171"/>
      <c r="H171" s="171" t="s">
        <v>554</v>
      </c>
      <c r="I171" s="171"/>
      <c r="J171" s="176">
        <v>4800</v>
      </c>
      <c r="K171" s="170">
        <f t="shared" ref="K171:K173" si="5">U181</f>
        <v>4800</v>
      </c>
      <c r="L171" s="206"/>
      <c r="M171" s="313"/>
      <c r="N171" s="171"/>
      <c r="O171" s="171"/>
      <c r="P171" s="171"/>
      <c r="Q171" s="171"/>
      <c r="R171" s="171" t="s">
        <v>184</v>
      </c>
      <c r="S171" s="171"/>
      <c r="T171" s="171"/>
      <c r="U171" s="176"/>
    </row>
    <row r="172" spans="1:21" x14ac:dyDescent="0.25">
      <c r="A172" s="171"/>
      <c r="B172" s="171"/>
      <c r="C172" s="171"/>
      <c r="D172" s="171"/>
      <c r="E172" s="171"/>
      <c r="F172" s="171"/>
      <c r="G172" s="171"/>
      <c r="H172" s="171" t="s">
        <v>555</v>
      </c>
      <c r="I172" s="171"/>
      <c r="J172" s="176">
        <v>1200</v>
      </c>
      <c r="K172" s="170">
        <f t="shared" si="5"/>
        <v>1200</v>
      </c>
      <c r="L172" s="206"/>
      <c r="M172" s="313"/>
      <c r="N172" s="171"/>
      <c r="O172" s="171"/>
      <c r="P172" s="171"/>
      <c r="Q172" s="171"/>
      <c r="R172" s="171"/>
      <c r="S172" s="171" t="s">
        <v>464</v>
      </c>
      <c r="T172" s="171"/>
      <c r="U172" s="176">
        <v>56202</v>
      </c>
    </row>
    <row r="173" spans="1:21" ht="15.75" thickBot="1" x14ac:dyDescent="0.3">
      <c r="A173" s="171"/>
      <c r="B173" s="171"/>
      <c r="C173" s="171"/>
      <c r="D173" s="171"/>
      <c r="E173" s="171"/>
      <c r="F173" s="171"/>
      <c r="G173" s="171"/>
      <c r="H173" s="171" t="s">
        <v>648</v>
      </c>
      <c r="I173" s="171"/>
      <c r="J173" s="220">
        <v>3666.67</v>
      </c>
      <c r="K173" s="170">
        <f t="shared" si="5"/>
        <v>3666.67</v>
      </c>
      <c r="L173" s="206"/>
      <c r="M173" s="313"/>
      <c r="N173" s="171"/>
      <c r="O173" s="171"/>
      <c r="P173" s="171"/>
      <c r="Q173" s="171"/>
      <c r="R173" s="171"/>
      <c r="S173" s="171" t="s">
        <v>185</v>
      </c>
      <c r="T173" s="171"/>
      <c r="U173" s="176"/>
    </row>
    <row r="174" spans="1:21" x14ac:dyDescent="0.25">
      <c r="A174" s="171"/>
      <c r="B174" s="171"/>
      <c r="C174" s="171"/>
      <c r="D174" s="171"/>
      <c r="E174" s="171"/>
      <c r="F174" s="171"/>
      <c r="G174" s="171" t="s">
        <v>208</v>
      </c>
      <c r="H174" s="171"/>
      <c r="I174" s="171"/>
      <c r="J174" s="176">
        <f>ROUND(SUM(J169:J173),5)</f>
        <v>59666.67</v>
      </c>
      <c r="L174" s="206"/>
      <c r="M174" s="313"/>
      <c r="N174" s="171"/>
      <c r="O174" s="171"/>
      <c r="P174" s="171"/>
      <c r="Q174" s="171"/>
      <c r="R174" s="171"/>
      <c r="S174" s="171"/>
      <c r="T174" s="171" t="s">
        <v>262</v>
      </c>
      <c r="U174" s="176">
        <v>29815</v>
      </c>
    </row>
    <row r="175" spans="1:21" ht="30" customHeight="1" thickBot="1" x14ac:dyDescent="0.3">
      <c r="A175" s="171"/>
      <c r="B175" s="171"/>
      <c r="C175" s="171"/>
      <c r="D175" s="171"/>
      <c r="E175" s="171"/>
      <c r="F175" s="171"/>
      <c r="G175" s="171" t="s">
        <v>187</v>
      </c>
      <c r="H175" s="171"/>
      <c r="I175" s="171"/>
      <c r="J175" s="176"/>
      <c r="L175" s="206"/>
      <c r="M175" s="313"/>
      <c r="N175" s="171"/>
      <c r="O175" s="171"/>
      <c r="P175" s="171"/>
      <c r="Q175" s="171"/>
      <c r="R175" s="171"/>
      <c r="S175" s="171"/>
      <c r="T175" s="171" t="s">
        <v>552</v>
      </c>
      <c r="U175" s="220">
        <v>565</v>
      </c>
    </row>
    <row r="176" spans="1:21" x14ac:dyDescent="0.25">
      <c r="A176" s="171"/>
      <c r="B176" s="171"/>
      <c r="C176" s="171"/>
      <c r="D176" s="171"/>
      <c r="E176" s="171"/>
      <c r="F176" s="171"/>
      <c r="G176" s="171"/>
      <c r="H176" s="171" t="s">
        <v>556</v>
      </c>
      <c r="I176" s="171"/>
      <c r="J176" s="176">
        <v>1195</v>
      </c>
      <c r="L176" s="206"/>
      <c r="M176" s="313"/>
      <c r="N176" s="171"/>
      <c r="O176" s="171"/>
      <c r="P176" s="171"/>
      <c r="Q176" s="171"/>
      <c r="R176" s="171"/>
      <c r="S176" s="171" t="s">
        <v>263</v>
      </c>
      <c r="T176" s="171"/>
      <c r="U176" s="176">
        <f>ROUND(SUM(U173:U175),5)</f>
        <v>30380</v>
      </c>
    </row>
    <row r="177" spans="1:21" ht="15.75" thickBot="1" x14ac:dyDescent="0.3">
      <c r="A177" s="171"/>
      <c r="B177" s="171"/>
      <c r="C177" s="171"/>
      <c r="D177" s="171"/>
      <c r="E177" s="171"/>
      <c r="F177" s="171"/>
      <c r="G177" s="171"/>
      <c r="H177" s="171" t="s">
        <v>209</v>
      </c>
      <c r="I177" s="171"/>
      <c r="J177" s="8">
        <v>45000</v>
      </c>
      <c r="L177" s="206"/>
      <c r="M177" s="313"/>
      <c r="N177" s="171"/>
      <c r="O177" s="171"/>
      <c r="P177" s="171"/>
      <c r="Q177" s="171"/>
      <c r="R177" s="171"/>
      <c r="S177" s="171" t="s">
        <v>553</v>
      </c>
      <c r="T177" s="171"/>
      <c r="U177" s="220">
        <v>4223.2</v>
      </c>
    </row>
    <row r="178" spans="1:21" ht="15.75" thickBot="1" x14ac:dyDescent="0.3">
      <c r="A178" s="171"/>
      <c r="B178" s="171"/>
      <c r="C178" s="171"/>
      <c r="D178" s="171"/>
      <c r="E178" s="171"/>
      <c r="F178" s="171"/>
      <c r="G178" s="171" t="s">
        <v>188</v>
      </c>
      <c r="H178" s="171"/>
      <c r="I178" s="171"/>
      <c r="J178" s="10">
        <f>ROUND(SUM(J175:J177),5)</f>
        <v>46195</v>
      </c>
      <c r="L178" s="206"/>
      <c r="M178" s="313"/>
      <c r="N178" s="171"/>
      <c r="O178" s="171"/>
      <c r="P178" s="171"/>
      <c r="Q178" s="171"/>
      <c r="R178" s="171" t="s">
        <v>186</v>
      </c>
      <c r="S178" s="171"/>
      <c r="T178" s="171"/>
      <c r="U178" s="176">
        <f>ROUND(SUM(U171:U172)+SUM(U176:U177),5)</f>
        <v>90805.2</v>
      </c>
    </row>
    <row r="179" spans="1:21" ht="30" customHeight="1" x14ac:dyDescent="0.25">
      <c r="A179" s="171"/>
      <c r="B179" s="171"/>
      <c r="C179" s="171"/>
      <c r="D179" s="171"/>
      <c r="E179" s="171"/>
      <c r="F179" s="171" t="s">
        <v>210</v>
      </c>
      <c r="G179" s="171"/>
      <c r="H179" s="171"/>
      <c r="I179" s="171"/>
      <c r="J179" s="176">
        <f>ROUND(J160+J168+J174+J178,5)</f>
        <v>199557.71</v>
      </c>
      <c r="L179" s="206"/>
      <c r="M179" s="313"/>
      <c r="N179" s="171"/>
      <c r="O179" s="171"/>
      <c r="P179" s="171"/>
      <c r="Q179" s="171"/>
      <c r="R179" s="171" t="s">
        <v>207</v>
      </c>
      <c r="S179" s="171"/>
      <c r="T179" s="171"/>
      <c r="U179" s="176"/>
    </row>
    <row r="180" spans="1:21" ht="30" customHeight="1" x14ac:dyDescent="0.25">
      <c r="A180" s="171"/>
      <c r="B180" s="171"/>
      <c r="C180" s="171"/>
      <c r="D180" s="171"/>
      <c r="E180" s="171"/>
      <c r="F180" s="171" t="s">
        <v>465</v>
      </c>
      <c r="G180" s="171"/>
      <c r="H180" s="171"/>
      <c r="I180" s="171"/>
      <c r="J180" s="176"/>
      <c r="L180" s="206"/>
      <c r="M180" s="313"/>
      <c r="N180" s="171"/>
      <c r="O180" s="171"/>
      <c r="P180" s="171"/>
      <c r="Q180" s="171"/>
      <c r="R180" s="171"/>
      <c r="S180" s="171" t="s">
        <v>211</v>
      </c>
      <c r="T180" s="171"/>
      <c r="U180" s="176">
        <v>50000</v>
      </c>
    </row>
    <row r="181" spans="1:21" x14ac:dyDescent="0.25">
      <c r="A181" s="171"/>
      <c r="B181" s="171"/>
      <c r="C181" s="171"/>
      <c r="D181" s="171"/>
      <c r="E181" s="171"/>
      <c r="F181" s="171"/>
      <c r="G181" s="171" t="s">
        <v>673</v>
      </c>
      <c r="H181" s="171"/>
      <c r="I181" s="171"/>
      <c r="J181" s="176">
        <v>17500</v>
      </c>
      <c r="L181" s="206"/>
      <c r="M181" s="313"/>
      <c r="N181" s="171"/>
      <c r="O181" s="171"/>
      <c r="P181" s="171"/>
      <c r="Q181" s="171"/>
      <c r="R181" s="171"/>
      <c r="S181" s="171" t="s">
        <v>554</v>
      </c>
      <c r="T181" s="171"/>
      <c r="U181" s="176">
        <v>4800</v>
      </c>
    </row>
    <row r="182" spans="1:21" x14ac:dyDescent="0.25">
      <c r="A182" s="171"/>
      <c r="B182" s="171"/>
      <c r="C182" s="171"/>
      <c r="D182" s="171"/>
      <c r="E182" s="171"/>
      <c r="F182" s="171"/>
      <c r="G182" s="171" t="s">
        <v>557</v>
      </c>
      <c r="H182" s="171"/>
      <c r="I182" s="171"/>
      <c r="J182" s="176">
        <v>182371.67</v>
      </c>
      <c r="L182" s="206"/>
      <c r="M182" s="313"/>
      <c r="N182" s="171"/>
      <c r="O182" s="171"/>
      <c r="P182" s="171"/>
      <c r="Q182" s="171"/>
      <c r="R182" s="171"/>
      <c r="S182" s="171" t="s">
        <v>555</v>
      </c>
      <c r="T182" s="171"/>
      <c r="U182" s="176">
        <v>1200</v>
      </c>
    </row>
    <row r="183" spans="1:21" ht="15.75" thickBot="1" x14ac:dyDescent="0.3">
      <c r="A183" s="171"/>
      <c r="B183" s="171"/>
      <c r="C183" s="171"/>
      <c r="D183" s="171"/>
      <c r="E183" s="171"/>
      <c r="F183" s="171"/>
      <c r="G183" s="171" t="s">
        <v>466</v>
      </c>
      <c r="H183" s="171"/>
      <c r="I183" s="171"/>
      <c r="J183" s="220">
        <v>58140</v>
      </c>
      <c r="L183" s="206"/>
      <c r="M183" s="313"/>
      <c r="N183" s="171"/>
      <c r="O183" s="171"/>
      <c r="P183" s="171"/>
      <c r="Q183" s="171"/>
      <c r="R183" s="171"/>
      <c r="S183" s="171" t="s">
        <v>648</v>
      </c>
      <c r="T183" s="171"/>
      <c r="U183" s="220">
        <v>3666.67</v>
      </c>
    </row>
    <row r="184" spans="1:21" x14ac:dyDescent="0.25">
      <c r="A184" s="171"/>
      <c r="B184" s="171"/>
      <c r="C184" s="171"/>
      <c r="D184" s="171"/>
      <c r="E184" s="171"/>
      <c r="F184" s="171" t="s">
        <v>467</v>
      </c>
      <c r="G184" s="171"/>
      <c r="H184" s="171"/>
      <c r="I184" s="171"/>
      <c r="J184" s="176">
        <f>ROUND(SUM(J180:J183),5)</f>
        <v>258011.67</v>
      </c>
      <c r="L184" s="206"/>
      <c r="M184" s="313"/>
      <c r="N184" s="171"/>
      <c r="O184" s="171"/>
      <c r="P184" s="171"/>
      <c r="Q184" s="171"/>
      <c r="R184" s="171" t="s">
        <v>208</v>
      </c>
      <c r="S184" s="171"/>
      <c r="T184" s="171"/>
      <c r="U184" s="176">
        <f>ROUND(SUM(U179:U183),5)</f>
        <v>59666.67</v>
      </c>
    </row>
    <row r="185" spans="1:21" ht="30" customHeight="1" x14ac:dyDescent="0.25">
      <c r="A185" s="171"/>
      <c r="B185" s="171"/>
      <c r="C185" s="171"/>
      <c r="D185" s="171"/>
      <c r="E185" s="171"/>
      <c r="F185" s="171" t="s">
        <v>674</v>
      </c>
      <c r="G185" s="171"/>
      <c r="H185" s="171"/>
      <c r="I185" s="171"/>
      <c r="J185" s="176"/>
      <c r="L185" s="206"/>
      <c r="M185" s="313"/>
      <c r="N185" s="171"/>
      <c r="O185" s="171"/>
      <c r="P185" s="171"/>
      <c r="Q185" s="171"/>
      <c r="R185" s="171" t="s">
        <v>187</v>
      </c>
      <c r="S185" s="171"/>
      <c r="T185" s="171"/>
      <c r="U185" s="176"/>
    </row>
    <row r="186" spans="1:21" ht="15.75" thickBot="1" x14ac:dyDescent="0.3">
      <c r="A186" s="171"/>
      <c r="B186" s="171"/>
      <c r="C186" s="171"/>
      <c r="D186" s="171"/>
      <c r="E186" s="171"/>
      <c r="F186" s="171"/>
      <c r="G186" s="171" t="s">
        <v>675</v>
      </c>
      <c r="H186" s="171"/>
      <c r="I186" s="171"/>
      <c r="J186" s="220">
        <v>12500</v>
      </c>
      <c r="L186" s="206"/>
      <c r="M186" s="313"/>
      <c r="N186" s="171"/>
      <c r="O186" s="171"/>
      <c r="P186" s="171"/>
      <c r="Q186" s="171"/>
      <c r="R186" s="171"/>
      <c r="S186" s="171" t="s">
        <v>556</v>
      </c>
      <c r="T186" s="171"/>
      <c r="U186" s="176">
        <v>270</v>
      </c>
    </row>
    <row r="187" spans="1:21" ht="15.75" thickBot="1" x14ac:dyDescent="0.3">
      <c r="A187" s="171"/>
      <c r="B187" s="171"/>
      <c r="C187" s="171"/>
      <c r="D187" s="171"/>
      <c r="E187" s="171"/>
      <c r="F187" s="171" t="s">
        <v>676</v>
      </c>
      <c r="G187" s="171"/>
      <c r="H187" s="171"/>
      <c r="I187" s="171"/>
      <c r="J187" s="176">
        <f>ROUND(SUM(J185:J186),5)</f>
        <v>12500</v>
      </c>
      <c r="L187" s="206"/>
      <c r="M187" s="313"/>
      <c r="N187" s="171"/>
      <c r="O187" s="171"/>
      <c r="P187" s="171"/>
      <c r="Q187" s="171"/>
      <c r="R187" s="171"/>
      <c r="S187" s="171" t="s">
        <v>209</v>
      </c>
      <c r="T187" s="171"/>
      <c r="U187" s="8">
        <v>45000</v>
      </c>
    </row>
    <row r="188" spans="1:21" ht="30" customHeight="1" thickBot="1" x14ac:dyDescent="0.3">
      <c r="A188" s="171"/>
      <c r="B188" s="171"/>
      <c r="C188" s="171"/>
      <c r="D188" s="171"/>
      <c r="E188" s="171"/>
      <c r="F188" s="171" t="s">
        <v>139</v>
      </c>
      <c r="G188" s="171"/>
      <c r="H188" s="171"/>
      <c r="I188" s="171"/>
      <c r="J188" s="176"/>
      <c r="L188" s="206"/>
      <c r="M188" s="313"/>
      <c r="N188" s="171"/>
      <c r="O188" s="171"/>
      <c r="P188" s="171"/>
      <c r="Q188" s="171"/>
      <c r="R188" s="171" t="s">
        <v>188</v>
      </c>
      <c r="S188" s="171"/>
      <c r="T188" s="171"/>
      <c r="U188" s="10">
        <f>ROUND(SUM(U185:U187),5)</f>
        <v>45270</v>
      </c>
    </row>
    <row r="189" spans="1:21" x14ac:dyDescent="0.25">
      <c r="A189" s="171"/>
      <c r="B189" s="171"/>
      <c r="C189" s="171"/>
      <c r="D189" s="171"/>
      <c r="E189" s="171"/>
      <c r="F189" s="171"/>
      <c r="G189" s="171" t="s">
        <v>468</v>
      </c>
      <c r="H189" s="171"/>
      <c r="I189" s="171"/>
      <c r="J189" s="176"/>
      <c r="L189" s="206"/>
      <c r="M189" s="313"/>
      <c r="N189" s="171"/>
      <c r="O189" s="171"/>
      <c r="P189" s="171"/>
      <c r="Q189" s="171" t="s">
        <v>210</v>
      </c>
      <c r="R189" s="171"/>
      <c r="S189" s="171"/>
      <c r="T189" s="171"/>
      <c r="U189" s="176">
        <f>ROUND(U170+U178+U184+U188,5)</f>
        <v>195741.87</v>
      </c>
    </row>
    <row r="190" spans="1:21" x14ac:dyDescent="0.25">
      <c r="A190" s="171"/>
      <c r="B190" s="171"/>
      <c r="C190" s="171"/>
      <c r="D190" s="171"/>
      <c r="E190" s="171"/>
      <c r="F190" s="171"/>
      <c r="G190" s="171"/>
      <c r="H190" s="171" t="s">
        <v>649</v>
      </c>
      <c r="I190" s="171"/>
      <c r="J190" s="176">
        <v>24000</v>
      </c>
      <c r="L190" s="206"/>
      <c r="M190" s="313"/>
      <c r="N190" s="171"/>
      <c r="O190" s="171"/>
      <c r="P190" s="171"/>
      <c r="Q190" s="171" t="s">
        <v>465</v>
      </c>
      <c r="R190" s="171"/>
      <c r="S190" s="171"/>
      <c r="T190" s="171"/>
      <c r="U190" s="176"/>
    </row>
    <row r="191" spans="1:21" x14ac:dyDescent="0.25">
      <c r="A191" s="171"/>
      <c r="B191" s="171"/>
      <c r="C191" s="171"/>
      <c r="D191" s="171"/>
      <c r="E191" s="171"/>
      <c r="F191" s="171"/>
      <c r="G191" s="171"/>
      <c r="H191" s="171" t="s">
        <v>650</v>
      </c>
      <c r="I191" s="171"/>
      <c r="J191" s="176">
        <v>6000</v>
      </c>
      <c r="L191" s="206"/>
      <c r="M191" s="313"/>
      <c r="N191" s="171"/>
      <c r="O191" s="171"/>
      <c r="P191" s="171"/>
      <c r="Q191" s="171"/>
      <c r="R191" s="171" t="s">
        <v>673</v>
      </c>
      <c r="S191" s="171"/>
      <c r="T191" s="171"/>
      <c r="U191" s="176">
        <v>17500</v>
      </c>
    </row>
    <row r="192" spans="1:21" x14ac:dyDescent="0.25">
      <c r="A192" s="171"/>
      <c r="B192" s="171"/>
      <c r="C192" s="171"/>
      <c r="D192" s="171"/>
      <c r="E192" s="171"/>
      <c r="F192" s="171"/>
      <c r="G192" s="171"/>
      <c r="H192" s="171" t="s">
        <v>140</v>
      </c>
      <c r="I192" s="171"/>
      <c r="J192" s="176">
        <v>350000</v>
      </c>
      <c r="L192" s="206"/>
      <c r="M192" s="313"/>
      <c r="N192" s="171"/>
      <c r="O192" s="171"/>
      <c r="P192" s="171"/>
      <c r="Q192" s="171"/>
      <c r="R192" s="171" t="s">
        <v>557</v>
      </c>
      <c r="S192" s="171"/>
      <c r="T192" s="171"/>
      <c r="U192" s="176">
        <v>182371.67</v>
      </c>
    </row>
    <row r="193" spans="1:21" ht="15.75" thickBot="1" x14ac:dyDescent="0.3">
      <c r="A193" s="171"/>
      <c r="B193" s="171"/>
      <c r="C193" s="171"/>
      <c r="D193" s="171"/>
      <c r="E193" s="171"/>
      <c r="F193" s="171"/>
      <c r="G193" s="171"/>
      <c r="H193" s="171" t="s">
        <v>573</v>
      </c>
      <c r="I193" s="171"/>
      <c r="J193" s="220">
        <v>32083.33</v>
      </c>
      <c r="L193" s="206"/>
      <c r="M193" s="313"/>
      <c r="N193" s="171"/>
      <c r="O193" s="171"/>
      <c r="P193" s="171"/>
      <c r="Q193" s="171"/>
      <c r="R193" s="171" t="s">
        <v>466</v>
      </c>
      <c r="S193" s="171"/>
      <c r="T193" s="171"/>
      <c r="U193" s="220">
        <v>58140</v>
      </c>
    </row>
    <row r="194" spans="1:21" x14ac:dyDescent="0.25">
      <c r="A194" s="171"/>
      <c r="B194" s="171"/>
      <c r="C194" s="171"/>
      <c r="D194" s="171"/>
      <c r="E194" s="171"/>
      <c r="F194" s="171"/>
      <c r="G194" s="171" t="s">
        <v>469</v>
      </c>
      <c r="H194" s="171"/>
      <c r="I194" s="171"/>
      <c r="J194" s="176">
        <f>ROUND(SUM(J189:J193),5)</f>
        <v>412083.33</v>
      </c>
      <c r="L194" s="206"/>
      <c r="M194" s="313"/>
      <c r="N194" s="171"/>
      <c r="O194" s="171"/>
      <c r="P194" s="171"/>
      <c r="Q194" s="171" t="s">
        <v>467</v>
      </c>
      <c r="R194" s="171"/>
      <c r="S194" s="171"/>
      <c r="T194" s="171"/>
      <c r="U194" s="176">
        <f>ROUND(SUM(U190:U193),5)</f>
        <v>258011.67</v>
      </c>
    </row>
    <row r="195" spans="1:21" ht="30" customHeight="1" x14ac:dyDescent="0.25">
      <c r="A195" s="171"/>
      <c r="B195" s="171"/>
      <c r="C195" s="171"/>
      <c r="D195" s="171"/>
      <c r="E195" s="171"/>
      <c r="F195" s="171"/>
      <c r="G195" s="171" t="s">
        <v>141</v>
      </c>
      <c r="H195" s="171"/>
      <c r="I195" s="171"/>
      <c r="J195" s="176"/>
      <c r="L195" s="206"/>
      <c r="M195" s="313"/>
      <c r="N195" s="171"/>
      <c r="O195" s="171"/>
      <c r="P195" s="171"/>
      <c r="Q195" s="171" t="s">
        <v>674</v>
      </c>
      <c r="R195" s="171"/>
      <c r="S195" s="171"/>
      <c r="T195" s="171"/>
      <c r="U195" s="176"/>
    </row>
    <row r="196" spans="1:21" ht="15.75" thickBot="1" x14ac:dyDescent="0.3">
      <c r="A196" s="171"/>
      <c r="B196" s="171"/>
      <c r="C196" s="171"/>
      <c r="D196" s="171"/>
      <c r="E196" s="171"/>
      <c r="F196" s="171"/>
      <c r="G196" s="171"/>
      <c r="H196" s="171" t="s">
        <v>628</v>
      </c>
      <c r="I196" s="171"/>
      <c r="J196" s="176">
        <v>11458.33</v>
      </c>
      <c r="L196" s="206"/>
      <c r="M196" s="313"/>
      <c r="N196" s="171"/>
      <c r="O196" s="171"/>
      <c r="P196" s="171"/>
      <c r="Q196" s="171"/>
      <c r="R196" s="171" t="s">
        <v>675</v>
      </c>
      <c r="S196" s="171"/>
      <c r="T196" s="171"/>
      <c r="U196" s="220">
        <v>12500</v>
      </c>
    </row>
    <row r="197" spans="1:21" x14ac:dyDescent="0.25">
      <c r="A197" s="171"/>
      <c r="B197" s="171"/>
      <c r="C197" s="171"/>
      <c r="D197" s="171"/>
      <c r="E197" s="171"/>
      <c r="F197" s="171"/>
      <c r="G197" s="171"/>
      <c r="H197" s="171" t="s">
        <v>142</v>
      </c>
      <c r="I197" s="171"/>
      <c r="J197" s="176">
        <v>14000</v>
      </c>
      <c r="L197" s="206"/>
      <c r="M197" s="313"/>
      <c r="N197" s="171"/>
      <c r="O197" s="171"/>
      <c r="P197" s="171"/>
      <c r="Q197" s="171" t="s">
        <v>676</v>
      </c>
      <c r="R197" s="171"/>
      <c r="S197" s="171"/>
      <c r="T197" s="171"/>
      <c r="U197" s="176">
        <f>ROUND(SUM(U195:U196),5)</f>
        <v>12500</v>
      </c>
    </row>
    <row r="198" spans="1:21" x14ac:dyDescent="0.25">
      <c r="A198" s="171"/>
      <c r="B198" s="171"/>
      <c r="C198" s="171"/>
      <c r="D198" s="171"/>
      <c r="E198" s="171"/>
      <c r="F198" s="171"/>
      <c r="G198" s="171"/>
      <c r="H198" s="171" t="s">
        <v>143</v>
      </c>
      <c r="I198" s="171"/>
      <c r="J198" s="176">
        <v>0</v>
      </c>
      <c r="L198" s="206"/>
      <c r="M198" s="313"/>
      <c r="N198" s="171"/>
      <c r="O198" s="171"/>
      <c r="P198" s="171"/>
      <c r="Q198" s="171" t="s">
        <v>139</v>
      </c>
      <c r="R198" s="171"/>
      <c r="S198" s="171"/>
      <c r="T198" s="171"/>
      <c r="U198" s="176"/>
    </row>
    <row r="199" spans="1:21" x14ac:dyDescent="0.25">
      <c r="A199" s="171"/>
      <c r="B199" s="171"/>
      <c r="C199" s="171"/>
      <c r="D199" s="171"/>
      <c r="E199" s="171"/>
      <c r="F199" s="171"/>
      <c r="G199" s="171"/>
      <c r="H199" s="171" t="s">
        <v>575</v>
      </c>
      <c r="I199" s="171"/>
      <c r="J199" s="176"/>
      <c r="L199" s="206"/>
      <c r="M199" s="313"/>
      <c r="N199" s="171"/>
      <c r="O199" s="171"/>
      <c r="P199" s="171"/>
      <c r="Q199" s="171"/>
      <c r="R199" s="171" t="s">
        <v>468</v>
      </c>
      <c r="S199" s="171"/>
      <c r="T199" s="171"/>
      <c r="U199" s="176"/>
    </row>
    <row r="200" spans="1:21" x14ac:dyDescent="0.25">
      <c r="A200" s="171"/>
      <c r="B200" s="171"/>
      <c r="C200" s="171"/>
      <c r="D200" s="171"/>
      <c r="E200" s="171"/>
      <c r="F200" s="171"/>
      <c r="G200" s="171"/>
      <c r="H200" s="171"/>
      <c r="I200" s="171" t="s">
        <v>576</v>
      </c>
      <c r="J200" s="176">
        <v>0</v>
      </c>
      <c r="L200" s="206"/>
      <c r="M200" s="313"/>
      <c r="N200" s="171"/>
      <c r="O200" s="171"/>
      <c r="P200" s="171"/>
      <c r="Q200" s="171"/>
      <c r="R200" s="171"/>
      <c r="S200" s="171" t="s">
        <v>649</v>
      </c>
      <c r="T200" s="171"/>
      <c r="U200" s="176">
        <v>24000</v>
      </c>
    </row>
    <row r="201" spans="1:21" ht="15.75" thickBot="1" x14ac:dyDescent="0.3">
      <c r="A201" s="171"/>
      <c r="B201" s="171"/>
      <c r="C201" s="171"/>
      <c r="D201" s="171"/>
      <c r="E201" s="171"/>
      <c r="F201" s="171"/>
      <c r="G201" s="171"/>
      <c r="H201" s="171"/>
      <c r="I201" s="171" t="s">
        <v>577</v>
      </c>
      <c r="J201" s="220">
        <v>0</v>
      </c>
      <c r="L201" s="206"/>
      <c r="M201" s="313"/>
      <c r="N201" s="171"/>
      <c r="O201" s="171"/>
      <c r="P201" s="171"/>
      <c r="Q201" s="171"/>
      <c r="R201" s="171"/>
      <c r="S201" s="171" t="s">
        <v>650</v>
      </c>
      <c r="T201" s="171"/>
      <c r="U201" s="176">
        <v>6000</v>
      </c>
    </row>
    <row r="202" spans="1:21" x14ac:dyDescent="0.25">
      <c r="A202" s="171"/>
      <c r="B202" s="171"/>
      <c r="C202" s="171"/>
      <c r="D202" s="171"/>
      <c r="E202" s="171"/>
      <c r="F202" s="171"/>
      <c r="G202" s="171"/>
      <c r="H202" s="171" t="s">
        <v>578</v>
      </c>
      <c r="I202" s="171"/>
      <c r="J202" s="176">
        <f>ROUND(SUM(J199:J201),5)</f>
        <v>0</v>
      </c>
      <c r="L202" s="206"/>
      <c r="M202" s="313"/>
      <c r="N202" s="171"/>
      <c r="O202" s="171"/>
      <c r="P202" s="171"/>
      <c r="Q202" s="171"/>
      <c r="R202" s="171"/>
      <c r="S202" s="171" t="s">
        <v>140</v>
      </c>
      <c r="T202" s="171"/>
      <c r="U202" s="176">
        <v>350000</v>
      </c>
    </row>
    <row r="203" spans="1:21" ht="30" customHeight="1" thickBot="1" x14ac:dyDescent="0.3">
      <c r="A203" s="171"/>
      <c r="B203" s="171"/>
      <c r="C203" s="171"/>
      <c r="D203" s="171"/>
      <c r="E203" s="171"/>
      <c r="F203" s="171"/>
      <c r="G203" s="171"/>
      <c r="H203" s="171" t="s">
        <v>470</v>
      </c>
      <c r="I203" s="171"/>
      <c r="J203" s="176">
        <v>0</v>
      </c>
      <c r="L203" s="206"/>
      <c r="M203" s="313"/>
      <c r="N203" s="171"/>
      <c r="O203" s="171"/>
      <c r="P203" s="171"/>
      <c r="Q203" s="171"/>
      <c r="R203" s="171"/>
      <c r="S203" s="171" t="s">
        <v>573</v>
      </c>
      <c r="T203" s="171"/>
      <c r="U203" s="220">
        <v>32083.33</v>
      </c>
    </row>
    <row r="204" spans="1:21" x14ac:dyDescent="0.25">
      <c r="A204" s="171"/>
      <c r="B204" s="171"/>
      <c r="C204" s="171"/>
      <c r="D204" s="171"/>
      <c r="E204" s="171"/>
      <c r="F204" s="171"/>
      <c r="G204" s="171"/>
      <c r="H204" s="171" t="s">
        <v>579</v>
      </c>
      <c r="I204" s="171"/>
      <c r="J204" s="176">
        <v>7772.38</v>
      </c>
      <c r="L204" s="206"/>
      <c r="M204" s="313"/>
      <c r="N204" s="171"/>
      <c r="O204" s="171"/>
      <c r="P204" s="171"/>
      <c r="Q204" s="171"/>
      <c r="R204" s="171" t="s">
        <v>469</v>
      </c>
      <c r="S204" s="171"/>
      <c r="T204" s="171"/>
      <c r="U204" s="176">
        <f>ROUND(SUM(U199:U203),5)</f>
        <v>412083.33</v>
      </c>
    </row>
    <row r="205" spans="1:21" x14ac:dyDescent="0.25">
      <c r="A205" s="171"/>
      <c r="B205" s="171"/>
      <c r="C205" s="171"/>
      <c r="D205" s="171"/>
      <c r="E205" s="171"/>
      <c r="F205" s="171"/>
      <c r="G205" s="171"/>
      <c r="H205" s="171" t="s">
        <v>580</v>
      </c>
      <c r="I205" s="171"/>
      <c r="J205" s="176">
        <v>10000</v>
      </c>
      <c r="L205" s="206"/>
      <c r="M205" s="313"/>
      <c r="N205" s="171"/>
      <c r="O205" s="171"/>
      <c r="P205" s="171"/>
      <c r="Q205" s="171"/>
      <c r="R205" s="171" t="s">
        <v>141</v>
      </c>
      <c r="S205" s="171"/>
      <c r="T205" s="171"/>
      <c r="U205" s="176"/>
    </row>
    <row r="206" spans="1:21" x14ac:dyDescent="0.25">
      <c r="A206" s="171"/>
      <c r="B206" s="171"/>
      <c r="C206" s="171"/>
      <c r="D206" s="171"/>
      <c r="E206" s="171"/>
      <c r="F206" s="171"/>
      <c r="G206" s="171"/>
      <c r="H206" s="171" t="s">
        <v>144</v>
      </c>
      <c r="I206" s="171"/>
      <c r="J206" s="176">
        <v>0</v>
      </c>
      <c r="L206" s="206"/>
      <c r="M206" s="313"/>
      <c r="N206" s="171"/>
      <c r="O206" s="171"/>
      <c r="P206" s="171"/>
      <c r="Q206" s="171"/>
      <c r="R206" s="171"/>
      <c r="S206" s="171" t="s">
        <v>628</v>
      </c>
      <c r="T206" s="171"/>
      <c r="U206" s="176">
        <v>11458.33</v>
      </c>
    </row>
    <row r="207" spans="1:21" x14ac:dyDescent="0.25">
      <c r="A207" s="171"/>
      <c r="B207" s="171"/>
      <c r="C207" s="171"/>
      <c r="D207" s="171"/>
      <c r="E207" s="171"/>
      <c r="F207" s="171"/>
      <c r="G207" s="171"/>
      <c r="H207" s="171" t="s">
        <v>145</v>
      </c>
      <c r="I207" s="171"/>
      <c r="J207" s="176">
        <v>0</v>
      </c>
      <c r="L207" s="206"/>
      <c r="M207" s="313"/>
      <c r="N207" s="171"/>
      <c r="O207" s="171"/>
      <c r="P207" s="171"/>
      <c r="Q207" s="171"/>
      <c r="R207" s="171"/>
      <c r="S207" s="171" t="s">
        <v>142</v>
      </c>
      <c r="T207" s="171"/>
      <c r="U207" s="176">
        <v>36691</v>
      </c>
    </row>
    <row r="208" spans="1:21" x14ac:dyDescent="0.25">
      <c r="A208" s="171"/>
      <c r="B208" s="171"/>
      <c r="C208" s="171"/>
      <c r="D208" s="171"/>
      <c r="E208" s="171"/>
      <c r="F208" s="171"/>
      <c r="G208" s="171"/>
      <c r="H208" s="171" t="s">
        <v>146</v>
      </c>
      <c r="I208" s="171"/>
      <c r="J208" s="176">
        <v>0</v>
      </c>
      <c r="L208" s="206"/>
      <c r="M208" s="313"/>
      <c r="N208" s="171"/>
      <c r="O208" s="171"/>
      <c r="P208" s="171"/>
      <c r="Q208" s="171"/>
      <c r="R208" s="171"/>
      <c r="S208" s="171" t="s">
        <v>579</v>
      </c>
      <c r="T208" s="171"/>
      <c r="U208" s="176">
        <v>7772.38</v>
      </c>
    </row>
    <row r="209" spans="1:21" ht="15.75" thickBot="1" x14ac:dyDescent="0.3">
      <c r="A209" s="171"/>
      <c r="B209" s="171"/>
      <c r="C209" s="171"/>
      <c r="D209" s="171"/>
      <c r="E209" s="171"/>
      <c r="F209" s="171"/>
      <c r="G209" s="171"/>
      <c r="H209" s="171" t="s">
        <v>484</v>
      </c>
      <c r="I209" s="171"/>
      <c r="J209" s="176">
        <v>0</v>
      </c>
      <c r="L209" s="206"/>
      <c r="M209" s="313"/>
      <c r="N209" s="171"/>
      <c r="O209" s="171"/>
      <c r="P209" s="171"/>
      <c r="Q209" s="171"/>
      <c r="R209" s="171"/>
      <c r="S209" s="171" t="s">
        <v>582</v>
      </c>
      <c r="T209" s="171"/>
      <c r="U209" s="220">
        <v>1043365.94</v>
      </c>
    </row>
    <row r="210" spans="1:21" x14ac:dyDescent="0.25">
      <c r="A210" s="171"/>
      <c r="B210" s="171"/>
      <c r="C210" s="171"/>
      <c r="D210" s="171"/>
      <c r="E210" s="171"/>
      <c r="F210" s="171"/>
      <c r="G210" s="171"/>
      <c r="H210" s="171" t="s">
        <v>581</v>
      </c>
      <c r="I210" s="171"/>
      <c r="J210" s="176">
        <v>0</v>
      </c>
      <c r="L210" s="206"/>
      <c r="M210" s="313"/>
      <c r="N210" s="171"/>
      <c r="O210" s="171"/>
      <c r="P210" s="171"/>
      <c r="Q210" s="171"/>
      <c r="R210" s="171" t="s">
        <v>148</v>
      </c>
      <c r="S210" s="171"/>
      <c r="T210" s="171"/>
      <c r="U210" s="176">
        <f>ROUND(SUM(U205:U207)+SUM(U208:U209),5)</f>
        <v>1099287.6499999999</v>
      </c>
    </row>
    <row r="211" spans="1:21" x14ac:dyDescent="0.25">
      <c r="A211" s="171"/>
      <c r="B211" s="171"/>
      <c r="C211" s="171"/>
      <c r="D211" s="171"/>
      <c r="E211" s="171"/>
      <c r="F211" s="171"/>
      <c r="G211" s="171"/>
      <c r="H211" s="171" t="s">
        <v>582</v>
      </c>
      <c r="I211" s="171"/>
      <c r="J211" s="176">
        <v>418924.27</v>
      </c>
      <c r="L211" s="206"/>
      <c r="M211" s="313"/>
      <c r="N211" s="171"/>
      <c r="O211" s="171"/>
      <c r="P211" s="171"/>
      <c r="Q211" s="171"/>
      <c r="R211" s="171" t="s">
        <v>167</v>
      </c>
      <c r="S211" s="171"/>
      <c r="T211" s="171"/>
      <c r="U211" s="176"/>
    </row>
    <row r="212" spans="1:21" ht="15.75" thickBot="1" x14ac:dyDescent="0.3">
      <c r="A212" s="171"/>
      <c r="B212" s="171"/>
      <c r="C212" s="171"/>
      <c r="D212" s="171"/>
      <c r="E212" s="171"/>
      <c r="F212" s="171"/>
      <c r="G212" s="171"/>
      <c r="H212" s="171" t="s">
        <v>147</v>
      </c>
      <c r="I212" s="171"/>
      <c r="J212" s="220">
        <v>0</v>
      </c>
      <c r="L212" s="206"/>
      <c r="M212" s="313"/>
      <c r="N212" s="171"/>
      <c r="O212" s="171"/>
      <c r="P212" s="171"/>
      <c r="Q212" s="171"/>
      <c r="R212" s="171"/>
      <c r="S212" s="171" t="s">
        <v>168</v>
      </c>
      <c r="T212" s="171"/>
      <c r="U212" s="176">
        <v>71621.5</v>
      </c>
    </row>
    <row r="213" spans="1:21" x14ac:dyDescent="0.25">
      <c r="A213" s="171"/>
      <c r="B213" s="171"/>
      <c r="C213" s="171"/>
      <c r="D213" s="171"/>
      <c r="E213" s="171"/>
      <c r="F213" s="171"/>
      <c r="G213" s="171" t="s">
        <v>148</v>
      </c>
      <c r="H213" s="171"/>
      <c r="I213" s="171"/>
      <c r="J213" s="176">
        <f>ROUND(SUM(J195:J198)+SUM(J202:J212),5)</f>
        <v>462154.98</v>
      </c>
      <c r="L213" s="206"/>
      <c r="M213" s="313"/>
      <c r="N213" s="171"/>
      <c r="O213" s="171"/>
      <c r="P213" s="171"/>
      <c r="Q213" s="171"/>
      <c r="R213" s="171"/>
      <c r="S213" s="171" t="s">
        <v>473</v>
      </c>
      <c r="T213" s="171"/>
      <c r="U213" s="176">
        <v>43809.85</v>
      </c>
    </row>
    <row r="214" spans="1:21" ht="30" customHeight="1" x14ac:dyDescent="0.25">
      <c r="A214" s="171"/>
      <c r="B214" s="171"/>
      <c r="C214" s="171"/>
      <c r="D214" s="171"/>
      <c r="E214" s="171"/>
      <c r="F214" s="171"/>
      <c r="G214" s="171" t="s">
        <v>149</v>
      </c>
      <c r="H214" s="171"/>
      <c r="I214" s="171"/>
      <c r="J214" s="176"/>
      <c r="L214" s="206"/>
      <c r="M214" s="313"/>
      <c r="N214" s="171"/>
      <c r="O214" s="171"/>
      <c r="P214" s="171"/>
      <c r="Q214" s="171"/>
      <c r="R214" s="171"/>
      <c r="S214" s="171" t="s">
        <v>169</v>
      </c>
      <c r="T214" s="171"/>
      <c r="U214" s="176">
        <v>480220.89</v>
      </c>
    </row>
    <row r="215" spans="1:21" x14ac:dyDescent="0.25">
      <c r="A215" s="171"/>
      <c r="B215" s="171"/>
      <c r="C215" s="171"/>
      <c r="D215" s="171"/>
      <c r="E215" s="171"/>
      <c r="F215" s="171"/>
      <c r="G215" s="171"/>
      <c r="H215" s="171" t="s">
        <v>584</v>
      </c>
      <c r="I215" s="171"/>
      <c r="J215" s="176">
        <v>0</v>
      </c>
      <c r="L215" s="206"/>
      <c r="M215" s="313"/>
      <c r="N215" s="171"/>
      <c r="O215" s="171"/>
      <c r="P215" s="171"/>
      <c r="Q215" s="171"/>
      <c r="R215" s="171"/>
      <c r="S215" s="171" t="s">
        <v>170</v>
      </c>
      <c r="T215" s="171"/>
      <c r="U215" s="176">
        <v>20000</v>
      </c>
    </row>
    <row r="216" spans="1:21" ht="15.75" thickBot="1" x14ac:dyDescent="0.3">
      <c r="A216" s="171"/>
      <c r="B216" s="171"/>
      <c r="C216" s="171"/>
      <c r="D216" s="171"/>
      <c r="E216" s="171"/>
      <c r="F216" s="171"/>
      <c r="G216" s="171"/>
      <c r="H216" s="171" t="s">
        <v>150</v>
      </c>
      <c r="I216" s="171"/>
      <c r="J216" s="176">
        <v>0</v>
      </c>
      <c r="L216" s="206"/>
      <c r="M216" s="313"/>
      <c r="N216" s="171"/>
      <c r="O216" s="171"/>
      <c r="P216" s="171"/>
      <c r="Q216" s="171"/>
      <c r="R216" s="171"/>
      <c r="S216" s="171" t="s">
        <v>171</v>
      </c>
      <c r="T216" s="171"/>
      <c r="U216" s="8">
        <v>12620.73</v>
      </c>
    </row>
    <row r="217" spans="1:21" ht="15.75" thickBot="1" x14ac:dyDescent="0.3">
      <c r="A217" s="171"/>
      <c r="B217" s="171"/>
      <c r="C217" s="171"/>
      <c r="D217" s="171"/>
      <c r="E217" s="171"/>
      <c r="F217" s="171"/>
      <c r="G217" s="171"/>
      <c r="H217" s="171" t="s">
        <v>151</v>
      </c>
      <c r="I217" s="171"/>
      <c r="J217" s="176">
        <v>0</v>
      </c>
      <c r="L217" s="206"/>
      <c r="M217" s="313"/>
      <c r="N217" s="171"/>
      <c r="O217" s="171"/>
      <c r="P217" s="171"/>
      <c r="Q217" s="171"/>
      <c r="R217" s="171" t="s">
        <v>172</v>
      </c>
      <c r="S217" s="171"/>
      <c r="T217" s="171"/>
      <c r="U217" s="11">
        <f>ROUND(SUM(U211:U216),5)</f>
        <v>628272.97</v>
      </c>
    </row>
    <row r="218" spans="1:21" ht="15.75" thickBot="1" x14ac:dyDescent="0.3">
      <c r="A218" s="171"/>
      <c r="B218" s="171"/>
      <c r="C218" s="171"/>
      <c r="D218" s="171"/>
      <c r="E218" s="171"/>
      <c r="F218" s="171"/>
      <c r="G218" s="171"/>
      <c r="H218" s="171" t="s">
        <v>152</v>
      </c>
      <c r="I218" s="171"/>
      <c r="J218" s="176">
        <v>0</v>
      </c>
      <c r="L218" s="206"/>
      <c r="M218" s="313"/>
      <c r="N218" s="171"/>
      <c r="O218" s="171"/>
      <c r="P218" s="171"/>
      <c r="Q218" s="171" t="s">
        <v>173</v>
      </c>
      <c r="R218" s="171"/>
      <c r="S218" s="171"/>
      <c r="T218" s="171"/>
      <c r="U218" s="11">
        <f>ROUND(U198+U204+U210+U217,5)</f>
        <v>2139643.9500000002</v>
      </c>
    </row>
    <row r="219" spans="1:21" ht="15.75" thickBot="1" x14ac:dyDescent="0.3">
      <c r="A219" s="171"/>
      <c r="B219" s="171"/>
      <c r="C219" s="171"/>
      <c r="D219" s="171"/>
      <c r="E219" s="171"/>
      <c r="F219" s="171"/>
      <c r="G219" s="171"/>
      <c r="H219" s="171" t="s">
        <v>471</v>
      </c>
      <c r="I219" s="171"/>
      <c r="J219" s="176">
        <v>0</v>
      </c>
      <c r="L219" s="206"/>
      <c r="M219" s="313"/>
      <c r="N219" s="171"/>
      <c r="O219" s="171"/>
      <c r="P219" s="171" t="s">
        <v>174</v>
      </c>
      <c r="Q219" s="171"/>
      <c r="R219" s="171"/>
      <c r="S219" s="171"/>
      <c r="T219" s="171"/>
      <c r="U219" s="11">
        <f>ROUND(U57+U114+U158+U169+U189+U194+U197+U218,5)</f>
        <v>4959125.96</v>
      </c>
    </row>
    <row r="220" spans="1:21" ht="15.75" thickBot="1" x14ac:dyDescent="0.3">
      <c r="A220" s="171"/>
      <c r="B220" s="171"/>
      <c r="C220" s="171"/>
      <c r="D220" s="171"/>
      <c r="E220" s="171"/>
      <c r="F220" s="171"/>
      <c r="G220" s="171"/>
      <c r="H220" s="171" t="s">
        <v>472</v>
      </c>
      <c r="I220" s="171"/>
      <c r="J220" s="176">
        <v>0</v>
      </c>
      <c r="L220" s="206"/>
      <c r="M220" s="313"/>
      <c r="N220" s="171"/>
      <c r="O220" s="171" t="s">
        <v>175</v>
      </c>
      <c r="P220" s="171"/>
      <c r="Q220" s="171"/>
      <c r="R220" s="171"/>
      <c r="S220" s="171"/>
      <c r="T220" s="171"/>
      <c r="U220" s="11">
        <f>ROUND(U56+U219,5)</f>
        <v>4959125.96</v>
      </c>
    </row>
    <row r="221" spans="1:21" ht="15.75" thickBot="1" x14ac:dyDescent="0.3">
      <c r="A221" s="171"/>
      <c r="B221" s="171"/>
      <c r="C221" s="171"/>
      <c r="D221" s="171"/>
      <c r="E221" s="171"/>
      <c r="F221" s="171"/>
      <c r="G221" s="171"/>
      <c r="H221" s="171" t="s">
        <v>585</v>
      </c>
      <c r="I221" s="171"/>
      <c r="J221" s="220">
        <v>0</v>
      </c>
      <c r="L221" s="206"/>
      <c r="M221" s="313" t="s">
        <v>176</v>
      </c>
      <c r="N221" s="171"/>
      <c r="O221" s="171"/>
      <c r="P221" s="171"/>
      <c r="Q221" s="171"/>
      <c r="R221" s="171"/>
      <c r="S221" s="171"/>
      <c r="T221" s="171"/>
      <c r="U221" s="11">
        <f>ROUND(U4+U55-U220,5)</f>
        <v>2372274.09</v>
      </c>
    </row>
    <row r="222" spans="1:21" ht="15.75" thickBot="1" x14ac:dyDescent="0.3">
      <c r="A222" s="171"/>
      <c r="B222" s="171"/>
      <c r="C222" s="171"/>
      <c r="D222" s="171"/>
      <c r="E222" s="171"/>
      <c r="F222" s="171"/>
      <c r="G222" s="171" t="s">
        <v>153</v>
      </c>
      <c r="H222" s="171"/>
      <c r="I222" s="171"/>
      <c r="J222" s="176">
        <f>ROUND(SUM(J214:J221),5)</f>
        <v>0</v>
      </c>
      <c r="L222" s="206" t="s">
        <v>177</v>
      </c>
      <c r="M222" s="313"/>
      <c r="N222" s="171"/>
      <c r="O222" s="171"/>
      <c r="P222" s="171"/>
      <c r="Q222" s="171"/>
      <c r="R222" s="171"/>
      <c r="S222" s="171"/>
      <c r="T222" s="171"/>
      <c r="U222" s="12">
        <f>U221</f>
        <v>2372274.09</v>
      </c>
    </row>
    <row r="223" spans="1:21" ht="30" customHeight="1" thickTop="1" x14ac:dyDescent="0.25">
      <c r="A223" s="171"/>
      <c r="B223" s="171"/>
      <c r="C223" s="171"/>
      <c r="D223" s="171"/>
      <c r="E223" s="171"/>
      <c r="F223" s="171"/>
      <c r="G223" s="171" t="s">
        <v>154</v>
      </c>
      <c r="H223" s="171"/>
      <c r="I223" s="171"/>
      <c r="J223" s="176"/>
    </row>
    <row r="224" spans="1:21" x14ac:dyDescent="0.25">
      <c r="A224" s="171"/>
      <c r="B224" s="171"/>
      <c r="C224" s="171"/>
      <c r="D224" s="171"/>
      <c r="E224" s="171"/>
      <c r="F224" s="171"/>
      <c r="G224" s="171"/>
      <c r="H224" s="171" t="s">
        <v>155</v>
      </c>
      <c r="I224" s="171"/>
      <c r="J224" s="176">
        <v>0</v>
      </c>
    </row>
    <row r="225" spans="1:10" x14ac:dyDescent="0.25">
      <c r="A225" s="171"/>
      <c r="B225" s="171"/>
      <c r="C225" s="171"/>
      <c r="D225" s="171"/>
      <c r="E225" s="171"/>
      <c r="F225" s="171"/>
      <c r="G225" s="171"/>
      <c r="H225" s="171" t="s">
        <v>156</v>
      </c>
      <c r="I225" s="171"/>
      <c r="J225" s="176">
        <v>0</v>
      </c>
    </row>
    <row r="226" spans="1:10" x14ac:dyDescent="0.25">
      <c r="A226" s="171"/>
      <c r="B226" s="171"/>
      <c r="C226" s="171"/>
      <c r="D226" s="171"/>
      <c r="E226" s="171"/>
      <c r="F226" s="171"/>
      <c r="G226" s="171"/>
      <c r="H226" s="171" t="s">
        <v>157</v>
      </c>
      <c r="I226" s="171"/>
      <c r="J226" s="176">
        <v>0</v>
      </c>
    </row>
    <row r="227" spans="1:10" x14ac:dyDescent="0.25">
      <c r="A227" s="171"/>
      <c r="B227" s="171"/>
      <c r="C227" s="171"/>
      <c r="D227" s="171"/>
      <c r="E227" s="171"/>
      <c r="F227" s="171"/>
      <c r="G227" s="171"/>
      <c r="H227" s="171" t="s">
        <v>158</v>
      </c>
      <c r="I227" s="171"/>
      <c r="J227" s="176">
        <v>0</v>
      </c>
    </row>
    <row r="228" spans="1:10" ht="15.75" thickBot="1" x14ac:dyDescent="0.3">
      <c r="A228" s="171"/>
      <c r="B228" s="171"/>
      <c r="C228" s="171"/>
      <c r="D228" s="171"/>
      <c r="E228" s="171"/>
      <c r="F228" s="171"/>
      <c r="G228" s="171"/>
      <c r="H228" s="171" t="s">
        <v>587</v>
      </c>
      <c r="I228" s="171"/>
      <c r="J228" s="220">
        <v>0</v>
      </c>
    </row>
    <row r="229" spans="1:10" x14ac:dyDescent="0.25">
      <c r="A229" s="171"/>
      <c r="B229" s="171"/>
      <c r="C229" s="171"/>
      <c r="D229" s="171"/>
      <c r="E229" s="171"/>
      <c r="F229" s="171"/>
      <c r="G229" s="171" t="s">
        <v>159</v>
      </c>
      <c r="H229" s="171"/>
      <c r="I229" s="171"/>
      <c r="J229" s="176">
        <f>ROUND(SUM(J223:J228),5)</f>
        <v>0</v>
      </c>
    </row>
    <row r="230" spans="1:10" ht="30" customHeight="1" x14ac:dyDescent="0.25">
      <c r="A230" s="171"/>
      <c r="B230" s="171"/>
      <c r="C230" s="171"/>
      <c r="D230" s="171"/>
      <c r="E230" s="171"/>
      <c r="F230" s="171"/>
      <c r="G230" s="171" t="s">
        <v>160</v>
      </c>
      <c r="H230" s="171"/>
      <c r="I230" s="171"/>
      <c r="J230" s="176"/>
    </row>
    <row r="231" spans="1:10" x14ac:dyDescent="0.25">
      <c r="A231" s="171"/>
      <c r="B231" s="171"/>
      <c r="C231" s="171"/>
      <c r="D231" s="171"/>
      <c r="E231" s="171"/>
      <c r="F231" s="171"/>
      <c r="G231" s="171"/>
      <c r="H231" s="171" t="s">
        <v>589</v>
      </c>
      <c r="I231" s="171"/>
      <c r="J231" s="176">
        <v>0</v>
      </c>
    </row>
    <row r="232" spans="1:10" x14ac:dyDescent="0.25">
      <c r="A232" s="171"/>
      <c r="B232" s="171"/>
      <c r="C232" s="171"/>
      <c r="D232" s="171"/>
      <c r="E232" s="171"/>
      <c r="F232" s="171"/>
      <c r="G232" s="171"/>
      <c r="H232" s="171" t="s">
        <v>161</v>
      </c>
      <c r="I232" s="171"/>
      <c r="J232" s="176">
        <v>0</v>
      </c>
    </row>
    <row r="233" spans="1:10" x14ac:dyDescent="0.25">
      <c r="A233" s="171"/>
      <c r="B233" s="171"/>
      <c r="C233" s="171"/>
      <c r="D233" s="171"/>
      <c r="E233" s="171"/>
      <c r="F233" s="171"/>
      <c r="G233" s="171"/>
      <c r="H233" s="171" t="s">
        <v>693</v>
      </c>
      <c r="I233" s="171"/>
      <c r="J233" s="176">
        <v>97000</v>
      </c>
    </row>
    <row r="234" spans="1:10" x14ac:dyDescent="0.25">
      <c r="A234" s="171"/>
      <c r="B234" s="171"/>
      <c r="C234" s="171"/>
      <c r="D234" s="171"/>
      <c r="E234" s="171"/>
      <c r="F234" s="171"/>
      <c r="G234" s="171"/>
      <c r="H234" s="171" t="s">
        <v>728</v>
      </c>
      <c r="I234" s="171"/>
      <c r="J234" s="176">
        <v>0</v>
      </c>
    </row>
    <row r="235" spans="1:10" x14ac:dyDescent="0.25">
      <c r="A235" s="171"/>
      <c r="B235" s="171"/>
      <c r="C235" s="171"/>
      <c r="D235" s="171"/>
      <c r="E235" s="171"/>
      <c r="F235" s="171"/>
      <c r="G235" s="171"/>
      <c r="H235" s="171" t="s">
        <v>162</v>
      </c>
      <c r="I235" s="171"/>
      <c r="J235" s="176">
        <v>0</v>
      </c>
    </row>
    <row r="236" spans="1:10" x14ac:dyDescent="0.25">
      <c r="A236" s="171"/>
      <c r="B236" s="171"/>
      <c r="C236" s="171"/>
      <c r="D236" s="171"/>
      <c r="E236" s="171"/>
      <c r="F236" s="171"/>
      <c r="G236" s="171"/>
      <c r="H236" s="171" t="s">
        <v>485</v>
      </c>
      <c r="I236" s="171"/>
      <c r="J236" s="176"/>
    </row>
    <row r="237" spans="1:10" ht="15.75" thickBot="1" x14ac:dyDescent="0.3">
      <c r="A237" s="171"/>
      <c r="B237" s="171"/>
      <c r="C237" s="171"/>
      <c r="D237" s="171"/>
      <c r="E237" s="171"/>
      <c r="F237" s="171"/>
      <c r="G237" s="171"/>
      <c r="H237" s="171"/>
      <c r="I237" s="171" t="s">
        <v>487</v>
      </c>
      <c r="J237" s="8">
        <v>0</v>
      </c>
    </row>
    <row r="238" spans="1:10" ht="15.75" thickBot="1" x14ac:dyDescent="0.3">
      <c r="A238" s="171"/>
      <c r="B238" s="171"/>
      <c r="C238" s="171"/>
      <c r="D238" s="171"/>
      <c r="E238" s="171"/>
      <c r="F238" s="171"/>
      <c r="G238" s="171"/>
      <c r="H238" s="171" t="s">
        <v>489</v>
      </c>
      <c r="I238" s="171"/>
      <c r="J238" s="10">
        <f>ROUND(SUM(J236:J237),5)</f>
        <v>0</v>
      </c>
    </row>
    <row r="239" spans="1:10" ht="30" customHeight="1" x14ac:dyDescent="0.25">
      <c r="A239" s="171"/>
      <c r="B239" s="171"/>
      <c r="C239" s="171"/>
      <c r="D239" s="171"/>
      <c r="E239" s="171"/>
      <c r="F239" s="171"/>
      <c r="G239" s="171" t="s">
        <v>163</v>
      </c>
      <c r="H239" s="171"/>
      <c r="I239" s="171"/>
      <c r="J239" s="176">
        <f>ROUND(SUM(J230:J235)+J238,5)</f>
        <v>97000</v>
      </c>
    </row>
    <row r="240" spans="1:10" ht="30" customHeight="1" x14ac:dyDescent="0.25">
      <c r="A240" s="171"/>
      <c r="B240" s="171"/>
      <c r="C240" s="171"/>
      <c r="D240" s="171"/>
      <c r="E240" s="171"/>
      <c r="F240" s="171"/>
      <c r="G240" s="171" t="s">
        <v>591</v>
      </c>
      <c r="H240" s="171"/>
      <c r="I240" s="171"/>
      <c r="J240" s="176"/>
    </row>
    <row r="241" spans="1:11" x14ac:dyDescent="0.25">
      <c r="A241" s="171"/>
      <c r="B241" s="171"/>
      <c r="C241" s="171"/>
      <c r="D241" s="171"/>
      <c r="E241" s="171"/>
      <c r="F241" s="171"/>
      <c r="G241" s="171"/>
      <c r="H241" s="171" t="s">
        <v>592</v>
      </c>
      <c r="I241" s="171"/>
      <c r="J241" s="176">
        <v>0</v>
      </c>
    </row>
    <row r="242" spans="1:11" x14ac:dyDescent="0.25">
      <c r="A242" s="171"/>
      <c r="B242" s="171"/>
      <c r="C242" s="171"/>
      <c r="D242" s="171"/>
      <c r="E242" s="171"/>
      <c r="F242" s="171"/>
      <c r="G242" s="171"/>
      <c r="H242" s="171" t="s">
        <v>629</v>
      </c>
      <c r="I242" s="171"/>
      <c r="J242" s="176">
        <v>0</v>
      </c>
    </row>
    <row r="243" spans="1:11" x14ac:dyDescent="0.25">
      <c r="A243" s="171"/>
      <c r="B243" s="171"/>
      <c r="C243" s="171"/>
      <c r="D243" s="171"/>
      <c r="E243" s="171"/>
      <c r="F243" s="171"/>
      <c r="G243" s="171"/>
      <c r="H243" s="171" t="s">
        <v>630</v>
      </c>
      <c r="I243" s="171"/>
      <c r="J243" s="176">
        <v>0</v>
      </c>
    </row>
    <row r="244" spans="1:11" ht="15.75" thickBot="1" x14ac:dyDescent="0.3">
      <c r="A244" s="171"/>
      <c r="B244" s="171"/>
      <c r="C244" s="171"/>
      <c r="D244" s="171"/>
      <c r="E244" s="171"/>
      <c r="F244" s="171"/>
      <c r="G244" s="171"/>
      <c r="H244" s="171" t="s">
        <v>631</v>
      </c>
      <c r="I244" s="171"/>
      <c r="J244" s="220">
        <v>0</v>
      </c>
    </row>
    <row r="245" spans="1:11" x14ac:dyDescent="0.25">
      <c r="A245" s="171"/>
      <c r="B245" s="171"/>
      <c r="C245" s="171"/>
      <c r="D245" s="171"/>
      <c r="E245" s="171"/>
      <c r="F245" s="171"/>
      <c r="G245" s="171" t="s">
        <v>593</v>
      </c>
      <c r="H245" s="171"/>
      <c r="I245" s="171"/>
      <c r="J245" s="176">
        <f>ROUND(SUM(J240:J244),5)</f>
        <v>0</v>
      </c>
    </row>
    <row r="246" spans="1:11" ht="30" customHeight="1" x14ac:dyDescent="0.25">
      <c r="A246" s="171"/>
      <c r="B246" s="171"/>
      <c r="C246" s="171"/>
      <c r="D246" s="171"/>
      <c r="E246" s="171"/>
      <c r="F246" s="171"/>
      <c r="G246" s="171" t="s">
        <v>167</v>
      </c>
      <c r="H246" s="171"/>
      <c r="I246" s="171"/>
      <c r="J246" s="176"/>
    </row>
    <row r="247" spans="1:11" x14ac:dyDescent="0.25">
      <c r="A247" s="171"/>
      <c r="B247" s="171"/>
      <c r="C247" s="171"/>
      <c r="D247" s="171"/>
      <c r="E247" s="171"/>
      <c r="F247" s="171"/>
      <c r="G247" s="171"/>
      <c r="H247" s="171" t="s">
        <v>168</v>
      </c>
      <c r="I247" s="171"/>
      <c r="J247" s="176">
        <v>88796.14</v>
      </c>
      <c r="K247" s="170">
        <f>U212</f>
        <v>71621.5</v>
      </c>
    </row>
    <row r="248" spans="1:11" x14ac:dyDescent="0.25">
      <c r="A248" s="171"/>
      <c r="B248" s="171"/>
      <c r="C248" s="171"/>
      <c r="D248" s="171"/>
      <c r="E248" s="171"/>
      <c r="F248" s="171"/>
      <c r="G248" s="171"/>
      <c r="H248" s="171" t="s">
        <v>473</v>
      </c>
      <c r="I248" s="171"/>
      <c r="J248" s="176">
        <v>132606.26999999999</v>
      </c>
      <c r="K248" s="170">
        <f>U213</f>
        <v>43809.85</v>
      </c>
    </row>
    <row r="249" spans="1:11" x14ac:dyDescent="0.25">
      <c r="A249" s="171"/>
      <c r="B249" s="171"/>
      <c r="C249" s="171"/>
      <c r="D249" s="171"/>
      <c r="E249" s="171"/>
      <c r="F249" s="171"/>
      <c r="G249" s="171"/>
      <c r="H249" s="171" t="s">
        <v>169</v>
      </c>
      <c r="I249" s="171"/>
      <c r="J249" s="176">
        <v>420955.02</v>
      </c>
      <c r="K249" s="170">
        <f>U214</f>
        <v>480220.89</v>
      </c>
    </row>
    <row r="250" spans="1:11" x14ac:dyDescent="0.25">
      <c r="A250" s="171"/>
      <c r="B250" s="171"/>
      <c r="C250" s="171"/>
      <c r="D250" s="171"/>
      <c r="E250" s="171"/>
      <c r="F250" s="171"/>
      <c r="G250" s="171"/>
      <c r="H250" s="171" t="s">
        <v>490</v>
      </c>
      <c r="I250" s="171"/>
      <c r="J250" s="176">
        <v>0</v>
      </c>
    </row>
    <row r="251" spans="1:11" x14ac:dyDescent="0.25">
      <c r="A251" s="171"/>
      <c r="B251" s="171"/>
      <c r="C251" s="171"/>
      <c r="D251" s="171"/>
      <c r="E251" s="171"/>
      <c r="F251" s="171"/>
      <c r="G251" s="171"/>
      <c r="H251" s="171" t="s">
        <v>694</v>
      </c>
      <c r="I251" s="171"/>
      <c r="J251" s="176">
        <v>21151.4</v>
      </c>
    </row>
    <row r="252" spans="1:11" ht="15.75" thickBot="1" x14ac:dyDescent="0.3">
      <c r="A252" s="171"/>
      <c r="B252" s="171"/>
      <c r="C252" s="171"/>
      <c r="D252" s="171"/>
      <c r="E252" s="171"/>
      <c r="F252" s="171"/>
      <c r="G252" s="171"/>
      <c r="H252" s="171" t="s">
        <v>171</v>
      </c>
      <c r="I252" s="171"/>
      <c r="J252" s="8">
        <v>44031.54</v>
      </c>
    </row>
    <row r="253" spans="1:11" ht="15.75" thickBot="1" x14ac:dyDescent="0.3">
      <c r="A253" s="171"/>
      <c r="B253" s="171"/>
      <c r="C253" s="171"/>
      <c r="D253" s="171"/>
      <c r="E253" s="171"/>
      <c r="F253" s="171"/>
      <c r="G253" s="171" t="s">
        <v>172</v>
      </c>
      <c r="H253" s="171"/>
      <c r="I253" s="171"/>
      <c r="J253" s="11">
        <f>ROUND(SUM(J246:J252),5)</f>
        <v>707540.37</v>
      </c>
    </row>
    <row r="254" spans="1:11" ht="30" customHeight="1" thickBot="1" x14ac:dyDescent="0.3">
      <c r="A254" s="171"/>
      <c r="B254" s="171"/>
      <c r="C254" s="171"/>
      <c r="D254" s="171"/>
      <c r="E254" s="171"/>
      <c r="F254" s="171" t="s">
        <v>173</v>
      </c>
      <c r="G254" s="171"/>
      <c r="H254" s="171"/>
      <c r="I254" s="171"/>
      <c r="J254" s="10">
        <f>ROUND(J188+J194+J213+J222+J229+J239+J245+J253,5)</f>
        <v>1678778.68</v>
      </c>
    </row>
    <row r="255" spans="1:11" ht="30" customHeight="1" x14ac:dyDescent="0.25">
      <c r="A255" s="171"/>
      <c r="B255" s="171"/>
      <c r="C255" s="171"/>
      <c r="D255" s="171"/>
      <c r="E255" s="171" t="s">
        <v>174</v>
      </c>
      <c r="F255" s="171"/>
      <c r="G255" s="171"/>
      <c r="H255" s="171"/>
      <c r="I255" s="171"/>
      <c r="J255" s="176">
        <f>ROUND(J51+J104+J147+J159+J179+J184+J187+J254,5)</f>
        <v>4265543.2300000004</v>
      </c>
    </row>
    <row r="256" spans="1:11" ht="30" customHeight="1" thickBot="1" x14ac:dyDescent="0.3">
      <c r="A256" s="171"/>
      <c r="B256" s="171"/>
      <c r="C256" s="171"/>
      <c r="D256" s="171"/>
      <c r="E256" s="171" t="s">
        <v>729</v>
      </c>
      <c r="F256" s="171"/>
      <c r="G256" s="171"/>
      <c r="H256" s="171"/>
      <c r="I256" s="171"/>
      <c r="J256" s="8">
        <v>598700</v>
      </c>
    </row>
    <row r="257" spans="1:13" ht="15.75" thickBot="1" x14ac:dyDescent="0.3">
      <c r="A257" s="171"/>
      <c r="B257" s="171"/>
      <c r="C257" s="171"/>
      <c r="D257" s="171" t="s">
        <v>175</v>
      </c>
      <c r="E257" s="171"/>
      <c r="F257" s="171"/>
      <c r="G257" s="171"/>
      <c r="H257" s="171"/>
      <c r="I257" s="171"/>
      <c r="J257" s="11">
        <f>ROUND(J50+SUM(J255:J256),5)</f>
        <v>4864243.2300000004</v>
      </c>
    </row>
    <row r="258" spans="1:13" ht="30" customHeight="1" thickBot="1" x14ac:dyDescent="0.3">
      <c r="A258" s="171"/>
      <c r="B258" s="171" t="s">
        <v>176</v>
      </c>
      <c r="C258" s="171"/>
      <c r="D258" s="171"/>
      <c r="E258" s="171"/>
      <c r="F258" s="171"/>
      <c r="G258" s="171"/>
      <c r="H258" s="171"/>
      <c r="I258" s="171"/>
      <c r="J258" s="11">
        <f>ROUND(J2+J49-J257,5)</f>
        <v>112355.8</v>
      </c>
    </row>
    <row r="259" spans="1:13" s="156" customFormat="1" ht="30" customHeight="1" thickBot="1" x14ac:dyDescent="0.25">
      <c r="A259" s="171" t="s">
        <v>177</v>
      </c>
      <c r="B259" s="171"/>
      <c r="C259" s="171"/>
      <c r="D259" s="171"/>
      <c r="E259" s="171"/>
      <c r="F259" s="171"/>
      <c r="G259" s="171"/>
      <c r="H259" s="171"/>
      <c r="I259" s="171"/>
      <c r="J259" s="12">
        <f>J258</f>
        <v>112355.8</v>
      </c>
      <c r="L259" s="206"/>
      <c r="M259" s="313"/>
    </row>
    <row r="260" spans="1:13" ht="15.75" thickTop="1" x14ac:dyDescent="0.25"/>
  </sheetData>
  <pageMargins left="0.7" right="0.7" top="0.75" bottom="0.75" header="0.25" footer="0.3"/>
  <pageSetup orientation="portrait" r:id="rId1"/>
  <headerFooter>
    <oddHeader>&amp;L&amp;"Arial,Bold"&amp;8 10:01 PM
&amp;"Arial,Bold"&amp;8 07/05/16
&amp;"Arial,Bold"&amp;8 Accrual Basis&amp;C&amp;"Arial,Bold"&amp;12 Tropical Fish International (Pvt) Limited
&amp;"Arial,Bold"&amp;14 Profit &amp;&amp; Loss
&amp;"Arial,Bold"&amp;10 May 27 through June 30, 2016</oddHeader>
    <oddFooter>&amp;R&amp;"Arial,Bold"&amp;8 Page &amp;P of &amp;N</oddFooter>
  </headerFooter>
  <drawing r:id="rId2"/>
  <legacyDrawing r:id="rId3"/>
  <controls>
    <mc:AlternateContent xmlns:mc="http://schemas.openxmlformats.org/markup-compatibility/2006">
      <mc:Choice Requires="x14">
        <control shapeId="260097"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260097" r:id="rId4" name="FILTER"/>
      </mc:Fallback>
    </mc:AlternateContent>
    <mc:AlternateContent xmlns:mc="http://schemas.openxmlformats.org/markup-compatibility/2006">
      <mc:Choice Requires="x14">
        <control shapeId="260098"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260098" r:id="rId6" name="HEADER"/>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7" tint="0.39997558519241921"/>
  </sheetPr>
  <dimension ref="A1:P223"/>
  <sheetViews>
    <sheetView workbookViewId="0">
      <pane ySplit="1" topLeftCell="A131" activePane="bottomLeft" state="frozen"/>
      <selection pane="bottomLeft" activeCell="J135" sqref="J135"/>
    </sheetView>
  </sheetViews>
  <sheetFormatPr defaultRowHeight="15" x14ac:dyDescent="0.25"/>
  <cols>
    <col min="1" max="8" width="3" style="159" customWidth="1"/>
    <col min="9" max="9" width="38.140625" style="159" customWidth="1"/>
    <col min="10" max="10" width="15.42578125" style="5" bestFit="1" customWidth="1"/>
    <col min="11" max="12" width="10.140625" style="154" bestFit="1" customWidth="1"/>
    <col min="13" max="13" width="9.140625" style="154"/>
    <col min="14" max="14" width="27.7109375" style="154" bestFit="1" customWidth="1"/>
    <col min="15" max="15" width="17.140625" style="154" customWidth="1"/>
    <col min="16" max="16384" width="9.140625" style="154"/>
  </cols>
  <sheetData>
    <row r="1" spans="1:16" x14ac:dyDescent="0.25">
      <c r="L1" s="154">
        <v>147.97</v>
      </c>
    </row>
    <row r="3" spans="1:16" s="158" customFormat="1" ht="15.75" thickBot="1" x14ac:dyDescent="0.3">
      <c r="A3" s="157"/>
      <c r="B3" s="157"/>
      <c r="C3" s="157"/>
      <c r="D3" s="157"/>
      <c r="E3" s="157"/>
      <c r="F3" s="157"/>
      <c r="G3" s="157"/>
      <c r="H3" s="157"/>
      <c r="I3" s="157"/>
      <c r="J3" s="178" t="s">
        <v>680</v>
      </c>
      <c r="L3" s="154"/>
    </row>
    <row r="4" spans="1:16" ht="15.75" thickTop="1" x14ac:dyDescent="0.25">
      <c r="A4" s="171"/>
      <c r="B4" s="171" t="s">
        <v>20</v>
      </c>
      <c r="C4" s="171"/>
      <c r="D4" s="171"/>
      <c r="E4" s="171"/>
      <c r="F4" s="171"/>
      <c r="G4" s="171"/>
      <c r="H4" s="171"/>
      <c r="I4" s="171"/>
      <c r="J4" s="176"/>
      <c r="N4" s="108" t="s">
        <v>381</v>
      </c>
      <c r="O4" s="200" t="s">
        <v>380</v>
      </c>
    </row>
    <row r="5" spans="1:16" x14ac:dyDescent="0.25">
      <c r="A5" s="171"/>
      <c r="B5" s="171"/>
      <c r="C5" s="171"/>
      <c r="D5" s="171" t="s">
        <v>21</v>
      </c>
      <c r="E5" s="171"/>
      <c r="F5" s="171"/>
      <c r="G5" s="171"/>
      <c r="H5" s="171"/>
      <c r="I5" s="171"/>
      <c r="J5" s="176"/>
      <c r="N5" s="46" t="s">
        <v>269</v>
      </c>
      <c r="O5" s="184">
        <f>J84</f>
        <v>611551.54</v>
      </c>
    </row>
    <row r="6" spans="1:16" x14ac:dyDescent="0.25">
      <c r="A6" s="171"/>
      <c r="B6" s="171"/>
      <c r="C6" s="171"/>
      <c r="D6" s="171"/>
      <c r="E6" s="171" t="s">
        <v>22</v>
      </c>
      <c r="F6" s="171"/>
      <c r="G6" s="171"/>
      <c r="H6" s="171"/>
      <c r="I6" s="171"/>
      <c r="J6" s="176"/>
      <c r="N6" s="46" t="s">
        <v>270</v>
      </c>
      <c r="O6" s="184">
        <f>J136</f>
        <v>73458.33</v>
      </c>
    </row>
    <row r="7" spans="1:16" x14ac:dyDescent="0.25">
      <c r="A7" s="171"/>
      <c r="B7" s="171"/>
      <c r="C7" s="171"/>
      <c r="D7" s="171"/>
      <c r="E7" s="171"/>
      <c r="F7" s="171" t="s">
        <v>23</v>
      </c>
      <c r="G7" s="171"/>
      <c r="H7" s="171"/>
      <c r="I7" s="171"/>
      <c r="J7" s="176">
        <v>12703069.57</v>
      </c>
      <c r="N7" s="46" t="s">
        <v>597</v>
      </c>
      <c r="O7" s="184">
        <f>J184</f>
        <v>59666.67</v>
      </c>
    </row>
    <row r="8" spans="1:16" x14ac:dyDescent="0.25">
      <c r="A8" s="171"/>
      <c r="B8" s="171"/>
      <c r="C8" s="171"/>
      <c r="D8" s="171"/>
      <c r="E8" s="171"/>
      <c r="F8" s="171" t="s">
        <v>25</v>
      </c>
      <c r="G8" s="171"/>
      <c r="H8" s="171"/>
      <c r="I8" s="171"/>
      <c r="J8" s="176">
        <v>959997.85</v>
      </c>
      <c r="N8" s="119" t="s">
        <v>606</v>
      </c>
      <c r="O8" s="184"/>
    </row>
    <row r="9" spans="1:16" x14ac:dyDescent="0.25">
      <c r="A9" s="171"/>
      <c r="B9" s="171"/>
      <c r="C9" s="171"/>
      <c r="D9" s="171"/>
      <c r="E9" s="171"/>
      <c r="F9" s="171" t="s">
        <v>26</v>
      </c>
      <c r="G9" s="171"/>
      <c r="H9" s="171"/>
      <c r="I9" s="171"/>
      <c r="J9" s="176">
        <v>441990.36</v>
      </c>
      <c r="N9" s="67" t="s">
        <v>598</v>
      </c>
      <c r="O9" s="184">
        <f>J204</f>
        <v>412083.33</v>
      </c>
    </row>
    <row r="10" spans="1:16" x14ac:dyDescent="0.25">
      <c r="A10" s="171"/>
      <c r="B10" s="171"/>
      <c r="C10" s="171"/>
      <c r="D10" s="171"/>
      <c r="E10" s="171"/>
      <c r="F10" s="171" t="s">
        <v>27</v>
      </c>
      <c r="G10" s="171"/>
      <c r="H10" s="171"/>
      <c r="I10" s="171"/>
      <c r="J10" s="176">
        <v>6206352.5999999996</v>
      </c>
      <c r="N10" s="106" t="s">
        <v>12</v>
      </c>
      <c r="O10" s="201">
        <f>SUM(O5:O9)</f>
        <v>1156759.8700000001</v>
      </c>
    </row>
    <row r="11" spans="1:16" x14ac:dyDescent="0.25">
      <c r="A11" s="171"/>
      <c r="B11" s="171"/>
      <c r="C11" s="171"/>
      <c r="D11" s="171"/>
      <c r="E11" s="171"/>
      <c r="F11" s="171" t="s">
        <v>28</v>
      </c>
      <c r="G11" s="171"/>
      <c r="H11" s="171"/>
      <c r="I11" s="171"/>
      <c r="J11" s="176">
        <v>99718.55</v>
      </c>
      <c r="N11" s="46"/>
      <c r="O11" s="190"/>
    </row>
    <row r="12" spans="1:16" ht="15.75" thickBot="1" x14ac:dyDescent="0.3">
      <c r="A12" s="171"/>
      <c r="B12" s="171"/>
      <c r="C12" s="171"/>
      <c r="D12" s="171"/>
      <c r="E12" s="171"/>
      <c r="F12" s="171" t="s">
        <v>618</v>
      </c>
      <c r="G12" s="171"/>
      <c r="H12" s="171"/>
      <c r="I12" s="171"/>
      <c r="J12" s="8">
        <v>265060.21000000002</v>
      </c>
      <c r="N12" s="104"/>
      <c r="O12" s="202"/>
    </row>
    <row r="13" spans="1:16" ht="15.75" thickBot="1" x14ac:dyDescent="0.3">
      <c r="A13" s="171"/>
      <c r="B13" s="171"/>
      <c r="C13" s="171"/>
      <c r="D13" s="171"/>
      <c r="E13" s="171" t="s">
        <v>39</v>
      </c>
      <c r="F13" s="171"/>
      <c r="G13" s="171"/>
      <c r="H13" s="171"/>
      <c r="I13" s="171"/>
      <c r="J13" s="10">
        <f>ROUND(SUM(J6:J12),5)</f>
        <v>20676189.140000001</v>
      </c>
      <c r="N13" s="65" t="s">
        <v>397</v>
      </c>
      <c r="O13" s="203" t="s">
        <v>380</v>
      </c>
    </row>
    <row r="14" spans="1:16" x14ac:dyDescent="0.25">
      <c r="A14" s="171"/>
      <c r="B14" s="171"/>
      <c r="C14" s="171"/>
      <c r="D14" s="171" t="s">
        <v>40</v>
      </c>
      <c r="E14" s="171"/>
      <c r="F14" s="171"/>
      <c r="G14" s="171"/>
      <c r="H14" s="171"/>
      <c r="I14" s="171"/>
      <c r="J14" s="176">
        <f>ROUND(J5+J13,5)</f>
        <v>20676189.140000001</v>
      </c>
      <c r="N14" s="46" t="s">
        <v>269</v>
      </c>
      <c r="O14" s="190">
        <f>J114-O5</f>
        <v>1027243.6199999999</v>
      </c>
      <c r="P14" s="17">
        <f>O14-'P6'!O12</f>
        <v>35138.019999999786</v>
      </c>
    </row>
    <row r="15" spans="1:16" x14ac:dyDescent="0.25">
      <c r="A15" s="171"/>
      <c r="B15" s="171"/>
      <c r="C15" s="171"/>
      <c r="D15" s="171" t="s">
        <v>41</v>
      </c>
      <c r="E15" s="171"/>
      <c r="F15" s="171"/>
      <c r="G15" s="171"/>
      <c r="H15" s="171"/>
      <c r="I15" s="171"/>
      <c r="J15" s="176"/>
      <c r="N15" s="46" t="s">
        <v>270</v>
      </c>
      <c r="O15" s="190">
        <f>J158-O6</f>
        <v>569055.56000000006</v>
      </c>
    </row>
    <row r="16" spans="1:16" x14ac:dyDescent="0.25">
      <c r="A16" s="171"/>
      <c r="B16" s="171"/>
      <c r="C16" s="171"/>
      <c r="D16" s="171"/>
      <c r="E16" s="171" t="s">
        <v>42</v>
      </c>
      <c r="F16" s="171"/>
      <c r="G16" s="171"/>
      <c r="H16" s="171"/>
      <c r="I16" s="171"/>
      <c r="J16" s="176"/>
      <c r="N16" s="194" t="s">
        <v>609</v>
      </c>
      <c r="O16" s="190">
        <f>J169</f>
        <v>71919.42</v>
      </c>
    </row>
    <row r="17" spans="1:15" x14ac:dyDescent="0.25">
      <c r="A17" s="171"/>
      <c r="B17" s="171"/>
      <c r="C17" s="171"/>
      <c r="D17" s="171"/>
      <c r="E17" s="171"/>
      <c r="F17" s="171" t="s">
        <v>43</v>
      </c>
      <c r="G17" s="171"/>
      <c r="H17" s="171"/>
      <c r="I17" s="171"/>
      <c r="J17" s="176"/>
      <c r="N17" s="194" t="s">
        <v>610</v>
      </c>
      <c r="O17" s="190">
        <f>J189-O7</f>
        <v>136075.20000000001</v>
      </c>
    </row>
    <row r="18" spans="1:15" x14ac:dyDescent="0.25">
      <c r="A18" s="171"/>
      <c r="B18" s="171"/>
      <c r="C18" s="171"/>
      <c r="D18" s="171"/>
      <c r="E18" s="171"/>
      <c r="F18" s="171"/>
      <c r="G18" s="171" t="s">
        <v>44</v>
      </c>
      <c r="H18" s="171"/>
      <c r="I18" s="171"/>
      <c r="J18" s="176">
        <f>5109490+16780.63+93530.21</f>
        <v>5219800.84</v>
      </c>
      <c r="L18" s="154">
        <f>J18/L1</f>
        <v>35276.07515036832</v>
      </c>
      <c r="N18" s="66" t="s">
        <v>611</v>
      </c>
      <c r="O18" s="190">
        <f>J194+J197</f>
        <v>270511.67000000004</v>
      </c>
    </row>
    <row r="19" spans="1:15" x14ac:dyDescent="0.25">
      <c r="A19" s="171"/>
      <c r="B19" s="171"/>
      <c r="C19" s="171"/>
      <c r="D19" s="171"/>
      <c r="E19" s="171"/>
      <c r="F19" s="171"/>
      <c r="G19" s="171" t="s">
        <v>45</v>
      </c>
      <c r="H19" s="171"/>
      <c r="I19" s="171"/>
      <c r="J19" s="176">
        <v>57448</v>
      </c>
      <c r="L19" s="154">
        <f>J19/L1</f>
        <v>388.24085963370953</v>
      </c>
      <c r="N19" s="193" t="s">
        <v>612</v>
      </c>
      <c r="O19" s="190"/>
    </row>
    <row r="20" spans="1:15" ht="15.75" thickBot="1" x14ac:dyDescent="0.3">
      <c r="A20" s="171"/>
      <c r="B20" s="171"/>
      <c r="C20" s="171"/>
      <c r="D20" s="171"/>
      <c r="E20" s="171"/>
      <c r="F20" s="171"/>
      <c r="G20" s="171" t="s">
        <v>47</v>
      </c>
      <c r="H20" s="171"/>
      <c r="I20" s="171"/>
      <c r="J20" s="220">
        <v>205658</v>
      </c>
      <c r="L20" s="154">
        <f>J20/L1</f>
        <v>1389.86281002906</v>
      </c>
      <c r="N20" s="67" t="s">
        <v>383</v>
      </c>
      <c r="O20" s="184">
        <f>J210</f>
        <v>1099287.6499999999</v>
      </c>
    </row>
    <row r="21" spans="1:15" ht="15.75" thickBot="1" x14ac:dyDescent="0.3">
      <c r="A21" s="171"/>
      <c r="B21" s="171"/>
      <c r="C21" s="171"/>
      <c r="D21" s="171"/>
      <c r="E21" s="171"/>
      <c r="F21" s="171" t="s">
        <v>48</v>
      </c>
      <c r="G21" s="171"/>
      <c r="H21" s="171"/>
      <c r="I21" s="171"/>
      <c r="J21" s="176">
        <f>ROUND(SUM(J17:J20),5)</f>
        <v>5482906.8399999999</v>
      </c>
      <c r="L21" s="239">
        <f>SUM(L18:L20)</f>
        <v>37054.178820031091</v>
      </c>
      <c r="N21" s="67" t="s">
        <v>386</v>
      </c>
      <c r="O21" s="190">
        <f>J217</f>
        <v>628272.97</v>
      </c>
    </row>
    <row r="22" spans="1:15" ht="15.75" thickTop="1" x14ac:dyDescent="0.25">
      <c r="A22" s="171"/>
      <c r="B22" s="171"/>
      <c r="C22" s="171"/>
      <c r="D22" s="171"/>
      <c r="E22" s="171"/>
      <c r="F22" s="171" t="s">
        <v>49</v>
      </c>
      <c r="G22" s="171"/>
      <c r="H22" s="171"/>
      <c r="I22" s="171"/>
      <c r="J22" s="176"/>
      <c r="N22" s="46"/>
      <c r="O22" s="190"/>
    </row>
    <row r="23" spans="1:15" x14ac:dyDescent="0.25">
      <c r="A23" s="171"/>
      <c r="B23" s="171"/>
      <c r="C23" s="171"/>
      <c r="D23" s="171"/>
      <c r="E23" s="171"/>
      <c r="F23" s="171"/>
      <c r="G23" s="171" t="s">
        <v>446</v>
      </c>
      <c r="H23" s="171"/>
      <c r="I23" s="171"/>
      <c r="J23" s="176">
        <v>62702</v>
      </c>
      <c r="N23" s="61" t="s">
        <v>12</v>
      </c>
      <c r="O23" s="204">
        <f>SUM(O14:O21)</f>
        <v>3802366.09</v>
      </c>
    </row>
    <row r="24" spans="1:15" x14ac:dyDescent="0.25">
      <c r="A24" s="171"/>
      <c r="B24" s="171"/>
      <c r="C24" s="171"/>
      <c r="D24" s="171"/>
      <c r="E24" s="171"/>
      <c r="F24" s="171"/>
      <c r="G24" s="171" t="s">
        <v>50</v>
      </c>
      <c r="H24" s="171"/>
      <c r="I24" s="171"/>
      <c r="J24" s="176">
        <v>28800</v>
      </c>
    </row>
    <row r="25" spans="1:15" x14ac:dyDescent="0.25">
      <c r="A25" s="171"/>
      <c r="B25" s="171"/>
      <c r="C25" s="171"/>
      <c r="D25" s="171"/>
      <c r="E25" s="171"/>
      <c r="F25" s="171"/>
      <c r="G25" s="171" t="s">
        <v>447</v>
      </c>
      <c r="H25" s="171"/>
      <c r="I25" s="171"/>
      <c r="J25" s="176">
        <v>10500</v>
      </c>
    </row>
    <row r="26" spans="1:15" x14ac:dyDescent="0.25">
      <c r="A26" s="171"/>
      <c r="B26" s="171"/>
      <c r="C26" s="171"/>
      <c r="D26" s="171"/>
      <c r="E26" s="171"/>
      <c r="F26" s="171"/>
      <c r="G26" s="171" t="s">
        <v>448</v>
      </c>
      <c r="H26" s="171"/>
      <c r="I26" s="171"/>
      <c r="J26" s="176">
        <v>665</v>
      </c>
    </row>
    <row r="27" spans="1:15" x14ac:dyDescent="0.25">
      <c r="A27" s="171"/>
      <c r="B27" s="171"/>
      <c r="C27" s="171"/>
      <c r="D27" s="171"/>
      <c r="E27" s="171"/>
      <c r="F27" s="171"/>
      <c r="G27" s="171" t="s">
        <v>449</v>
      </c>
      <c r="H27" s="171"/>
      <c r="I27" s="171"/>
      <c r="J27" s="176">
        <v>22420</v>
      </c>
    </row>
    <row r="28" spans="1:15" x14ac:dyDescent="0.25">
      <c r="A28" s="171"/>
      <c r="B28" s="171"/>
      <c r="C28" s="171"/>
      <c r="D28" s="171"/>
      <c r="E28" s="171"/>
      <c r="F28" s="171"/>
      <c r="G28" s="171" t="s">
        <v>51</v>
      </c>
      <c r="H28" s="171"/>
      <c r="I28" s="171"/>
      <c r="J28" s="176">
        <v>5000</v>
      </c>
    </row>
    <row r="29" spans="1:15" ht="15.75" thickBot="1" x14ac:dyDescent="0.3">
      <c r="A29" s="171"/>
      <c r="B29" s="171"/>
      <c r="C29" s="171"/>
      <c r="D29" s="171"/>
      <c r="E29" s="171"/>
      <c r="F29" s="171"/>
      <c r="G29" s="171" t="s">
        <v>53</v>
      </c>
      <c r="H29" s="171"/>
      <c r="I29" s="171"/>
      <c r="J29" s="220">
        <v>480562.5</v>
      </c>
      <c r="K29" s="154">
        <f>J29/L1</f>
        <v>3247.7022369399201</v>
      </c>
      <c r="L29" s="222"/>
    </row>
    <row r="30" spans="1:15" x14ac:dyDescent="0.25">
      <c r="A30" s="171"/>
      <c r="B30" s="171"/>
      <c r="C30" s="171"/>
      <c r="D30" s="171"/>
      <c r="E30" s="171"/>
      <c r="F30" s="171" t="s">
        <v>54</v>
      </c>
      <c r="G30" s="171"/>
      <c r="H30" s="171"/>
      <c r="I30" s="171"/>
      <c r="J30" s="176">
        <f>ROUND(SUM(J22:J29),5)</f>
        <v>610649.5</v>
      </c>
      <c r="K30" s="236">
        <f>J30-J29</f>
        <v>130087</v>
      </c>
      <c r="L30" s="215" t="s">
        <v>684</v>
      </c>
      <c r="M30" s="154">
        <f>K30/L1</f>
        <v>879.14442116645262</v>
      </c>
    </row>
    <row r="31" spans="1:15" x14ac:dyDescent="0.25">
      <c r="A31" s="171"/>
      <c r="B31" s="171"/>
      <c r="C31" s="171"/>
      <c r="D31" s="171"/>
      <c r="E31" s="171"/>
      <c r="F31" s="171" t="s">
        <v>55</v>
      </c>
      <c r="G31" s="171"/>
      <c r="H31" s="171"/>
      <c r="I31" s="171"/>
      <c r="J31" s="176"/>
    </row>
    <row r="32" spans="1:15" x14ac:dyDescent="0.25">
      <c r="A32" s="171"/>
      <c r="B32" s="171"/>
      <c r="C32" s="171"/>
      <c r="D32" s="171"/>
      <c r="E32" s="171"/>
      <c r="F32" s="171"/>
      <c r="G32" s="171" t="s">
        <v>56</v>
      </c>
      <c r="H32" s="171"/>
      <c r="I32" s="171"/>
      <c r="J32" s="176">
        <v>5122622.74</v>
      </c>
    </row>
    <row r="33" spans="1:13" x14ac:dyDescent="0.25">
      <c r="A33" s="171"/>
      <c r="B33" s="171"/>
      <c r="C33" s="171"/>
      <c r="D33" s="171"/>
      <c r="E33" s="171"/>
      <c r="F33" s="171"/>
      <c r="G33" s="171" t="s">
        <v>620</v>
      </c>
      <c r="H33" s="171"/>
      <c r="I33" s="171"/>
      <c r="J33" s="176">
        <v>240310.9</v>
      </c>
    </row>
    <row r="34" spans="1:13" x14ac:dyDescent="0.25">
      <c r="A34" s="171"/>
      <c r="B34" s="171"/>
      <c r="C34" s="171"/>
      <c r="D34" s="171"/>
      <c r="E34" s="171"/>
      <c r="F34" s="171"/>
      <c r="G34" s="171" t="s">
        <v>59</v>
      </c>
      <c r="H34" s="171"/>
      <c r="I34" s="171"/>
      <c r="J34" s="176">
        <v>101160.85</v>
      </c>
    </row>
    <row r="35" spans="1:13" ht="15.75" thickBot="1" x14ac:dyDescent="0.3">
      <c r="A35" s="171"/>
      <c r="B35" s="171"/>
      <c r="C35" s="171"/>
      <c r="D35" s="171"/>
      <c r="E35" s="171"/>
      <c r="F35" s="171"/>
      <c r="G35" s="171" t="s">
        <v>60</v>
      </c>
      <c r="H35" s="171"/>
      <c r="I35" s="171"/>
      <c r="J35" s="220">
        <v>0</v>
      </c>
    </row>
    <row r="36" spans="1:13" x14ac:dyDescent="0.25">
      <c r="A36" s="171"/>
      <c r="B36" s="171"/>
      <c r="C36" s="171"/>
      <c r="D36" s="171"/>
      <c r="E36" s="171"/>
      <c r="F36" s="171" t="s">
        <v>61</v>
      </c>
      <c r="G36" s="171"/>
      <c r="H36" s="171"/>
      <c r="I36" s="171"/>
      <c r="J36" s="176">
        <f>ROUND(SUM(J31:J35),5)</f>
        <v>5464094.4900000002</v>
      </c>
    </row>
    <row r="37" spans="1:13" x14ac:dyDescent="0.25">
      <c r="A37" s="171"/>
      <c r="B37" s="171"/>
      <c r="C37" s="171"/>
      <c r="D37" s="171"/>
      <c r="E37" s="171"/>
      <c r="F37" s="171" t="s">
        <v>62</v>
      </c>
      <c r="G37" s="171"/>
      <c r="H37" s="171"/>
      <c r="I37" s="171"/>
      <c r="J37" s="176"/>
    </row>
    <row r="38" spans="1:13" x14ac:dyDescent="0.25">
      <c r="A38" s="171"/>
      <c r="B38" s="171"/>
      <c r="C38" s="171"/>
      <c r="D38" s="171"/>
      <c r="E38" s="171"/>
      <c r="F38" s="171"/>
      <c r="G38" s="171" t="s">
        <v>63</v>
      </c>
      <c r="H38" s="171"/>
      <c r="I38" s="171"/>
      <c r="J38" s="231">
        <v>998738.36</v>
      </c>
      <c r="M38" s="234"/>
    </row>
    <row r="39" spans="1:13" x14ac:dyDescent="0.25">
      <c r="A39" s="171"/>
      <c r="B39" s="171"/>
      <c r="C39" s="171"/>
      <c r="D39" s="171"/>
      <c r="E39" s="171"/>
      <c r="F39" s="171"/>
      <c r="G39" s="171" t="s">
        <v>512</v>
      </c>
      <c r="H39" s="171"/>
      <c r="I39" s="171"/>
      <c r="J39" s="231">
        <v>120514.6</v>
      </c>
      <c r="M39" s="20"/>
    </row>
    <row r="40" spans="1:13" x14ac:dyDescent="0.25">
      <c r="A40" s="171"/>
      <c r="B40" s="171"/>
      <c r="C40" s="171"/>
      <c r="D40" s="171"/>
      <c r="E40" s="171"/>
      <c r="F40" s="171"/>
      <c r="G40" s="171" t="s">
        <v>513</v>
      </c>
      <c r="H40" s="171"/>
      <c r="I40" s="171"/>
      <c r="J40" s="231">
        <v>30128.65</v>
      </c>
    </row>
    <row r="41" spans="1:13" x14ac:dyDescent="0.25">
      <c r="A41" s="171"/>
      <c r="B41" s="171"/>
      <c r="C41" s="171"/>
      <c r="D41" s="171"/>
      <c r="E41" s="171"/>
      <c r="F41" s="171"/>
      <c r="G41" s="171" t="s">
        <v>64</v>
      </c>
      <c r="H41" s="171"/>
      <c r="I41" s="171"/>
      <c r="J41" s="231">
        <v>336203.29</v>
      </c>
    </row>
    <row r="42" spans="1:13" x14ac:dyDescent="0.25">
      <c r="A42" s="171"/>
      <c r="B42" s="171"/>
      <c r="C42" s="171"/>
      <c r="D42" s="171"/>
      <c r="E42" s="171"/>
      <c r="F42" s="171"/>
      <c r="G42" s="171" t="s">
        <v>65</v>
      </c>
      <c r="H42" s="171"/>
      <c r="I42" s="171"/>
      <c r="J42" s="231">
        <v>108300.76</v>
      </c>
    </row>
    <row r="43" spans="1:13" x14ac:dyDescent="0.25">
      <c r="A43" s="171"/>
      <c r="B43" s="171"/>
      <c r="C43" s="171"/>
      <c r="D43" s="171"/>
      <c r="E43" s="171"/>
      <c r="F43" s="171"/>
      <c r="G43" s="171" t="s">
        <v>66</v>
      </c>
      <c r="H43" s="171"/>
      <c r="I43" s="171"/>
      <c r="J43" s="231">
        <v>35005.47</v>
      </c>
    </row>
    <row r="44" spans="1:13" ht="15.75" thickBot="1" x14ac:dyDescent="0.3">
      <c r="A44" s="171"/>
      <c r="B44" s="171"/>
      <c r="C44" s="171"/>
      <c r="D44" s="171"/>
      <c r="E44" s="171"/>
      <c r="F44" s="171"/>
      <c r="G44" s="171" t="s">
        <v>645</v>
      </c>
      <c r="H44" s="171"/>
      <c r="I44" s="171"/>
      <c r="J44" s="238">
        <v>89027.13</v>
      </c>
    </row>
    <row r="45" spans="1:13" x14ac:dyDescent="0.25">
      <c r="A45" s="171"/>
      <c r="B45" s="171"/>
      <c r="C45" s="171"/>
      <c r="D45" s="171"/>
      <c r="E45" s="171"/>
      <c r="F45" s="171" t="s">
        <v>67</v>
      </c>
      <c r="G45" s="171"/>
      <c r="H45" s="171"/>
      <c r="I45" s="171"/>
      <c r="J45" s="231">
        <f>ROUND(SUM(J37:J44),5)</f>
        <v>1717918.26</v>
      </c>
    </row>
    <row r="46" spans="1:13" x14ac:dyDescent="0.25">
      <c r="A46" s="171"/>
      <c r="B46" s="171"/>
      <c r="C46" s="171"/>
      <c r="D46" s="171"/>
      <c r="E46" s="171"/>
      <c r="F46" s="171" t="s">
        <v>514</v>
      </c>
      <c r="G46" s="171"/>
      <c r="H46" s="171"/>
      <c r="I46" s="171"/>
      <c r="J46" s="176"/>
    </row>
    <row r="47" spans="1:13" x14ac:dyDescent="0.25">
      <c r="A47" s="171"/>
      <c r="B47" s="171"/>
      <c r="C47" s="171"/>
      <c r="D47" s="171"/>
      <c r="E47" s="171"/>
      <c r="F47" s="171"/>
      <c r="G47" s="171" t="s">
        <v>621</v>
      </c>
      <c r="H47" s="171"/>
      <c r="I47" s="171"/>
      <c r="J47" s="176">
        <v>2090</v>
      </c>
    </row>
    <row r="48" spans="1:13" x14ac:dyDescent="0.25">
      <c r="A48" s="171"/>
      <c r="B48" s="171"/>
      <c r="C48" s="171"/>
      <c r="D48" s="171"/>
      <c r="E48" s="171"/>
      <c r="F48" s="171"/>
      <c r="G48" s="171" t="s">
        <v>654</v>
      </c>
      <c r="H48" s="171"/>
      <c r="I48" s="171"/>
      <c r="J48" s="176"/>
    </row>
    <row r="49" spans="1:10" x14ac:dyDescent="0.25">
      <c r="A49" s="171"/>
      <c r="B49" s="171"/>
      <c r="C49" s="171"/>
      <c r="D49" s="171"/>
      <c r="E49" s="171"/>
      <c r="F49" s="171"/>
      <c r="G49" s="171"/>
      <c r="H49" s="171" t="s">
        <v>655</v>
      </c>
      <c r="I49" s="171"/>
      <c r="J49" s="176">
        <v>64000</v>
      </c>
    </row>
    <row r="50" spans="1:10" ht="15.75" thickBot="1" x14ac:dyDescent="0.3">
      <c r="A50" s="171"/>
      <c r="B50" s="171"/>
      <c r="C50" s="171"/>
      <c r="D50" s="171"/>
      <c r="E50" s="171"/>
      <c r="F50" s="171"/>
      <c r="G50" s="171"/>
      <c r="H50" s="171" t="s">
        <v>656</v>
      </c>
      <c r="I50" s="171"/>
      <c r="J50" s="8">
        <v>3130</v>
      </c>
    </row>
    <row r="51" spans="1:10" ht="15.75" thickBot="1" x14ac:dyDescent="0.3">
      <c r="A51" s="171"/>
      <c r="B51" s="171"/>
      <c r="C51" s="171"/>
      <c r="D51" s="171"/>
      <c r="E51" s="171"/>
      <c r="F51" s="171"/>
      <c r="G51" s="171" t="s">
        <v>657</v>
      </c>
      <c r="H51" s="171"/>
      <c r="I51" s="171"/>
      <c r="J51" s="10">
        <f>ROUND(SUM(J48:J50),5)</f>
        <v>67130</v>
      </c>
    </row>
    <row r="52" spans="1:10" ht="15.75" thickBot="1" x14ac:dyDescent="0.3">
      <c r="A52" s="171"/>
      <c r="B52" s="171"/>
      <c r="C52" s="171"/>
      <c r="D52" s="171"/>
      <c r="E52" s="171"/>
      <c r="F52" s="171" t="s">
        <v>516</v>
      </c>
      <c r="G52" s="171"/>
      <c r="H52" s="171"/>
      <c r="I52" s="171"/>
      <c r="J52" s="231">
        <f>ROUND(SUM(J46:J47)+J51,5)</f>
        <v>69220</v>
      </c>
    </row>
    <row r="53" spans="1:10" ht="15.75" thickBot="1" x14ac:dyDescent="0.3">
      <c r="A53" s="171"/>
      <c r="B53" s="171"/>
      <c r="C53" s="171"/>
      <c r="D53" s="171"/>
      <c r="E53" s="171" t="s">
        <v>71</v>
      </c>
      <c r="F53" s="171"/>
      <c r="G53" s="171"/>
      <c r="H53" s="171"/>
      <c r="I53" s="171"/>
      <c r="J53" s="11">
        <f>ROUND(J16+J21+J30+J36+J45+SUM(J52:J52),5)</f>
        <v>13344789.09</v>
      </c>
    </row>
    <row r="54" spans="1:10" ht="15.75" thickBot="1" x14ac:dyDescent="0.3">
      <c r="A54" s="171"/>
      <c r="B54" s="171"/>
      <c r="C54" s="171"/>
      <c r="D54" s="171" t="s">
        <v>72</v>
      </c>
      <c r="E54" s="171"/>
      <c r="F54" s="171"/>
      <c r="G54" s="171"/>
      <c r="H54" s="171"/>
      <c r="I54" s="171"/>
      <c r="J54" s="10">
        <f>ROUND(SUM(J15:J15)+J53,5)</f>
        <v>13344789.09</v>
      </c>
    </row>
    <row r="55" spans="1:10" x14ac:dyDescent="0.25">
      <c r="A55" s="171"/>
      <c r="B55" s="171"/>
      <c r="C55" s="171" t="s">
        <v>73</v>
      </c>
      <c r="D55" s="171"/>
      <c r="E55" s="171"/>
      <c r="F55" s="171"/>
      <c r="G55" s="171"/>
      <c r="H55" s="171"/>
      <c r="I55" s="171"/>
      <c r="J55" s="176">
        <f>ROUND(J14-J54,5)</f>
        <v>7331400.0499999998</v>
      </c>
    </row>
    <row r="56" spans="1:10" x14ac:dyDescent="0.25">
      <c r="A56" s="171"/>
      <c r="B56" s="171"/>
      <c r="C56" s="171"/>
      <c r="D56" s="171" t="s">
        <v>74</v>
      </c>
      <c r="E56" s="171"/>
      <c r="F56" s="171"/>
      <c r="G56" s="171"/>
      <c r="H56" s="171"/>
      <c r="I56" s="171"/>
      <c r="J56" s="176"/>
    </row>
    <row r="57" spans="1:10" x14ac:dyDescent="0.25">
      <c r="A57" s="171"/>
      <c r="B57" s="171"/>
      <c r="C57" s="171"/>
      <c r="D57" s="171"/>
      <c r="E57" s="171" t="s">
        <v>75</v>
      </c>
      <c r="F57" s="171"/>
      <c r="G57" s="171"/>
      <c r="H57" s="171"/>
      <c r="I57" s="171"/>
      <c r="J57" s="176"/>
    </row>
    <row r="58" spans="1:10" x14ac:dyDescent="0.25">
      <c r="A58" s="171"/>
      <c r="B58" s="171"/>
      <c r="C58" s="171"/>
      <c r="D58" s="171"/>
      <c r="E58" s="171"/>
      <c r="F58" s="171" t="s">
        <v>189</v>
      </c>
      <c r="G58" s="171"/>
      <c r="H58" s="171"/>
      <c r="I58" s="171"/>
      <c r="J58" s="176"/>
    </row>
    <row r="59" spans="1:10" x14ac:dyDescent="0.25">
      <c r="A59" s="171"/>
      <c r="B59" s="171"/>
      <c r="C59" s="171"/>
      <c r="D59" s="171"/>
      <c r="E59" s="171"/>
      <c r="F59" s="171"/>
      <c r="G59" s="171" t="s">
        <v>76</v>
      </c>
      <c r="H59" s="171"/>
      <c r="I59" s="171"/>
      <c r="J59" s="176"/>
    </row>
    <row r="60" spans="1:10" x14ac:dyDescent="0.25">
      <c r="A60" s="171"/>
      <c r="B60" s="171"/>
      <c r="C60" s="171"/>
      <c r="D60" s="171"/>
      <c r="E60" s="171"/>
      <c r="F60" s="171"/>
      <c r="G60" s="171"/>
      <c r="H60" s="171" t="s">
        <v>77</v>
      </c>
      <c r="I60" s="171"/>
      <c r="J60" s="176">
        <v>18000</v>
      </c>
    </row>
    <row r="61" spans="1:10" x14ac:dyDescent="0.25">
      <c r="A61" s="171"/>
      <c r="B61" s="171"/>
      <c r="C61" s="171"/>
      <c r="D61" s="171"/>
      <c r="E61" s="171"/>
      <c r="F61" s="171"/>
      <c r="G61" s="171"/>
      <c r="H61" s="171" t="s">
        <v>78</v>
      </c>
      <c r="I61" s="171"/>
      <c r="J61" s="176">
        <v>43226.8</v>
      </c>
    </row>
    <row r="62" spans="1:10" x14ac:dyDescent="0.25">
      <c r="A62" s="171"/>
      <c r="B62" s="171"/>
      <c r="C62" s="171"/>
      <c r="D62" s="171"/>
      <c r="E62" s="171"/>
      <c r="F62" s="171"/>
      <c r="G62" s="171"/>
      <c r="H62" s="171" t="s">
        <v>79</v>
      </c>
      <c r="I62" s="171"/>
      <c r="J62" s="176">
        <v>4250</v>
      </c>
    </row>
    <row r="63" spans="1:10" x14ac:dyDescent="0.25">
      <c r="A63" s="171"/>
      <c r="B63" s="171"/>
      <c r="C63" s="171"/>
      <c r="D63" s="171"/>
      <c r="E63" s="171"/>
      <c r="F63" s="171"/>
      <c r="G63" s="171"/>
      <c r="H63" s="171" t="s">
        <v>80</v>
      </c>
      <c r="I63" s="171"/>
      <c r="J63" s="176">
        <v>1008</v>
      </c>
    </row>
    <row r="64" spans="1:10" x14ac:dyDescent="0.25">
      <c r="A64" s="171"/>
      <c r="B64" s="171"/>
      <c r="C64" s="171"/>
      <c r="D64" s="171"/>
      <c r="E64" s="171"/>
      <c r="F64" s="171"/>
      <c r="G64" s="171"/>
      <c r="H64" s="171" t="s">
        <v>453</v>
      </c>
      <c r="I64" s="171"/>
      <c r="J64" s="176">
        <v>2570.4</v>
      </c>
    </row>
    <row r="65" spans="1:10" x14ac:dyDescent="0.25">
      <c r="A65" s="171"/>
      <c r="B65" s="171"/>
      <c r="C65" s="171"/>
      <c r="D65" s="171"/>
      <c r="E65" s="171"/>
      <c r="F65" s="171"/>
      <c r="G65" s="171"/>
      <c r="H65" s="171" t="s">
        <v>81</v>
      </c>
      <c r="I65" s="171"/>
      <c r="J65" s="176"/>
    </row>
    <row r="66" spans="1:10" ht="15.75" thickBot="1" x14ac:dyDescent="0.3">
      <c r="A66" s="171"/>
      <c r="B66" s="171"/>
      <c r="C66" s="171"/>
      <c r="D66" s="171"/>
      <c r="E66" s="171"/>
      <c r="F66" s="171"/>
      <c r="G66" s="171"/>
      <c r="H66" s="171"/>
      <c r="I66" s="171" t="s">
        <v>82</v>
      </c>
      <c r="J66" s="220">
        <v>11270</v>
      </c>
    </row>
    <row r="67" spans="1:10" x14ac:dyDescent="0.25">
      <c r="A67" s="171"/>
      <c r="B67" s="171"/>
      <c r="C67" s="171"/>
      <c r="D67" s="171"/>
      <c r="E67" s="171"/>
      <c r="F67" s="171"/>
      <c r="G67" s="171"/>
      <c r="H67" s="171" t="s">
        <v>83</v>
      </c>
      <c r="I67" s="171"/>
      <c r="J67" s="176">
        <f>ROUND(SUM(J65:J66),5)</f>
        <v>11270</v>
      </c>
    </row>
    <row r="68" spans="1:10" x14ac:dyDescent="0.25">
      <c r="A68" s="171"/>
      <c r="B68" s="171"/>
      <c r="C68" s="171"/>
      <c r="D68" s="171"/>
      <c r="E68" s="171"/>
      <c r="F68" s="171"/>
      <c r="G68" s="171"/>
      <c r="H68" s="171" t="s">
        <v>190</v>
      </c>
      <c r="I68" s="171"/>
      <c r="J68" s="176">
        <v>75740</v>
      </c>
    </row>
    <row r="69" spans="1:10" x14ac:dyDescent="0.25">
      <c r="A69" s="171"/>
      <c r="B69" s="171"/>
      <c r="C69" s="171"/>
      <c r="D69" s="171"/>
      <c r="E69" s="171"/>
      <c r="F69" s="171"/>
      <c r="G69" s="171"/>
      <c r="H69" s="171" t="s">
        <v>84</v>
      </c>
      <c r="I69" s="171"/>
      <c r="J69" s="176">
        <v>40130</v>
      </c>
    </row>
    <row r="70" spans="1:10" x14ac:dyDescent="0.25">
      <c r="A70" s="171"/>
      <c r="B70" s="171"/>
      <c r="C70" s="171"/>
      <c r="D70" s="171"/>
      <c r="E70" s="171"/>
      <c r="F70" s="171"/>
      <c r="G70" s="171"/>
      <c r="H70" s="171" t="s">
        <v>517</v>
      </c>
      <c r="I70" s="171"/>
      <c r="J70" s="176"/>
    </row>
    <row r="71" spans="1:10" x14ac:dyDescent="0.25">
      <c r="A71" s="171"/>
      <c r="B71" s="171"/>
      <c r="C71" s="171"/>
      <c r="D71" s="171"/>
      <c r="E71" s="171"/>
      <c r="F71" s="171"/>
      <c r="G71" s="171"/>
      <c r="H71" s="171"/>
      <c r="I71" s="171" t="s">
        <v>518</v>
      </c>
      <c r="J71" s="176">
        <v>7101.61</v>
      </c>
    </row>
    <row r="72" spans="1:10" ht="15.75" thickBot="1" x14ac:dyDescent="0.3">
      <c r="A72" s="171"/>
      <c r="B72" s="171"/>
      <c r="C72" s="171"/>
      <c r="D72" s="171"/>
      <c r="E72" s="171"/>
      <c r="F72" s="171"/>
      <c r="G72" s="171"/>
      <c r="H72" s="171"/>
      <c r="I72" s="171" t="s">
        <v>519</v>
      </c>
      <c r="J72" s="220">
        <v>8391.85</v>
      </c>
    </row>
    <row r="73" spans="1:10" x14ac:dyDescent="0.25">
      <c r="A73" s="171"/>
      <c r="B73" s="171"/>
      <c r="C73" s="171"/>
      <c r="D73" s="171"/>
      <c r="E73" s="171"/>
      <c r="F73" s="171"/>
      <c r="G73" s="171"/>
      <c r="H73" s="171" t="s">
        <v>520</v>
      </c>
      <c r="I73" s="171"/>
      <c r="J73" s="176">
        <f>ROUND(SUM(J70:J72),5)</f>
        <v>15493.46</v>
      </c>
    </row>
    <row r="74" spans="1:10" ht="15.75" thickBot="1" x14ac:dyDescent="0.3">
      <c r="A74" s="171"/>
      <c r="B74" s="171"/>
      <c r="C74" s="171"/>
      <c r="D74" s="171"/>
      <c r="E74" s="171"/>
      <c r="F74" s="171"/>
      <c r="G74" s="171"/>
      <c r="H74" s="171" t="s">
        <v>521</v>
      </c>
      <c r="I74" s="171"/>
      <c r="J74" s="220">
        <v>3100</v>
      </c>
    </row>
    <row r="75" spans="1:10" x14ac:dyDescent="0.25">
      <c r="A75" s="171"/>
      <c r="B75" s="171"/>
      <c r="C75" s="171"/>
      <c r="D75" s="171"/>
      <c r="E75" s="171"/>
      <c r="F75" s="171"/>
      <c r="G75" s="171" t="s">
        <v>85</v>
      </c>
      <c r="H75" s="171"/>
      <c r="I75" s="171"/>
      <c r="J75" s="176">
        <f>ROUND(SUM(J59:J64)+SUM(J67:J69)+SUM(J73:J74),5)</f>
        <v>214788.66</v>
      </c>
    </row>
    <row r="76" spans="1:10" x14ac:dyDescent="0.25">
      <c r="A76" s="171"/>
      <c r="B76" s="171"/>
      <c r="C76" s="171"/>
      <c r="D76" s="171"/>
      <c r="E76" s="171"/>
      <c r="F76" s="171"/>
      <c r="G76" s="171" t="s">
        <v>86</v>
      </c>
      <c r="H76" s="171"/>
      <c r="I76" s="171"/>
      <c r="J76" s="176"/>
    </row>
    <row r="77" spans="1:10" x14ac:dyDescent="0.25">
      <c r="A77" s="171"/>
      <c r="B77" s="171"/>
      <c r="C77" s="171"/>
      <c r="D77" s="171"/>
      <c r="E77" s="171"/>
      <c r="F77" s="171"/>
      <c r="G77" s="171"/>
      <c r="H77" s="171" t="s">
        <v>87</v>
      </c>
      <c r="I77" s="171"/>
      <c r="J77" s="176">
        <v>354000</v>
      </c>
    </row>
    <row r="78" spans="1:10" x14ac:dyDescent="0.25">
      <c r="A78" s="171"/>
      <c r="B78" s="171"/>
      <c r="C78" s="171"/>
      <c r="D78" s="171"/>
      <c r="E78" s="171"/>
      <c r="F78" s="171"/>
      <c r="G78" s="171"/>
      <c r="H78" s="171" t="s">
        <v>522</v>
      </c>
      <c r="I78" s="171"/>
      <c r="J78" s="176">
        <v>31680</v>
      </c>
    </row>
    <row r="79" spans="1:10" x14ac:dyDescent="0.25">
      <c r="A79" s="171"/>
      <c r="B79" s="171"/>
      <c r="C79" s="171"/>
      <c r="D79" s="171"/>
      <c r="E79" s="171"/>
      <c r="F79" s="171"/>
      <c r="G79" s="171"/>
      <c r="H79" s="171" t="s">
        <v>523</v>
      </c>
      <c r="I79" s="171"/>
      <c r="J79" s="176">
        <v>7920</v>
      </c>
    </row>
    <row r="80" spans="1:10" x14ac:dyDescent="0.25">
      <c r="A80" s="171"/>
      <c r="B80" s="171"/>
      <c r="C80" s="171"/>
      <c r="D80" s="171"/>
      <c r="E80" s="171"/>
      <c r="F80" s="171"/>
      <c r="G80" s="171"/>
      <c r="H80" s="171" t="s">
        <v>524</v>
      </c>
      <c r="I80" s="171"/>
      <c r="J80" s="176">
        <v>127826.54</v>
      </c>
    </row>
    <row r="81" spans="1:10" x14ac:dyDescent="0.25">
      <c r="A81" s="171"/>
      <c r="B81" s="171"/>
      <c r="C81" s="171"/>
      <c r="D81" s="171"/>
      <c r="E81" s="171"/>
      <c r="F81" s="171"/>
      <c r="G81" s="171"/>
      <c r="H81" s="171" t="s">
        <v>88</v>
      </c>
      <c r="I81" s="171"/>
      <c r="J81" s="176">
        <v>37925</v>
      </c>
    </row>
    <row r="82" spans="1:10" x14ac:dyDescent="0.25">
      <c r="A82" s="171"/>
      <c r="B82" s="171"/>
      <c r="C82" s="171"/>
      <c r="D82" s="171"/>
      <c r="E82" s="171"/>
      <c r="F82" s="171"/>
      <c r="G82" s="171"/>
      <c r="H82" s="171" t="s">
        <v>89</v>
      </c>
      <c r="I82" s="171"/>
      <c r="J82" s="176">
        <v>28000</v>
      </c>
    </row>
    <row r="83" spans="1:10" ht="15.75" thickBot="1" x14ac:dyDescent="0.3">
      <c r="A83" s="171"/>
      <c r="B83" s="171"/>
      <c r="C83" s="171"/>
      <c r="D83" s="171"/>
      <c r="E83" s="171"/>
      <c r="F83" s="171"/>
      <c r="G83" s="171"/>
      <c r="H83" s="171" t="s">
        <v>646</v>
      </c>
      <c r="I83" s="171"/>
      <c r="J83" s="220">
        <v>24200</v>
      </c>
    </row>
    <row r="84" spans="1:10" x14ac:dyDescent="0.25">
      <c r="A84" s="171"/>
      <c r="B84" s="171"/>
      <c r="C84" s="171"/>
      <c r="D84" s="171"/>
      <c r="E84" s="171"/>
      <c r="F84" s="171"/>
      <c r="G84" s="171" t="s">
        <v>91</v>
      </c>
      <c r="H84" s="171"/>
      <c r="I84" s="171"/>
      <c r="J84" s="176">
        <f>ROUND(SUM(J76:J83),5)</f>
        <v>611551.54</v>
      </c>
    </row>
    <row r="85" spans="1:10" x14ac:dyDescent="0.25">
      <c r="A85" s="171"/>
      <c r="B85" s="171"/>
      <c r="C85" s="171"/>
      <c r="D85" s="171"/>
      <c r="E85" s="171"/>
      <c r="F85" s="171"/>
      <c r="G85" s="171" t="s">
        <v>92</v>
      </c>
      <c r="H85" s="171"/>
      <c r="I85" s="171"/>
      <c r="J85" s="176"/>
    </row>
    <row r="86" spans="1:10" x14ac:dyDescent="0.25">
      <c r="A86" s="171"/>
      <c r="B86" s="171"/>
      <c r="C86" s="171"/>
      <c r="D86" s="171"/>
      <c r="E86" s="171"/>
      <c r="F86" s="171"/>
      <c r="G86" s="171"/>
      <c r="H86" s="171" t="s">
        <v>93</v>
      </c>
      <c r="I86" s="171"/>
      <c r="J86" s="176">
        <v>440.74</v>
      </c>
    </row>
    <row r="87" spans="1:10" x14ac:dyDescent="0.25">
      <c r="A87" s="171"/>
      <c r="B87" s="171"/>
      <c r="C87" s="171"/>
      <c r="D87" s="171"/>
      <c r="E87" s="171"/>
      <c r="F87" s="171"/>
      <c r="G87" s="171"/>
      <c r="H87" s="171" t="s">
        <v>525</v>
      </c>
      <c r="I87" s="171"/>
      <c r="J87" s="176">
        <v>6700.27</v>
      </c>
    </row>
    <row r="88" spans="1:10" x14ac:dyDescent="0.25">
      <c r="A88" s="171"/>
      <c r="B88" s="171"/>
      <c r="C88" s="171"/>
      <c r="D88" s="171"/>
      <c r="E88" s="171"/>
      <c r="F88" s="171"/>
      <c r="G88" s="171"/>
      <c r="H88" s="171" t="s">
        <v>94</v>
      </c>
      <c r="I88" s="171"/>
      <c r="J88" s="176">
        <v>8504.2000000000007</v>
      </c>
    </row>
    <row r="89" spans="1:10" x14ac:dyDescent="0.25">
      <c r="A89" s="171"/>
      <c r="B89" s="171"/>
      <c r="C89" s="171"/>
      <c r="D89" s="171"/>
      <c r="E89" s="171"/>
      <c r="F89" s="171"/>
      <c r="G89" s="171"/>
      <c r="H89" s="171" t="s">
        <v>95</v>
      </c>
      <c r="I89" s="171"/>
      <c r="J89" s="176">
        <v>17945.13</v>
      </c>
    </row>
    <row r="90" spans="1:10" ht="15.75" thickBot="1" x14ac:dyDescent="0.3">
      <c r="A90" s="171"/>
      <c r="B90" s="171"/>
      <c r="C90" s="171"/>
      <c r="D90" s="171"/>
      <c r="E90" s="171"/>
      <c r="F90" s="171"/>
      <c r="G90" s="171"/>
      <c r="H90" s="171" t="s">
        <v>526</v>
      </c>
      <c r="I90" s="171"/>
      <c r="J90" s="220">
        <v>43301.88</v>
      </c>
    </row>
    <row r="91" spans="1:10" x14ac:dyDescent="0.25">
      <c r="A91" s="171"/>
      <c r="B91" s="171"/>
      <c r="C91" s="171"/>
      <c r="D91" s="171"/>
      <c r="E91" s="171"/>
      <c r="F91" s="171"/>
      <c r="G91" s="171" t="s">
        <v>96</v>
      </c>
      <c r="H91" s="171"/>
      <c r="I91" s="171"/>
      <c r="J91" s="176">
        <f>ROUND(SUM(J85:J90),5)</f>
        <v>76892.22</v>
      </c>
    </row>
    <row r="92" spans="1:10" x14ac:dyDescent="0.25">
      <c r="A92" s="171"/>
      <c r="B92" s="171"/>
      <c r="C92" s="171"/>
      <c r="D92" s="171"/>
      <c r="E92" s="171"/>
      <c r="F92" s="171"/>
      <c r="G92" s="171" t="s">
        <v>97</v>
      </c>
      <c r="H92" s="171"/>
      <c r="I92" s="171"/>
      <c r="J92" s="176"/>
    </row>
    <row r="93" spans="1:10" x14ac:dyDescent="0.25">
      <c r="A93" s="171"/>
      <c r="B93" s="171"/>
      <c r="C93" s="171"/>
      <c r="D93" s="171"/>
      <c r="E93" s="171"/>
      <c r="F93" s="171"/>
      <c r="G93" s="171"/>
      <c r="H93" s="171" t="s">
        <v>98</v>
      </c>
      <c r="I93" s="171"/>
      <c r="J93" s="176">
        <v>1740</v>
      </c>
    </row>
    <row r="94" spans="1:10" x14ac:dyDescent="0.25">
      <c r="A94" s="171"/>
      <c r="B94" s="171"/>
      <c r="C94" s="171"/>
      <c r="D94" s="171"/>
      <c r="E94" s="171"/>
      <c r="F94" s="171"/>
      <c r="G94" s="171"/>
      <c r="H94" s="171" t="s">
        <v>625</v>
      </c>
      <c r="I94" s="171"/>
      <c r="J94" s="176">
        <v>27490</v>
      </c>
    </row>
    <row r="95" spans="1:10" x14ac:dyDescent="0.25">
      <c r="A95" s="171"/>
      <c r="B95" s="171"/>
      <c r="C95" s="171"/>
      <c r="D95" s="171"/>
      <c r="E95" s="171"/>
      <c r="F95" s="171"/>
      <c r="G95" s="171"/>
      <c r="H95" s="171" t="s">
        <v>99</v>
      </c>
      <c r="I95" s="171"/>
      <c r="J95" s="176">
        <v>0</v>
      </c>
    </row>
    <row r="96" spans="1:10" x14ac:dyDescent="0.25">
      <c r="A96" s="171"/>
      <c r="B96" s="171"/>
      <c r="C96" s="171"/>
      <c r="D96" s="171"/>
      <c r="E96" s="171"/>
      <c r="F96" s="171"/>
      <c r="G96" s="171"/>
      <c r="H96" s="171" t="s">
        <v>100</v>
      </c>
      <c r="I96" s="171"/>
      <c r="J96" s="176">
        <v>5000</v>
      </c>
    </row>
    <row r="97" spans="1:10" ht="15.75" thickBot="1" x14ac:dyDescent="0.3">
      <c r="A97" s="171"/>
      <c r="B97" s="171"/>
      <c r="C97" s="171"/>
      <c r="D97" s="171"/>
      <c r="E97" s="171"/>
      <c r="F97" s="171"/>
      <c r="G97" s="171"/>
      <c r="H97" s="171" t="s">
        <v>527</v>
      </c>
      <c r="I97" s="171"/>
      <c r="J97" s="220">
        <v>7500</v>
      </c>
    </row>
    <row r="98" spans="1:10" x14ac:dyDescent="0.25">
      <c r="A98" s="171"/>
      <c r="B98" s="171"/>
      <c r="C98" s="171"/>
      <c r="D98" s="171"/>
      <c r="E98" s="171"/>
      <c r="F98" s="171"/>
      <c r="G98" s="171" t="s">
        <v>102</v>
      </c>
      <c r="H98" s="171"/>
      <c r="I98" s="171"/>
      <c r="J98" s="176">
        <f>ROUND(SUM(J92:J97),5)</f>
        <v>41730</v>
      </c>
    </row>
    <row r="99" spans="1:10" x14ac:dyDescent="0.25">
      <c r="A99" s="171"/>
      <c r="B99" s="171"/>
      <c r="C99" s="171"/>
      <c r="D99" s="171"/>
      <c r="E99" s="171"/>
      <c r="F99" s="171"/>
      <c r="G99" s="171" t="s">
        <v>103</v>
      </c>
      <c r="H99" s="171"/>
      <c r="I99" s="171"/>
      <c r="J99" s="176"/>
    </row>
    <row r="100" spans="1:10" x14ac:dyDescent="0.25">
      <c r="A100" s="171"/>
      <c r="B100" s="171"/>
      <c r="C100" s="171"/>
      <c r="D100" s="171"/>
      <c r="E100" s="171"/>
      <c r="F100" s="171"/>
      <c r="G100" s="171"/>
      <c r="H100" s="171" t="s">
        <v>104</v>
      </c>
      <c r="I100" s="171"/>
      <c r="J100" s="176">
        <v>27083</v>
      </c>
    </row>
    <row r="101" spans="1:10" x14ac:dyDescent="0.25">
      <c r="A101" s="171"/>
      <c r="B101" s="171"/>
      <c r="C101" s="171"/>
      <c r="D101" s="171"/>
      <c r="E101" s="171"/>
      <c r="F101" s="171"/>
      <c r="G101" s="171"/>
      <c r="H101" s="171" t="s">
        <v>106</v>
      </c>
      <c r="I101" s="171"/>
      <c r="J101" s="176">
        <v>635</v>
      </c>
    </row>
    <row r="102" spans="1:10" x14ac:dyDescent="0.25">
      <c r="A102" s="171"/>
      <c r="B102" s="171"/>
      <c r="C102" s="171"/>
      <c r="D102" s="171"/>
      <c r="E102" s="171"/>
      <c r="F102" s="171"/>
      <c r="G102" s="171"/>
      <c r="H102" s="171" t="s">
        <v>455</v>
      </c>
      <c r="I102" s="171"/>
      <c r="J102" s="176">
        <v>87210</v>
      </c>
    </row>
    <row r="103" spans="1:10" x14ac:dyDescent="0.25">
      <c r="A103" s="171"/>
      <c r="B103" s="171"/>
      <c r="C103" s="171"/>
      <c r="D103" s="171"/>
      <c r="E103" s="171"/>
      <c r="F103" s="171"/>
      <c r="G103" s="171"/>
      <c r="H103" s="171" t="s">
        <v>107</v>
      </c>
      <c r="I103" s="171"/>
      <c r="J103" s="176">
        <v>5540</v>
      </c>
    </row>
    <row r="104" spans="1:10" x14ac:dyDescent="0.25">
      <c r="A104" s="171"/>
      <c r="B104" s="171"/>
      <c r="C104" s="171"/>
      <c r="D104" s="171"/>
      <c r="E104" s="171"/>
      <c r="F104" s="171"/>
      <c r="G104" s="171"/>
      <c r="H104" s="171" t="s">
        <v>528</v>
      </c>
      <c r="I104" s="171"/>
      <c r="J104" s="231">
        <v>136850.54</v>
      </c>
    </row>
    <row r="105" spans="1:10" x14ac:dyDescent="0.25">
      <c r="A105" s="171"/>
      <c r="B105" s="171"/>
      <c r="C105" s="171"/>
      <c r="D105" s="171"/>
      <c r="E105" s="171"/>
      <c r="F105" s="171"/>
      <c r="G105" s="171"/>
      <c r="H105" s="171" t="s">
        <v>529</v>
      </c>
      <c r="I105" s="171"/>
      <c r="J105" s="231">
        <v>134366.23000000001</v>
      </c>
    </row>
    <row r="106" spans="1:10" x14ac:dyDescent="0.25">
      <c r="A106" s="171"/>
      <c r="B106" s="171"/>
      <c r="C106" s="171"/>
      <c r="D106" s="171"/>
      <c r="E106" s="171"/>
      <c r="F106" s="171"/>
      <c r="G106" s="171"/>
      <c r="H106" s="171" t="s">
        <v>530</v>
      </c>
      <c r="I106" s="171"/>
      <c r="J106" s="231">
        <v>85420.41</v>
      </c>
    </row>
    <row r="107" spans="1:10" x14ac:dyDescent="0.25">
      <c r="A107" s="171"/>
      <c r="B107" s="171"/>
      <c r="C107" s="171"/>
      <c r="D107" s="171"/>
      <c r="E107" s="171"/>
      <c r="F107" s="171"/>
      <c r="G107" s="171"/>
      <c r="H107" s="171" t="s">
        <v>669</v>
      </c>
      <c r="I107" s="171"/>
      <c r="J107" s="176">
        <v>30000</v>
      </c>
    </row>
    <row r="108" spans="1:10" ht="15.75" thickBot="1" x14ac:dyDescent="0.3">
      <c r="A108" s="171"/>
      <c r="B108" s="171"/>
      <c r="C108" s="171"/>
      <c r="D108" s="171"/>
      <c r="E108" s="171"/>
      <c r="F108" s="171"/>
      <c r="G108" s="171"/>
      <c r="H108" s="171" t="s">
        <v>475</v>
      </c>
      <c r="I108" s="171"/>
      <c r="J108" s="220">
        <v>4025</v>
      </c>
    </row>
    <row r="109" spans="1:10" x14ac:dyDescent="0.25">
      <c r="A109" s="171"/>
      <c r="B109" s="171"/>
      <c r="C109" s="171"/>
      <c r="D109" s="171"/>
      <c r="E109" s="171"/>
      <c r="F109" s="171"/>
      <c r="G109" s="171" t="s">
        <v>108</v>
      </c>
      <c r="H109" s="171"/>
      <c r="I109" s="171"/>
      <c r="J109" s="176">
        <f>ROUND(SUM(J99:J108),5)</f>
        <v>511130.18</v>
      </c>
    </row>
    <row r="110" spans="1:10" x14ac:dyDescent="0.25">
      <c r="A110" s="171"/>
      <c r="B110" s="171"/>
      <c r="C110" s="171"/>
      <c r="D110" s="171"/>
      <c r="E110" s="171"/>
      <c r="F110" s="171"/>
      <c r="G110" s="171" t="s">
        <v>456</v>
      </c>
      <c r="H110" s="171"/>
      <c r="I110" s="171"/>
    </row>
    <row r="111" spans="1:10" x14ac:dyDescent="0.25">
      <c r="A111" s="171"/>
      <c r="B111" s="171"/>
      <c r="C111" s="171"/>
      <c r="D111" s="171"/>
      <c r="E111" s="171"/>
      <c r="F111" s="171"/>
      <c r="G111" s="171"/>
      <c r="H111" s="171" t="s">
        <v>476</v>
      </c>
      <c r="I111" s="171"/>
      <c r="J111" s="222">
        <v>176394.69</v>
      </c>
    </row>
    <row r="112" spans="1:10" ht="15.75" thickBot="1" x14ac:dyDescent="0.3">
      <c r="A112" s="171"/>
      <c r="B112" s="171"/>
      <c r="C112" s="171"/>
      <c r="D112" s="171"/>
      <c r="E112" s="171"/>
      <c r="F112" s="171"/>
      <c r="G112" s="171"/>
      <c r="H112" s="171" t="s">
        <v>476</v>
      </c>
      <c r="I112" s="171"/>
      <c r="J112" s="8">
        <v>6307.87</v>
      </c>
    </row>
    <row r="113" spans="1:15" ht="15.75" thickBot="1" x14ac:dyDescent="0.3">
      <c r="A113" s="171"/>
      <c r="B113" s="171"/>
      <c r="C113" s="171"/>
      <c r="D113" s="171"/>
      <c r="E113" s="171"/>
      <c r="F113" s="171"/>
      <c r="G113" s="171" t="s">
        <v>458</v>
      </c>
      <c r="H113" s="171"/>
      <c r="I113" s="171"/>
      <c r="J113" s="10">
        <f>ROUND(SUM(J111:J112),5)</f>
        <v>182702.56</v>
      </c>
    </row>
    <row r="114" spans="1:15" x14ac:dyDescent="0.25">
      <c r="A114" s="171"/>
      <c r="B114" s="171"/>
      <c r="C114" s="171"/>
      <c r="D114" s="171"/>
      <c r="E114" s="171"/>
      <c r="F114" s="171" t="s">
        <v>191</v>
      </c>
      <c r="G114" s="171"/>
      <c r="H114" s="171"/>
      <c r="I114" s="171"/>
      <c r="J114" s="176">
        <f>ROUND(J58+J75+J84+J91+J98+J109+J113,5)</f>
        <v>1638795.16</v>
      </c>
      <c r="N114" s="154" t="s">
        <v>685</v>
      </c>
      <c r="O114" s="222">
        <f>(J104+J105+J106+J154+J155+J167+J192)/L1</f>
        <v>4387.2147732648518</v>
      </c>
    </row>
    <row r="115" spans="1:15" x14ac:dyDescent="0.25">
      <c r="A115" s="171"/>
      <c r="B115" s="171"/>
      <c r="C115" s="171"/>
      <c r="D115" s="171"/>
      <c r="E115" s="171"/>
      <c r="F115" s="171" t="s">
        <v>109</v>
      </c>
      <c r="G115" s="171"/>
      <c r="H115" s="171"/>
      <c r="I115" s="171"/>
      <c r="J115" s="176"/>
    </row>
    <row r="116" spans="1:15" x14ac:dyDescent="0.25">
      <c r="A116" s="171"/>
      <c r="B116" s="171"/>
      <c r="C116" s="171"/>
      <c r="D116" s="171"/>
      <c r="E116" s="171"/>
      <c r="F116" s="171"/>
      <c r="G116" s="171" t="s">
        <v>110</v>
      </c>
      <c r="H116" s="171"/>
      <c r="I116" s="171"/>
      <c r="J116" s="176"/>
    </row>
    <row r="117" spans="1:15" x14ac:dyDescent="0.25">
      <c r="A117" s="171"/>
      <c r="B117" s="171"/>
      <c r="C117" s="171"/>
      <c r="D117" s="171"/>
      <c r="E117" s="171"/>
      <c r="F117" s="171"/>
      <c r="G117" s="171"/>
      <c r="H117" s="171" t="s">
        <v>111</v>
      </c>
      <c r="I117" s="171"/>
      <c r="J117" s="176">
        <v>11000</v>
      </c>
    </row>
    <row r="118" spans="1:15" x14ac:dyDescent="0.25">
      <c r="A118" s="171"/>
      <c r="B118" s="171"/>
      <c r="C118" s="171"/>
      <c r="D118" s="171"/>
      <c r="E118" s="171"/>
      <c r="F118" s="171"/>
      <c r="G118" s="171"/>
      <c r="H118" s="171" t="s">
        <v>112</v>
      </c>
      <c r="I118" s="171"/>
      <c r="J118" s="176">
        <v>92413</v>
      </c>
    </row>
    <row r="119" spans="1:15" x14ac:dyDescent="0.25">
      <c r="A119" s="171"/>
      <c r="B119" s="171"/>
      <c r="C119" s="171"/>
      <c r="D119" s="171"/>
      <c r="E119" s="171"/>
      <c r="F119" s="171"/>
      <c r="G119" s="171"/>
      <c r="H119" s="171" t="s">
        <v>481</v>
      </c>
      <c r="I119" s="171"/>
      <c r="J119" s="176">
        <v>12107.42</v>
      </c>
    </row>
    <row r="120" spans="1:15" x14ac:dyDescent="0.25">
      <c r="A120" s="171"/>
      <c r="B120" s="171"/>
      <c r="C120" s="171"/>
      <c r="D120" s="171"/>
      <c r="E120" s="171"/>
      <c r="F120" s="171"/>
      <c r="G120" s="171"/>
      <c r="H120" s="171" t="s">
        <v>113</v>
      </c>
      <c r="I120" s="171"/>
      <c r="J120" s="176">
        <v>59919</v>
      </c>
    </row>
    <row r="121" spans="1:15" x14ac:dyDescent="0.25">
      <c r="A121" s="171"/>
      <c r="B121" s="171"/>
      <c r="C121" s="171"/>
      <c r="D121" s="171"/>
      <c r="E121" s="171"/>
      <c r="F121" s="171"/>
      <c r="G121" s="171"/>
      <c r="H121" s="171" t="s">
        <v>532</v>
      </c>
      <c r="I121" s="171"/>
      <c r="J121" s="176">
        <v>63250</v>
      </c>
    </row>
    <row r="122" spans="1:15" x14ac:dyDescent="0.25">
      <c r="A122" s="171"/>
      <c r="B122" s="171"/>
      <c r="C122" s="171"/>
      <c r="D122" s="171"/>
      <c r="E122" s="171"/>
      <c r="F122" s="171"/>
      <c r="G122" s="171"/>
      <c r="H122" s="171" t="s">
        <v>114</v>
      </c>
      <c r="I122" s="171"/>
      <c r="J122" s="176">
        <v>5980</v>
      </c>
    </row>
    <row r="123" spans="1:15" x14ac:dyDescent="0.25">
      <c r="A123" s="171"/>
      <c r="B123" s="171"/>
      <c r="C123" s="171"/>
      <c r="D123" s="171"/>
      <c r="E123" s="171"/>
      <c r="F123" s="171"/>
      <c r="G123" s="171"/>
      <c r="H123" s="171" t="s">
        <v>459</v>
      </c>
      <c r="I123" s="171"/>
      <c r="J123" s="176">
        <v>9639</v>
      </c>
    </row>
    <row r="124" spans="1:15" x14ac:dyDescent="0.25">
      <c r="A124" s="171"/>
      <c r="B124" s="171"/>
      <c r="C124" s="171"/>
      <c r="D124" s="171"/>
      <c r="E124" s="171"/>
      <c r="F124" s="171"/>
      <c r="G124" s="171"/>
      <c r="H124" s="171" t="s">
        <v>672</v>
      </c>
      <c r="I124" s="171"/>
      <c r="J124" s="176">
        <v>4000</v>
      </c>
    </row>
    <row r="125" spans="1:15" x14ac:dyDescent="0.25">
      <c r="A125" s="171"/>
      <c r="B125" s="171"/>
      <c r="C125" s="171"/>
      <c r="D125" s="171"/>
      <c r="E125" s="171"/>
      <c r="F125" s="171"/>
      <c r="G125" s="171"/>
      <c r="H125" s="171" t="s">
        <v>533</v>
      </c>
      <c r="I125" s="171"/>
      <c r="J125" s="176">
        <v>2233.7399999999998</v>
      </c>
    </row>
    <row r="126" spans="1:15" x14ac:dyDescent="0.25">
      <c r="A126" s="171"/>
      <c r="B126" s="171"/>
      <c r="C126" s="171"/>
      <c r="D126" s="171"/>
      <c r="E126" s="171"/>
      <c r="F126" s="171"/>
      <c r="G126" s="171"/>
      <c r="H126" s="171" t="s">
        <v>534</v>
      </c>
      <c r="I126" s="171"/>
      <c r="J126" s="176">
        <v>17500</v>
      </c>
    </row>
    <row r="127" spans="1:15" x14ac:dyDescent="0.25">
      <c r="A127" s="171"/>
      <c r="B127" s="171"/>
      <c r="C127" s="171"/>
      <c r="D127" s="171"/>
      <c r="E127" s="171"/>
      <c r="F127" s="171"/>
      <c r="G127" s="171"/>
      <c r="H127" s="171" t="s">
        <v>115</v>
      </c>
      <c r="I127" s="171"/>
      <c r="J127" s="176">
        <v>22149</v>
      </c>
    </row>
    <row r="128" spans="1:15" ht="15.75" thickBot="1" x14ac:dyDescent="0.3">
      <c r="A128" s="171"/>
      <c r="B128" s="171"/>
      <c r="C128" s="171"/>
      <c r="D128" s="171"/>
      <c r="E128" s="171"/>
      <c r="F128" s="171"/>
      <c r="G128" s="171"/>
      <c r="H128" s="171" t="s">
        <v>535</v>
      </c>
      <c r="I128" s="171"/>
      <c r="J128" s="220">
        <v>31430</v>
      </c>
    </row>
    <row r="129" spans="1:10" x14ac:dyDescent="0.25">
      <c r="A129" s="171"/>
      <c r="B129" s="171"/>
      <c r="C129" s="171"/>
      <c r="D129" s="171"/>
      <c r="E129" s="171"/>
      <c r="F129" s="171"/>
      <c r="G129" s="171" t="s">
        <v>116</v>
      </c>
      <c r="H129" s="171"/>
      <c r="I129" s="171"/>
      <c r="J129" s="176">
        <f>ROUND(SUM(J116:J128),5)</f>
        <v>331621.15999999997</v>
      </c>
    </row>
    <row r="130" spans="1:10" x14ac:dyDescent="0.25">
      <c r="A130" s="171"/>
      <c r="B130" s="171"/>
      <c r="C130" s="171"/>
      <c r="D130" s="171"/>
      <c r="E130" s="171"/>
      <c r="F130" s="171"/>
      <c r="G130" s="171" t="s">
        <v>117</v>
      </c>
      <c r="H130" s="171"/>
      <c r="I130" s="171"/>
      <c r="J130" s="176"/>
    </row>
    <row r="131" spans="1:10" x14ac:dyDescent="0.25">
      <c r="A131" s="171"/>
      <c r="B131" s="171"/>
      <c r="C131" s="171"/>
      <c r="D131" s="171"/>
      <c r="E131" s="171"/>
      <c r="F131" s="171"/>
      <c r="G131" s="171"/>
      <c r="H131" s="171" t="s">
        <v>118</v>
      </c>
      <c r="I131" s="171"/>
      <c r="J131" s="176">
        <v>35000</v>
      </c>
    </row>
    <row r="132" spans="1:10" x14ac:dyDescent="0.25">
      <c r="A132" s="171"/>
      <c r="B132" s="171"/>
      <c r="C132" s="171"/>
      <c r="D132" s="171"/>
      <c r="E132" s="171"/>
      <c r="F132" s="171"/>
      <c r="G132" s="171"/>
      <c r="H132" s="171" t="s">
        <v>536</v>
      </c>
      <c r="I132" s="171"/>
      <c r="J132" s="176">
        <v>4200</v>
      </c>
    </row>
    <row r="133" spans="1:10" x14ac:dyDescent="0.25">
      <c r="A133" s="171"/>
      <c r="B133" s="171"/>
      <c r="C133" s="171"/>
      <c r="D133" s="171"/>
      <c r="E133" s="171"/>
      <c r="F133" s="171"/>
      <c r="G133" s="171"/>
      <c r="H133" s="171" t="s">
        <v>537</v>
      </c>
      <c r="I133" s="171"/>
      <c r="J133" s="176">
        <v>1050</v>
      </c>
    </row>
    <row r="134" spans="1:10" x14ac:dyDescent="0.25">
      <c r="A134" s="171"/>
      <c r="B134" s="171"/>
      <c r="C134" s="171"/>
      <c r="D134" s="171"/>
      <c r="E134" s="171"/>
      <c r="F134" s="171"/>
      <c r="G134" s="171"/>
      <c r="H134" s="171" t="s">
        <v>119</v>
      </c>
      <c r="I134" s="171"/>
      <c r="J134" s="176">
        <v>30000</v>
      </c>
    </row>
    <row r="135" spans="1:10" ht="15.75" thickBot="1" x14ac:dyDescent="0.3">
      <c r="A135" s="171"/>
      <c r="B135" s="171"/>
      <c r="C135" s="171"/>
      <c r="D135" s="171"/>
      <c r="E135" s="171"/>
      <c r="F135" s="171"/>
      <c r="G135" s="171"/>
      <c r="H135" s="171" t="s">
        <v>647</v>
      </c>
      <c r="I135" s="171"/>
      <c r="J135" s="220">
        <v>3208.33</v>
      </c>
    </row>
    <row r="136" spans="1:10" x14ac:dyDescent="0.25">
      <c r="A136" s="171"/>
      <c r="B136" s="171"/>
      <c r="C136" s="171"/>
      <c r="D136" s="171"/>
      <c r="E136" s="171"/>
      <c r="F136" s="171"/>
      <c r="G136" s="171" t="s">
        <v>120</v>
      </c>
      <c r="H136" s="171"/>
      <c r="I136" s="171"/>
      <c r="J136" s="176">
        <f>ROUND(SUM(J130:J135),5)</f>
        <v>73458.33</v>
      </c>
    </row>
    <row r="137" spans="1:10" x14ac:dyDescent="0.25">
      <c r="A137" s="171"/>
      <c r="B137" s="171"/>
      <c r="C137" s="171"/>
      <c r="D137" s="171"/>
      <c r="E137" s="171"/>
      <c r="F137" s="171"/>
      <c r="G137" s="171" t="s">
        <v>121</v>
      </c>
      <c r="H137" s="171"/>
      <c r="I137" s="171"/>
      <c r="J137" s="176"/>
    </row>
    <row r="138" spans="1:10" x14ac:dyDescent="0.25">
      <c r="A138" s="171"/>
      <c r="B138" s="171"/>
      <c r="C138" s="171"/>
      <c r="D138" s="171"/>
      <c r="E138" s="171"/>
      <c r="F138" s="171"/>
      <c r="G138" s="171"/>
      <c r="H138" s="171" t="s">
        <v>538</v>
      </c>
      <c r="I138" s="171"/>
      <c r="J138" s="176">
        <v>23262.23</v>
      </c>
    </row>
    <row r="139" spans="1:10" x14ac:dyDescent="0.25">
      <c r="A139" s="171"/>
      <c r="B139" s="171"/>
      <c r="C139" s="171"/>
      <c r="D139" s="171"/>
      <c r="E139" s="171"/>
      <c r="F139" s="171"/>
      <c r="G139" s="171"/>
      <c r="H139" s="171" t="s">
        <v>539</v>
      </c>
      <c r="I139" s="171"/>
      <c r="J139" s="176">
        <v>15934.86</v>
      </c>
    </row>
    <row r="140" spans="1:10" x14ac:dyDescent="0.25">
      <c r="A140" s="171"/>
      <c r="B140" s="171"/>
      <c r="C140" s="171"/>
      <c r="D140" s="171"/>
      <c r="E140" s="171"/>
      <c r="F140" s="171"/>
      <c r="G140" s="171"/>
      <c r="H140" s="171" t="s">
        <v>460</v>
      </c>
      <c r="I140" s="171"/>
      <c r="J140" s="176">
        <v>3433.89</v>
      </c>
    </row>
    <row r="141" spans="1:10" ht="15.75" thickBot="1" x14ac:dyDescent="0.3">
      <c r="A141" s="171"/>
      <c r="B141" s="171"/>
      <c r="C141" s="171"/>
      <c r="D141" s="171"/>
      <c r="E141" s="171"/>
      <c r="F141" s="171"/>
      <c r="G141" s="171"/>
      <c r="H141" s="171" t="s">
        <v>461</v>
      </c>
      <c r="I141" s="171"/>
      <c r="J141" s="220">
        <v>5500.01</v>
      </c>
    </row>
    <row r="142" spans="1:10" x14ac:dyDescent="0.25">
      <c r="A142" s="171"/>
      <c r="B142" s="171"/>
      <c r="C142" s="171"/>
      <c r="D142" s="171"/>
      <c r="E142" s="171"/>
      <c r="F142" s="171"/>
      <c r="G142" s="171" t="s">
        <v>122</v>
      </c>
      <c r="H142" s="171"/>
      <c r="I142" s="171"/>
      <c r="J142" s="176">
        <f>ROUND(SUM(J137:J141),5)</f>
        <v>48130.99</v>
      </c>
    </row>
    <row r="143" spans="1:10" x14ac:dyDescent="0.25">
      <c r="A143" s="171"/>
      <c r="B143" s="171"/>
      <c r="C143" s="171"/>
      <c r="D143" s="171"/>
      <c r="E143" s="171"/>
      <c r="F143" s="171"/>
      <c r="G143" s="171" t="s">
        <v>123</v>
      </c>
      <c r="H143" s="171"/>
      <c r="I143" s="171"/>
      <c r="J143" s="176"/>
    </row>
    <row r="144" spans="1:10" x14ac:dyDescent="0.25">
      <c r="A144" s="171"/>
      <c r="B144" s="171"/>
      <c r="C144" s="171"/>
      <c r="D144" s="171"/>
      <c r="E144" s="171"/>
      <c r="F144" s="171"/>
      <c r="G144" s="171"/>
      <c r="H144" s="171" t="s">
        <v>540</v>
      </c>
      <c r="I144" s="171"/>
      <c r="J144" s="176">
        <v>16500</v>
      </c>
    </row>
    <row r="145" spans="1:10" x14ac:dyDescent="0.25">
      <c r="A145" s="171"/>
      <c r="B145" s="171"/>
      <c r="C145" s="171"/>
      <c r="D145" s="171"/>
      <c r="E145" s="171"/>
      <c r="F145" s="171"/>
      <c r="G145" s="171"/>
      <c r="H145" s="171" t="s">
        <v>462</v>
      </c>
      <c r="I145" s="171"/>
      <c r="J145" s="176">
        <v>28520</v>
      </c>
    </row>
    <row r="146" spans="1:10" x14ac:dyDescent="0.25">
      <c r="A146" s="171"/>
      <c r="B146" s="171"/>
      <c r="C146" s="171"/>
      <c r="D146" s="171"/>
      <c r="E146" s="171"/>
      <c r="F146" s="171"/>
      <c r="G146" s="171"/>
      <c r="H146" s="171" t="s">
        <v>463</v>
      </c>
      <c r="I146" s="171"/>
      <c r="J146" s="176">
        <v>4270.49</v>
      </c>
    </row>
    <row r="147" spans="1:10" ht="15.75" thickBot="1" x14ac:dyDescent="0.3">
      <c r="A147" s="171"/>
      <c r="B147" s="171"/>
      <c r="C147" s="171"/>
      <c r="D147" s="171"/>
      <c r="E147" s="171"/>
      <c r="F147" s="171"/>
      <c r="G147" s="171"/>
      <c r="H147" s="171" t="s">
        <v>124</v>
      </c>
      <c r="I147" s="171"/>
      <c r="J147" s="220">
        <v>0</v>
      </c>
    </row>
    <row r="148" spans="1:10" x14ac:dyDescent="0.25">
      <c r="A148" s="171"/>
      <c r="B148" s="171"/>
      <c r="C148" s="171"/>
      <c r="D148" s="171"/>
      <c r="E148" s="171"/>
      <c r="F148" s="171"/>
      <c r="G148" s="171" t="s">
        <v>125</v>
      </c>
      <c r="H148" s="171"/>
      <c r="I148" s="171"/>
      <c r="J148" s="176">
        <f>ROUND(SUM(J143:J147),5)</f>
        <v>49290.49</v>
      </c>
    </row>
    <row r="149" spans="1:10" x14ac:dyDescent="0.25">
      <c r="A149" s="171"/>
      <c r="B149" s="171"/>
      <c r="C149" s="171"/>
      <c r="D149" s="171"/>
      <c r="E149" s="171"/>
      <c r="F149" s="171"/>
      <c r="G149" s="171" t="s">
        <v>126</v>
      </c>
      <c r="H149" s="171"/>
      <c r="I149" s="171"/>
      <c r="J149" s="176"/>
    </row>
    <row r="150" spans="1:10" x14ac:dyDescent="0.25">
      <c r="A150" s="171"/>
      <c r="B150" s="171"/>
      <c r="C150" s="171"/>
      <c r="D150" s="171"/>
      <c r="E150" s="171"/>
      <c r="F150" s="171"/>
      <c r="G150" s="171"/>
      <c r="H150" s="171" t="s">
        <v>127</v>
      </c>
      <c r="I150" s="171"/>
      <c r="J150" s="176">
        <v>10305</v>
      </c>
    </row>
    <row r="151" spans="1:10" x14ac:dyDescent="0.25">
      <c r="A151" s="171"/>
      <c r="B151" s="171"/>
      <c r="C151" s="171"/>
      <c r="D151" s="171"/>
      <c r="E151" s="171"/>
      <c r="F151" s="171"/>
      <c r="G151" s="171"/>
      <c r="H151" s="171" t="s">
        <v>128</v>
      </c>
      <c r="I151" s="171"/>
      <c r="J151" s="176">
        <v>18920</v>
      </c>
    </row>
    <row r="152" spans="1:10" x14ac:dyDescent="0.25">
      <c r="A152" s="171"/>
      <c r="B152" s="171"/>
      <c r="C152" s="171"/>
      <c r="D152" s="171"/>
      <c r="E152" s="171"/>
      <c r="F152" s="171"/>
      <c r="G152" s="171"/>
      <c r="H152" s="171" t="s">
        <v>129</v>
      </c>
      <c r="I152" s="171"/>
      <c r="J152" s="176">
        <v>4663</v>
      </c>
    </row>
    <row r="153" spans="1:10" x14ac:dyDescent="0.25">
      <c r="A153" s="171"/>
      <c r="B153" s="171"/>
      <c r="C153" s="171"/>
      <c r="D153" s="171"/>
      <c r="E153" s="171"/>
      <c r="F153" s="171"/>
      <c r="G153" s="171"/>
      <c r="H153" s="171" t="s">
        <v>541</v>
      </c>
      <c r="I153" s="171"/>
      <c r="J153" s="176">
        <v>4000</v>
      </c>
    </row>
    <row r="154" spans="1:10" x14ac:dyDescent="0.25">
      <c r="A154" s="171"/>
      <c r="B154" s="171"/>
      <c r="C154" s="171"/>
      <c r="D154" s="171"/>
      <c r="E154" s="171"/>
      <c r="F154" s="171"/>
      <c r="G154" s="171"/>
      <c r="H154" s="171" t="s">
        <v>542</v>
      </c>
      <c r="I154" s="171"/>
      <c r="J154" s="231">
        <v>46831.96</v>
      </c>
    </row>
    <row r="155" spans="1:10" ht="15.75" thickBot="1" x14ac:dyDescent="0.3">
      <c r="A155" s="171"/>
      <c r="B155" s="171"/>
      <c r="C155" s="171"/>
      <c r="D155" s="171"/>
      <c r="E155" s="171"/>
      <c r="F155" s="171"/>
      <c r="G155" s="171"/>
      <c r="H155" s="171" t="s">
        <v>543</v>
      </c>
      <c r="I155" s="171"/>
      <c r="J155" s="238">
        <v>53882.96</v>
      </c>
    </row>
    <row r="156" spans="1:10" x14ac:dyDescent="0.25">
      <c r="A156" s="171"/>
      <c r="B156" s="171"/>
      <c r="C156" s="171"/>
      <c r="D156" s="171"/>
      <c r="E156" s="171"/>
      <c r="F156" s="171"/>
      <c r="G156" s="171" t="s">
        <v>130</v>
      </c>
      <c r="H156" s="171"/>
      <c r="I156" s="171"/>
      <c r="J156" s="176">
        <f>ROUND(SUM(J149:J155),5)</f>
        <v>138602.92000000001</v>
      </c>
    </row>
    <row r="157" spans="1:10" ht="15.75" thickBot="1" x14ac:dyDescent="0.3">
      <c r="A157" s="171"/>
      <c r="B157" s="171"/>
      <c r="C157" s="171"/>
      <c r="D157" s="171"/>
      <c r="E157" s="171"/>
      <c r="F157" s="171"/>
      <c r="G157" s="171" t="s">
        <v>681</v>
      </c>
      <c r="H157" s="171"/>
      <c r="I157" s="171"/>
      <c r="J157" s="220">
        <v>1410</v>
      </c>
    </row>
    <row r="158" spans="1:10" x14ac:dyDescent="0.25">
      <c r="A158" s="171"/>
      <c r="B158" s="171"/>
      <c r="C158" s="171"/>
      <c r="D158" s="171"/>
      <c r="E158" s="171"/>
      <c r="F158" s="171" t="s">
        <v>134</v>
      </c>
      <c r="G158" s="171"/>
      <c r="H158" s="171"/>
      <c r="I158" s="171"/>
      <c r="J158" s="176">
        <f>ROUND(J115+J129+J136+J142+J148+SUM(J156:J157),5)</f>
        <v>642513.89</v>
      </c>
    </row>
    <row r="159" spans="1:10" x14ac:dyDescent="0.25">
      <c r="A159" s="171"/>
      <c r="B159" s="171"/>
      <c r="C159" s="171"/>
      <c r="D159" s="171"/>
      <c r="E159" s="171"/>
      <c r="F159" s="171" t="s">
        <v>135</v>
      </c>
      <c r="G159" s="171"/>
      <c r="H159" s="171"/>
      <c r="I159" s="171"/>
      <c r="J159" s="176"/>
    </row>
    <row r="160" spans="1:10" x14ac:dyDescent="0.25">
      <c r="A160" s="171"/>
      <c r="B160" s="171"/>
      <c r="C160" s="171"/>
      <c r="D160" s="171"/>
      <c r="E160" s="171"/>
      <c r="F160" s="171"/>
      <c r="G160" s="171" t="s">
        <v>192</v>
      </c>
      <c r="H160" s="171"/>
      <c r="I160" s="171"/>
      <c r="J160" s="176"/>
    </row>
    <row r="161" spans="1:10" x14ac:dyDescent="0.25">
      <c r="A161" s="171"/>
      <c r="B161" s="171"/>
      <c r="C161" s="171"/>
      <c r="D161" s="171"/>
      <c r="E161" s="171"/>
      <c r="F161" s="171"/>
      <c r="G161" s="171"/>
      <c r="H161" s="171" t="s">
        <v>544</v>
      </c>
      <c r="I161" s="171"/>
      <c r="J161" s="176">
        <v>1600</v>
      </c>
    </row>
    <row r="162" spans="1:10" ht="15.75" thickBot="1" x14ac:dyDescent="0.3">
      <c r="A162" s="171"/>
      <c r="B162" s="171"/>
      <c r="C162" s="171"/>
      <c r="D162" s="171"/>
      <c r="E162" s="171"/>
      <c r="F162" s="171"/>
      <c r="G162" s="171"/>
      <c r="H162" s="171" t="s">
        <v>545</v>
      </c>
      <c r="I162" s="171"/>
      <c r="J162" s="220">
        <v>3208.02</v>
      </c>
    </row>
    <row r="163" spans="1:10" x14ac:dyDescent="0.25">
      <c r="A163" s="171"/>
      <c r="B163" s="171"/>
      <c r="C163" s="171"/>
      <c r="D163" s="171"/>
      <c r="E163" s="171"/>
      <c r="F163" s="171"/>
      <c r="G163" s="171" t="s">
        <v>194</v>
      </c>
      <c r="H163" s="171"/>
      <c r="I163" s="171"/>
      <c r="J163" s="176">
        <f>ROUND(SUM(J160:J162),5)</f>
        <v>4808.0200000000004</v>
      </c>
    </row>
    <row r="164" spans="1:10" x14ac:dyDescent="0.25">
      <c r="A164" s="171"/>
      <c r="B164" s="171"/>
      <c r="C164" s="171"/>
      <c r="D164" s="171"/>
      <c r="E164" s="171"/>
      <c r="F164" s="171"/>
      <c r="G164" s="171" t="s">
        <v>195</v>
      </c>
      <c r="H164" s="171"/>
      <c r="I164" s="171"/>
      <c r="J164" s="176"/>
    </row>
    <row r="165" spans="1:10" x14ac:dyDescent="0.25">
      <c r="A165" s="171"/>
      <c r="B165" s="171"/>
      <c r="C165" s="171"/>
      <c r="D165" s="171"/>
      <c r="E165" s="171"/>
      <c r="F165" s="171"/>
      <c r="G165" s="171"/>
      <c r="H165" s="171" t="s">
        <v>136</v>
      </c>
      <c r="I165" s="171"/>
      <c r="J165" s="176">
        <v>2600</v>
      </c>
    </row>
    <row r="166" spans="1:10" x14ac:dyDescent="0.25">
      <c r="A166" s="171"/>
      <c r="B166" s="171"/>
      <c r="C166" s="171"/>
      <c r="D166" s="171"/>
      <c r="E166" s="171"/>
      <c r="F166" s="171"/>
      <c r="G166" s="171"/>
      <c r="H166" s="171" t="s">
        <v>137</v>
      </c>
      <c r="I166" s="171"/>
      <c r="J166" s="176">
        <v>55059</v>
      </c>
    </row>
    <row r="167" spans="1:10" ht="15.75" thickBot="1" x14ac:dyDescent="0.3">
      <c r="A167" s="171"/>
      <c r="B167" s="171"/>
      <c r="C167" s="171"/>
      <c r="D167" s="171"/>
      <c r="E167" s="171"/>
      <c r="F167" s="171"/>
      <c r="G167" s="171"/>
      <c r="H167" s="171" t="s">
        <v>548</v>
      </c>
      <c r="I167" s="171"/>
      <c r="J167" s="237">
        <v>9452.4</v>
      </c>
    </row>
    <row r="168" spans="1:10" ht="15.75" thickBot="1" x14ac:dyDescent="0.3">
      <c r="A168" s="171"/>
      <c r="B168" s="171"/>
      <c r="C168" s="171"/>
      <c r="D168" s="171"/>
      <c r="E168" s="171"/>
      <c r="F168" s="171"/>
      <c r="G168" s="171" t="s">
        <v>196</v>
      </c>
      <c r="H168" s="171"/>
      <c r="I168" s="171"/>
      <c r="J168" s="10">
        <f>ROUND(SUM(J164:J167),5)</f>
        <v>67111.399999999994</v>
      </c>
    </row>
    <row r="169" spans="1:10" x14ac:dyDescent="0.25">
      <c r="A169" s="171"/>
      <c r="B169" s="171"/>
      <c r="C169" s="171"/>
      <c r="D169" s="171"/>
      <c r="E169" s="171"/>
      <c r="F169" s="171" t="s">
        <v>138</v>
      </c>
      <c r="G169" s="171"/>
      <c r="H169" s="171"/>
      <c r="I169" s="171"/>
      <c r="J169" s="176">
        <f>ROUND(J159+J163+J168,5)</f>
        <v>71919.42</v>
      </c>
    </row>
    <row r="170" spans="1:10" x14ac:dyDescent="0.25">
      <c r="A170" s="171"/>
      <c r="B170" s="171"/>
      <c r="C170" s="171"/>
      <c r="D170" s="171"/>
      <c r="E170" s="171"/>
      <c r="F170" s="171" t="s">
        <v>206</v>
      </c>
      <c r="G170" s="171"/>
      <c r="H170" s="171"/>
      <c r="I170" s="171"/>
      <c r="J170" s="176"/>
    </row>
    <row r="171" spans="1:10" x14ac:dyDescent="0.25">
      <c r="A171" s="171"/>
      <c r="B171" s="171"/>
      <c r="C171" s="171"/>
      <c r="D171" s="171"/>
      <c r="E171" s="171"/>
      <c r="F171" s="171"/>
      <c r="G171" s="171" t="s">
        <v>184</v>
      </c>
      <c r="H171" s="171"/>
      <c r="I171" s="171"/>
      <c r="J171" s="176"/>
    </row>
    <row r="172" spans="1:10" x14ac:dyDescent="0.25">
      <c r="A172" s="171"/>
      <c r="B172" s="171"/>
      <c r="C172" s="171"/>
      <c r="D172" s="171"/>
      <c r="E172" s="171"/>
      <c r="F172" s="171"/>
      <c r="G172" s="171"/>
      <c r="H172" s="171" t="s">
        <v>464</v>
      </c>
      <c r="I172" s="171"/>
      <c r="J172" s="176">
        <v>56202</v>
      </c>
    </row>
    <row r="173" spans="1:10" x14ac:dyDescent="0.25">
      <c r="A173" s="171"/>
      <c r="B173" s="171"/>
      <c r="C173" s="171"/>
      <c r="D173" s="171"/>
      <c r="E173" s="171"/>
      <c r="F173" s="171"/>
      <c r="G173" s="171"/>
      <c r="H173" s="171" t="s">
        <v>185</v>
      </c>
      <c r="I173" s="171"/>
      <c r="J173" s="176"/>
    </row>
    <row r="174" spans="1:10" x14ac:dyDescent="0.25">
      <c r="A174" s="171"/>
      <c r="B174" s="171"/>
      <c r="C174" s="171"/>
      <c r="D174" s="171"/>
      <c r="E174" s="171"/>
      <c r="F174" s="171"/>
      <c r="G174" s="171"/>
      <c r="H174" s="171"/>
      <c r="I174" s="171" t="s">
        <v>262</v>
      </c>
      <c r="J174" s="176">
        <v>29815</v>
      </c>
    </row>
    <row r="175" spans="1:10" ht="15.75" thickBot="1" x14ac:dyDescent="0.3">
      <c r="A175" s="171"/>
      <c r="B175" s="171"/>
      <c r="C175" s="171"/>
      <c r="D175" s="171"/>
      <c r="E175" s="171"/>
      <c r="F175" s="171"/>
      <c r="G175" s="171"/>
      <c r="H175" s="171"/>
      <c r="I175" s="171" t="s">
        <v>552</v>
      </c>
      <c r="J175" s="220">
        <v>565</v>
      </c>
    </row>
    <row r="176" spans="1:10" x14ac:dyDescent="0.25">
      <c r="A176" s="171"/>
      <c r="B176" s="171"/>
      <c r="C176" s="171"/>
      <c r="D176" s="171"/>
      <c r="E176" s="171"/>
      <c r="F176" s="171"/>
      <c r="G176" s="171"/>
      <c r="H176" s="171" t="s">
        <v>263</v>
      </c>
      <c r="I176" s="171"/>
      <c r="J176" s="176">
        <f>ROUND(SUM(J173:J175),5)</f>
        <v>30380</v>
      </c>
    </row>
    <row r="177" spans="1:10" ht="15.75" thickBot="1" x14ac:dyDescent="0.3">
      <c r="A177" s="171"/>
      <c r="B177" s="171"/>
      <c r="C177" s="171"/>
      <c r="D177" s="171"/>
      <c r="E177" s="171"/>
      <c r="F177" s="171"/>
      <c r="G177" s="171"/>
      <c r="H177" s="171" t="s">
        <v>553</v>
      </c>
      <c r="I177" s="171"/>
      <c r="J177" s="220">
        <v>4223.2</v>
      </c>
    </row>
    <row r="178" spans="1:10" x14ac:dyDescent="0.25">
      <c r="A178" s="171"/>
      <c r="B178" s="171"/>
      <c r="C178" s="171"/>
      <c r="D178" s="171"/>
      <c r="E178" s="171"/>
      <c r="F178" s="171"/>
      <c r="G178" s="171" t="s">
        <v>186</v>
      </c>
      <c r="H178" s="171"/>
      <c r="I178" s="171"/>
      <c r="J178" s="176">
        <f>ROUND(SUM(J171:J172)+SUM(J176:J177),5)</f>
        <v>90805.2</v>
      </c>
    </row>
    <row r="179" spans="1:10" x14ac:dyDescent="0.25">
      <c r="A179" s="171"/>
      <c r="B179" s="171"/>
      <c r="C179" s="171"/>
      <c r="D179" s="171"/>
      <c r="E179" s="171"/>
      <c r="F179" s="171"/>
      <c r="G179" s="171" t="s">
        <v>207</v>
      </c>
      <c r="H179" s="171"/>
      <c r="I179" s="171"/>
      <c r="J179" s="176"/>
    </row>
    <row r="180" spans="1:10" x14ac:dyDescent="0.25">
      <c r="A180" s="171"/>
      <c r="B180" s="171"/>
      <c r="C180" s="171"/>
      <c r="D180" s="171"/>
      <c r="E180" s="171"/>
      <c r="F180" s="171"/>
      <c r="G180" s="171"/>
      <c r="H180" s="171" t="s">
        <v>211</v>
      </c>
      <c r="I180" s="171"/>
      <c r="J180" s="176">
        <v>50000</v>
      </c>
    </row>
    <row r="181" spans="1:10" x14ac:dyDescent="0.25">
      <c r="A181" s="171"/>
      <c r="B181" s="171"/>
      <c r="C181" s="171"/>
      <c r="D181" s="171"/>
      <c r="E181" s="171"/>
      <c r="F181" s="171"/>
      <c r="G181" s="171"/>
      <c r="H181" s="171" t="s">
        <v>554</v>
      </c>
      <c r="I181" s="171"/>
      <c r="J181" s="176">
        <v>4800</v>
      </c>
    </row>
    <row r="182" spans="1:10" x14ac:dyDescent="0.25">
      <c r="A182" s="171"/>
      <c r="B182" s="171"/>
      <c r="C182" s="171"/>
      <c r="D182" s="171"/>
      <c r="E182" s="171"/>
      <c r="F182" s="171"/>
      <c r="G182" s="171"/>
      <c r="H182" s="171" t="s">
        <v>555</v>
      </c>
      <c r="I182" s="171"/>
      <c r="J182" s="176">
        <v>1200</v>
      </c>
    </row>
    <row r="183" spans="1:10" ht="15.75" thickBot="1" x14ac:dyDescent="0.3">
      <c r="A183" s="171"/>
      <c r="B183" s="171"/>
      <c r="C183" s="171"/>
      <c r="D183" s="171"/>
      <c r="E183" s="171"/>
      <c r="F183" s="171"/>
      <c r="G183" s="171"/>
      <c r="H183" s="171" t="s">
        <v>648</v>
      </c>
      <c r="I183" s="171"/>
      <c r="J183" s="220">
        <v>3666.67</v>
      </c>
    </row>
    <row r="184" spans="1:10" x14ac:dyDescent="0.25">
      <c r="A184" s="171"/>
      <c r="B184" s="171"/>
      <c r="C184" s="171"/>
      <c r="D184" s="171"/>
      <c r="E184" s="171"/>
      <c r="F184" s="171"/>
      <c r="G184" s="171" t="s">
        <v>208</v>
      </c>
      <c r="H184" s="171"/>
      <c r="I184" s="171"/>
      <c r="J184" s="176">
        <f>ROUND(SUM(J179:J183),5)</f>
        <v>59666.67</v>
      </c>
    </row>
    <row r="185" spans="1:10" x14ac:dyDescent="0.25">
      <c r="A185" s="171"/>
      <c r="B185" s="171"/>
      <c r="C185" s="171"/>
      <c r="D185" s="171"/>
      <c r="E185" s="171"/>
      <c r="F185" s="171"/>
      <c r="G185" s="171" t="s">
        <v>187</v>
      </c>
      <c r="H185" s="171"/>
      <c r="I185" s="171"/>
      <c r="J185" s="176"/>
    </row>
    <row r="186" spans="1:10" x14ac:dyDescent="0.25">
      <c r="A186" s="171"/>
      <c r="B186" s="171"/>
      <c r="C186" s="171"/>
      <c r="D186" s="171"/>
      <c r="E186" s="171"/>
      <c r="F186" s="171"/>
      <c r="G186" s="171"/>
      <c r="H186" s="171" t="s">
        <v>556</v>
      </c>
      <c r="I186" s="171"/>
      <c r="J186" s="176">
        <v>270</v>
      </c>
    </row>
    <row r="187" spans="1:10" ht="15.75" thickBot="1" x14ac:dyDescent="0.3">
      <c r="A187" s="171"/>
      <c r="B187" s="171"/>
      <c r="C187" s="171"/>
      <c r="D187" s="171"/>
      <c r="E187" s="171"/>
      <c r="F187" s="171"/>
      <c r="G187" s="171"/>
      <c r="H187" s="171" t="s">
        <v>209</v>
      </c>
      <c r="I187" s="171"/>
      <c r="J187" s="8">
        <v>45000</v>
      </c>
    </row>
    <row r="188" spans="1:10" ht="15.75" thickBot="1" x14ac:dyDescent="0.3">
      <c r="A188" s="171"/>
      <c r="B188" s="171"/>
      <c r="C188" s="171"/>
      <c r="D188" s="171"/>
      <c r="E188" s="171"/>
      <c r="F188" s="171"/>
      <c r="G188" s="171" t="s">
        <v>188</v>
      </c>
      <c r="H188" s="171"/>
      <c r="I188" s="171"/>
      <c r="J188" s="10">
        <f>ROUND(SUM(J185:J187),5)</f>
        <v>45270</v>
      </c>
    </row>
    <row r="189" spans="1:10" x14ac:dyDescent="0.25">
      <c r="A189" s="171"/>
      <c r="B189" s="171"/>
      <c r="C189" s="171"/>
      <c r="D189" s="171"/>
      <c r="E189" s="171"/>
      <c r="F189" s="171" t="s">
        <v>210</v>
      </c>
      <c r="G189" s="171"/>
      <c r="H189" s="171"/>
      <c r="I189" s="171"/>
      <c r="J189" s="176">
        <f>ROUND(J170+J178+J184+J188,5)</f>
        <v>195741.87</v>
      </c>
    </row>
    <row r="190" spans="1:10" x14ac:dyDescent="0.25">
      <c r="A190" s="171"/>
      <c r="B190" s="171"/>
      <c r="C190" s="171"/>
      <c r="D190" s="171"/>
      <c r="E190" s="171"/>
      <c r="F190" s="171" t="s">
        <v>465</v>
      </c>
      <c r="G190" s="171"/>
      <c r="H190" s="171"/>
      <c r="I190" s="171"/>
      <c r="J190" s="176"/>
    </row>
    <row r="191" spans="1:10" x14ac:dyDescent="0.25">
      <c r="A191" s="171"/>
      <c r="B191" s="171"/>
      <c r="C191" s="171"/>
      <c r="D191" s="171"/>
      <c r="E191" s="171"/>
      <c r="F191" s="171"/>
      <c r="G191" s="171" t="s">
        <v>673</v>
      </c>
      <c r="H191" s="171"/>
      <c r="I191" s="171"/>
      <c r="J191" s="176">
        <v>17500</v>
      </c>
    </row>
    <row r="192" spans="1:10" x14ac:dyDescent="0.25">
      <c r="A192" s="171"/>
      <c r="B192" s="171"/>
      <c r="C192" s="171"/>
      <c r="D192" s="171"/>
      <c r="E192" s="171"/>
      <c r="F192" s="171"/>
      <c r="G192" s="171" t="s">
        <v>557</v>
      </c>
      <c r="H192" s="171"/>
      <c r="I192" s="171"/>
      <c r="J192" s="231">
        <v>182371.67</v>
      </c>
    </row>
    <row r="193" spans="1:10" ht="15.75" thickBot="1" x14ac:dyDescent="0.3">
      <c r="A193" s="171"/>
      <c r="B193" s="171"/>
      <c r="C193" s="171"/>
      <c r="D193" s="171"/>
      <c r="E193" s="171"/>
      <c r="F193" s="171"/>
      <c r="G193" s="171" t="s">
        <v>466</v>
      </c>
      <c r="H193" s="171"/>
      <c r="I193" s="171"/>
      <c r="J193" s="220">
        <v>58140</v>
      </c>
    </row>
    <row r="194" spans="1:10" x14ac:dyDescent="0.25">
      <c r="A194" s="171"/>
      <c r="B194" s="171"/>
      <c r="C194" s="171"/>
      <c r="D194" s="171"/>
      <c r="E194" s="171"/>
      <c r="F194" s="171" t="s">
        <v>467</v>
      </c>
      <c r="G194" s="171"/>
      <c r="H194" s="171"/>
      <c r="I194" s="171"/>
      <c r="J194" s="176">
        <f>ROUND(SUM(J190:J193),5)</f>
        <v>258011.67</v>
      </c>
    </row>
    <row r="195" spans="1:10" x14ac:dyDescent="0.25">
      <c r="A195" s="171"/>
      <c r="B195" s="171"/>
      <c r="C195" s="171"/>
      <c r="D195" s="171"/>
      <c r="E195" s="171"/>
      <c r="F195" s="171" t="s">
        <v>674</v>
      </c>
      <c r="G195" s="171"/>
      <c r="H195" s="171"/>
      <c r="I195" s="171"/>
      <c r="J195" s="176"/>
    </row>
    <row r="196" spans="1:10" ht="15.75" thickBot="1" x14ac:dyDescent="0.3">
      <c r="A196" s="171"/>
      <c r="B196" s="171"/>
      <c r="C196" s="171"/>
      <c r="D196" s="171"/>
      <c r="E196" s="171"/>
      <c r="F196" s="171"/>
      <c r="G196" s="171" t="s">
        <v>675</v>
      </c>
      <c r="H196" s="171"/>
      <c r="I196" s="171"/>
      <c r="J196" s="220">
        <v>12500</v>
      </c>
    </row>
    <row r="197" spans="1:10" x14ac:dyDescent="0.25">
      <c r="A197" s="171"/>
      <c r="B197" s="171"/>
      <c r="C197" s="171"/>
      <c r="D197" s="171"/>
      <c r="E197" s="171"/>
      <c r="F197" s="171" t="s">
        <v>676</v>
      </c>
      <c r="G197" s="171"/>
      <c r="H197" s="171"/>
      <c r="I197" s="171"/>
      <c r="J197" s="176">
        <f>ROUND(SUM(J195:J196),5)</f>
        <v>12500</v>
      </c>
    </row>
    <row r="198" spans="1:10" x14ac:dyDescent="0.25">
      <c r="A198" s="171"/>
      <c r="B198" s="171"/>
      <c r="C198" s="171"/>
      <c r="D198" s="171"/>
      <c r="E198" s="171"/>
      <c r="F198" s="171" t="s">
        <v>139</v>
      </c>
      <c r="G198" s="171"/>
      <c r="H198" s="171"/>
      <c r="I198" s="171"/>
      <c r="J198" s="176"/>
    </row>
    <row r="199" spans="1:10" x14ac:dyDescent="0.25">
      <c r="A199" s="171"/>
      <c r="B199" s="171"/>
      <c r="C199" s="171"/>
      <c r="D199" s="171"/>
      <c r="E199" s="171"/>
      <c r="F199" s="171"/>
      <c r="G199" s="171" t="s">
        <v>468</v>
      </c>
      <c r="H199" s="171"/>
      <c r="I199" s="171"/>
      <c r="J199" s="176"/>
    </row>
    <row r="200" spans="1:10" x14ac:dyDescent="0.25">
      <c r="A200" s="171"/>
      <c r="B200" s="171"/>
      <c r="C200" s="171"/>
      <c r="D200" s="171"/>
      <c r="E200" s="171"/>
      <c r="F200" s="171"/>
      <c r="G200" s="171"/>
      <c r="H200" s="171" t="s">
        <v>649</v>
      </c>
      <c r="I200" s="171"/>
      <c r="J200" s="176">
        <v>24000</v>
      </c>
    </row>
    <row r="201" spans="1:10" x14ac:dyDescent="0.25">
      <c r="A201" s="171"/>
      <c r="B201" s="171"/>
      <c r="C201" s="171"/>
      <c r="D201" s="171"/>
      <c r="E201" s="171"/>
      <c r="F201" s="171"/>
      <c r="G201" s="171"/>
      <c r="H201" s="171" t="s">
        <v>650</v>
      </c>
      <c r="I201" s="171"/>
      <c r="J201" s="176">
        <v>6000</v>
      </c>
    </row>
    <row r="202" spans="1:10" x14ac:dyDescent="0.25">
      <c r="A202" s="171"/>
      <c r="B202" s="171"/>
      <c r="C202" s="171"/>
      <c r="D202" s="171"/>
      <c r="E202" s="171"/>
      <c r="F202" s="171"/>
      <c r="G202" s="171"/>
      <c r="H202" s="171" t="s">
        <v>140</v>
      </c>
      <c r="I202" s="171"/>
      <c r="J202" s="176">
        <v>350000</v>
      </c>
    </row>
    <row r="203" spans="1:10" ht="15.75" thickBot="1" x14ac:dyDescent="0.3">
      <c r="A203" s="171"/>
      <c r="B203" s="171"/>
      <c r="C203" s="171"/>
      <c r="D203" s="171"/>
      <c r="E203" s="171"/>
      <c r="F203" s="171"/>
      <c r="G203" s="171"/>
      <c r="H203" s="171" t="s">
        <v>573</v>
      </c>
      <c r="I203" s="171"/>
      <c r="J203" s="220">
        <v>32083.33</v>
      </c>
    </row>
    <row r="204" spans="1:10" x14ac:dyDescent="0.25">
      <c r="A204" s="171"/>
      <c r="B204" s="171"/>
      <c r="C204" s="171"/>
      <c r="D204" s="171"/>
      <c r="E204" s="171"/>
      <c r="F204" s="171"/>
      <c r="G204" s="171" t="s">
        <v>469</v>
      </c>
      <c r="H204" s="171"/>
      <c r="I204" s="171"/>
      <c r="J204" s="176">
        <f>ROUND(SUM(J199:J203),5)</f>
        <v>412083.33</v>
      </c>
    </row>
    <row r="205" spans="1:10" x14ac:dyDescent="0.25">
      <c r="A205" s="171"/>
      <c r="B205" s="171"/>
      <c r="C205" s="171"/>
      <c r="D205" s="171"/>
      <c r="E205" s="171"/>
      <c r="F205" s="171"/>
      <c r="G205" s="171" t="s">
        <v>141</v>
      </c>
      <c r="H205" s="171"/>
      <c r="I205" s="171"/>
      <c r="J205" s="176"/>
    </row>
    <row r="206" spans="1:10" x14ac:dyDescent="0.25">
      <c r="A206" s="171"/>
      <c r="B206" s="171"/>
      <c r="C206" s="171"/>
      <c r="D206" s="171"/>
      <c r="E206" s="171"/>
      <c r="F206" s="171"/>
      <c r="G206" s="171"/>
      <c r="H206" s="171" t="s">
        <v>628</v>
      </c>
      <c r="I206" s="171"/>
      <c r="J206" s="176">
        <v>11458.33</v>
      </c>
    </row>
    <row r="207" spans="1:10" x14ac:dyDescent="0.25">
      <c r="A207" s="171"/>
      <c r="B207" s="171"/>
      <c r="C207" s="171"/>
      <c r="D207" s="171"/>
      <c r="E207" s="171"/>
      <c r="F207" s="171"/>
      <c r="G207" s="171"/>
      <c r="H207" s="171" t="s">
        <v>142</v>
      </c>
      <c r="I207" s="171"/>
      <c r="J207" s="176">
        <v>36691</v>
      </c>
    </row>
    <row r="208" spans="1:10" x14ac:dyDescent="0.25">
      <c r="A208" s="171"/>
      <c r="B208" s="171"/>
      <c r="C208" s="171"/>
      <c r="D208" s="171"/>
      <c r="E208" s="171"/>
      <c r="F208" s="171"/>
      <c r="G208" s="171"/>
      <c r="H208" s="171" t="s">
        <v>579</v>
      </c>
      <c r="I208" s="171"/>
      <c r="J208" s="176">
        <v>7772.38</v>
      </c>
    </row>
    <row r="209" spans="1:14" ht="15.75" thickBot="1" x14ac:dyDescent="0.3">
      <c r="A209" s="171"/>
      <c r="B209" s="171"/>
      <c r="C209" s="171"/>
      <c r="D209" s="171"/>
      <c r="E209" s="171"/>
      <c r="F209" s="171"/>
      <c r="G209" s="171"/>
      <c r="H209" s="171" t="s">
        <v>582</v>
      </c>
      <c r="I209" s="171"/>
      <c r="J209" s="220">
        <v>1043365.94</v>
      </c>
      <c r="N209" s="235"/>
    </row>
    <row r="210" spans="1:14" x14ac:dyDescent="0.25">
      <c r="A210" s="171"/>
      <c r="B210" s="171"/>
      <c r="C210" s="171"/>
      <c r="D210" s="171"/>
      <c r="E210" s="171"/>
      <c r="F210" s="171"/>
      <c r="G210" s="171" t="s">
        <v>148</v>
      </c>
      <c r="H210" s="171"/>
      <c r="I210" s="171"/>
      <c r="J210" s="176">
        <f>ROUND(SUM(J205:J207)+SUM(J208:J209),5)</f>
        <v>1099287.6499999999</v>
      </c>
    </row>
    <row r="211" spans="1:14" x14ac:dyDescent="0.25">
      <c r="A211" s="171"/>
      <c r="B211" s="171"/>
      <c r="C211" s="171"/>
      <c r="D211" s="171"/>
      <c r="E211" s="171"/>
      <c r="F211" s="171"/>
      <c r="G211" s="171" t="s">
        <v>167</v>
      </c>
      <c r="H211" s="171"/>
      <c r="I211" s="171"/>
      <c r="J211" s="176"/>
    </row>
    <row r="212" spans="1:14" x14ac:dyDescent="0.25">
      <c r="A212" s="171"/>
      <c r="B212" s="171"/>
      <c r="C212" s="171"/>
      <c r="D212" s="171"/>
      <c r="E212" s="171"/>
      <c r="F212" s="171"/>
      <c r="G212" s="171"/>
      <c r="H212" s="171" t="s">
        <v>168</v>
      </c>
      <c r="I212" s="171"/>
      <c r="J212" s="176">
        <v>71621.5</v>
      </c>
    </row>
    <row r="213" spans="1:14" x14ac:dyDescent="0.25">
      <c r="A213" s="171"/>
      <c r="B213" s="171"/>
      <c r="C213" s="171"/>
      <c r="D213" s="171"/>
      <c r="E213" s="171"/>
      <c r="F213" s="171"/>
      <c r="G213" s="171"/>
      <c r="H213" s="171" t="s">
        <v>473</v>
      </c>
      <c r="I213" s="171"/>
      <c r="J213" s="176">
        <v>43809.85</v>
      </c>
    </row>
    <row r="214" spans="1:14" x14ac:dyDescent="0.25">
      <c r="A214" s="171"/>
      <c r="B214" s="171"/>
      <c r="C214" s="171"/>
      <c r="D214" s="171"/>
      <c r="E214" s="171"/>
      <c r="F214" s="171"/>
      <c r="G214" s="171"/>
      <c r="H214" s="171" t="s">
        <v>169</v>
      </c>
      <c r="I214" s="171"/>
      <c r="J214" s="176">
        <v>480220.89</v>
      </c>
      <c r="K214" s="222"/>
      <c r="M214" s="176"/>
    </row>
    <row r="215" spans="1:14" x14ac:dyDescent="0.25">
      <c r="A215" s="171"/>
      <c r="B215" s="171"/>
      <c r="C215" s="171"/>
      <c r="D215" s="171"/>
      <c r="E215" s="171"/>
      <c r="F215" s="171"/>
      <c r="G215" s="171"/>
      <c r="H215" s="171" t="s">
        <v>170</v>
      </c>
      <c r="I215" s="171"/>
      <c r="J215" s="176">
        <v>20000</v>
      </c>
    </row>
    <row r="216" spans="1:14" ht="15.75" thickBot="1" x14ac:dyDescent="0.3">
      <c r="A216" s="171"/>
      <c r="B216" s="171"/>
      <c r="C216" s="171"/>
      <c r="D216" s="171"/>
      <c r="E216" s="171"/>
      <c r="F216" s="171"/>
      <c r="G216" s="171"/>
      <c r="H216" s="171" t="s">
        <v>171</v>
      </c>
      <c r="I216" s="171"/>
      <c r="J216" s="8">
        <v>12620.73</v>
      </c>
    </row>
    <row r="217" spans="1:14" ht="15.75" thickBot="1" x14ac:dyDescent="0.3">
      <c r="A217" s="171"/>
      <c r="B217" s="171"/>
      <c r="C217" s="171"/>
      <c r="D217" s="171"/>
      <c r="E217" s="171"/>
      <c r="F217" s="171"/>
      <c r="G217" s="171" t="s">
        <v>172</v>
      </c>
      <c r="H217" s="171"/>
      <c r="I217" s="171"/>
      <c r="J217" s="11">
        <f>ROUND(SUM(J211:J216),5)</f>
        <v>628272.97</v>
      </c>
    </row>
    <row r="218" spans="1:14" ht="15.75" thickBot="1" x14ac:dyDescent="0.3">
      <c r="A218" s="171"/>
      <c r="B218" s="171"/>
      <c r="C218" s="171"/>
      <c r="D218" s="171"/>
      <c r="E218" s="171"/>
      <c r="F218" s="171" t="s">
        <v>173</v>
      </c>
      <c r="G218" s="171"/>
      <c r="H218" s="171"/>
      <c r="I218" s="171"/>
      <c r="J218" s="11">
        <f>ROUND(J198+J204+J210+J217,5)</f>
        <v>2139643.9500000002</v>
      </c>
    </row>
    <row r="219" spans="1:14" ht="15.75" thickBot="1" x14ac:dyDescent="0.3">
      <c r="A219" s="171"/>
      <c r="B219" s="171"/>
      <c r="C219" s="171"/>
      <c r="D219" s="171"/>
      <c r="E219" s="171" t="s">
        <v>174</v>
      </c>
      <c r="F219" s="171"/>
      <c r="G219" s="171"/>
      <c r="H219" s="171"/>
      <c r="I219" s="171"/>
      <c r="J219" s="11">
        <f>ROUND(J57+J114+J158+J169+J189+J194+J197+J218,5)</f>
        <v>4959125.96</v>
      </c>
    </row>
    <row r="220" spans="1:14" ht="15.75" thickBot="1" x14ac:dyDescent="0.3">
      <c r="A220" s="171"/>
      <c r="B220" s="171"/>
      <c r="C220" s="171"/>
      <c r="D220" s="171" t="s">
        <v>175</v>
      </c>
      <c r="E220" s="171"/>
      <c r="F220" s="171"/>
      <c r="G220" s="171"/>
      <c r="H220" s="171"/>
      <c r="I220" s="171"/>
      <c r="J220" s="11">
        <f>ROUND(J56+J219,5)</f>
        <v>4959125.96</v>
      </c>
    </row>
    <row r="221" spans="1:14" ht="15.75" thickBot="1" x14ac:dyDescent="0.3">
      <c r="A221" s="171"/>
      <c r="B221" s="171" t="s">
        <v>176</v>
      </c>
      <c r="C221" s="171"/>
      <c r="D221" s="171"/>
      <c r="E221" s="171"/>
      <c r="F221" s="171"/>
      <c r="G221" s="171"/>
      <c r="H221" s="171"/>
      <c r="I221" s="171"/>
      <c r="J221" s="11">
        <f>ROUND(J4+J55-J220,5)</f>
        <v>2372274.09</v>
      </c>
    </row>
    <row r="222" spans="1:14" s="156" customFormat="1" ht="12" thickBot="1" x14ac:dyDescent="0.25">
      <c r="A222" s="171" t="s">
        <v>177</v>
      </c>
      <c r="B222" s="171"/>
      <c r="C222" s="171"/>
      <c r="D222" s="171"/>
      <c r="E222" s="171"/>
      <c r="F222" s="171"/>
      <c r="G222" s="171"/>
      <c r="H222" s="171"/>
      <c r="I222" s="171"/>
      <c r="J222" s="12">
        <f>J221</f>
        <v>2372274.09</v>
      </c>
    </row>
    <row r="223" spans="1:14" ht="15.75" thickTop="1" x14ac:dyDescent="0.25"/>
  </sheetData>
  <pageMargins left="0.7" right="0.7" top="0.75" bottom="0.75" header="0.25" footer="0.3"/>
  <pageSetup orientation="portrait" r:id="rId1"/>
  <headerFooter>
    <oddHeader>&amp;L&amp;"Arial,Bold"&amp;8 1:01 AM
&amp;"Arial,Bold"&amp;8 06/02/16
&amp;"Arial,Bold"&amp;8 Accrual Basis&amp;C&amp;"Arial,Bold"&amp;12 Tropical Fish International (Pvt) Limited
&amp;"Arial,Bold"&amp;14 Profit &amp;&amp; Loss
&amp;"Arial,Bold"&amp;10 April 29 through May 26, 2016</oddHeader>
    <oddFooter>&amp;R&amp;"Arial,Bold"&amp;8 Page &amp;P of &amp;N</oddFooter>
  </headerFooter>
  <drawing r:id="rId2"/>
  <legacyDrawing r:id="rId3"/>
  <controls>
    <mc:AlternateContent xmlns:mc="http://schemas.openxmlformats.org/markup-compatibility/2006">
      <mc:Choice Requires="x14">
        <control shapeId="233474" r:id="rId4" name="HEADER">
          <controlPr defaultSize="0" autoLine="0" r:id="rId5">
            <anchor moveWithCells="1">
              <from>
                <xdr:col>0</xdr:col>
                <xdr:colOff>0</xdr:colOff>
                <xdr:row>0</xdr:row>
                <xdr:rowOff>0</xdr:rowOff>
              </from>
              <to>
                <xdr:col>4</xdr:col>
                <xdr:colOff>114300</xdr:colOff>
                <xdr:row>1</xdr:row>
                <xdr:rowOff>38100</xdr:rowOff>
              </to>
            </anchor>
          </controlPr>
        </control>
      </mc:Choice>
      <mc:Fallback>
        <control shapeId="233474" r:id="rId4" name="HEADER"/>
      </mc:Fallback>
    </mc:AlternateContent>
    <mc:AlternateContent xmlns:mc="http://schemas.openxmlformats.org/markup-compatibility/2006">
      <mc:Choice Requires="x14">
        <control shapeId="233473" r:id="rId6" name="FILTER">
          <controlPr defaultSize="0" autoLine="0" r:id="rId7">
            <anchor moveWithCells="1">
              <from>
                <xdr:col>0</xdr:col>
                <xdr:colOff>0</xdr:colOff>
                <xdr:row>0</xdr:row>
                <xdr:rowOff>0</xdr:rowOff>
              </from>
              <to>
                <xdr:col>4</xdr:col>
                <xdr:colOff>114300</xdr:colOff>
                <xdr:row>1</xdr:row>
                <xdr:rowOff>38100</xdr:rowOff>
              </to>
            </anchor>
          </controlPr>
        </control>
      </mc:Choice>
      <mc:Fallback>
        <control shapeId="233473" r:id="rId6" name="FILTER"/>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9" tint="0.39997558519241921"/>
  </sheetPr>
  <dimension ref="A1:O398"/>
  <sheetViews>
    <sheetView zoomScaleNormal="100" workbookViewId="0">
      <pane ySplit="1" topLeftCell="A158" activePane="bottomLeft" state="frozen"/>
      <selection pane="bottomLeft" activeCell="J166" sqref="J166"/>
    </sheetView>
  </sheetViews>
  <sheetFormatPr defaultRowHeight="15" x14ac:dyDescent="0.25"/>
  <cols>
    <col min="1" max="8" width="3" style="159" customWidth="1"/>
    <col min="9" max="9" width="30" style="159" customWidth="1"/>
    <col min="10" max="10" width="11.140625" style="5" bestFit="1" customWidth="1"/>
    <col min="11" max="11" width="29.140625" style="154" customWidth="1"/>
    <col min="12" max="12" width="30.7109375" style="154" bestFit="1" customWidth="1"/>
    <col min="13" max="13" width="13.85546875" style="167" bestFit="1" customWidth="1"/>
    <col min="14" max="14" width="9.42578125" style="154" hidden="1" customWidth="1"/>
    <col min="15" max="15" width="8" style="154" hidden="1" customWidth="1"/>
    <col min="16" max="16384" width="9.140625" style="154"/>
  </cols>
  <sheetData>
    <row r="1" spans="1:15" s="158" customFormat="1" ht="15.75" thickBot="1" x14ac:dyDescent="0.3">
      <c r="A1" s="157"/>
      <c r="B1" s="157"/>
      <c r="C1" s="157"/>
      <c r="D1" s="157"/>
      <c r="E1" s="157"/>
      <c r="F1" s="157"/>
      <c r="G1" s="157"/>
      <c r="H1" s="157"/>
      <c r="I1" s="157"/>
      <c r="J1" s="178" t="s">
        <v>665</v>
      </c>
      <c r="L1" s="154"/>
      <c r="M1" s="167"/>
      <c r="N1" s="154"/>
      <c r="O1" s="154"/>
    </row>
    <row r="2" spans="1:15" ht="30.75" thickTop="1" x14ac:dyDescent="0.25">
      <c r="A2" s="171"/>
      <c r="B2" s="171" t="s">
        <v>20</v>
      </c>
      <c r="C2" s="171"/>
      <c r="D2" s="171"/>
      <c r="E2" s="171"/>
      <c r="F2" s="171"/>
      <c r="G2" s="171"/>
      <c r="H2" s="171"/>
      <c r="I2" s="171"/>
      <c r="J2" s="176"/>
      <c r="L2" s="108" t="s">
        <v>381</v>
      </c>
      <c r="M2" s="200" t="s">
        <v>380</v>
      </c>
      <c r="N2" s="110" t="s">
        <v>433</v>
      </c>
      <c r="O2" s="109" t="s">
        <v>382</v>
      </c>
    </row>
    <row r="3" spans="1:15" x14ac:dyDescent="0.25">
      <c r="A3" s="171"/>
      <c r="B3" s="171"/>
      <c r="C3" s="171"/>
      <c r="D3" s="171" t="s">
        <v>21</v>
      </c>
      <c r="E3" s="171"/>
      <c r="F3" s="171"/>
      <c r="G3" s="171"/>
      <c r="H3" s="171"/>
      <c r="I3" s="171"/>
      <c r="J3" s="176"/>
      <c r="L3" s="46" t="s">
        <v>269</v>
      </c>
      <c r="M3" s="184">
        <f>J70</f>
        <v>611551.54</v>
      </c>
      <c r="N3" s="59"/>
      <c r="O3" s="46" t="s">
        <v>442</v>
      </c>
    </row>
    <row r="4" spans="1:15" x14ac:dyDescent="0.25">
      <c r="A4" s="171"/>
      <c r="B4" s="171"/>
      <c r="C4" s="171"/>
      <c r="D4" s="171"/>
      <c r="E4" s="171" t="s">
        <v>22</v>
      </c>
      <c r="F4" s="171"/>
      <c r="G4" s="171"/>
      <c r="H4" s="171"/>
      <c r="I4" s="171"/>
      <c r="J4" s="176"/>
      <c r="L4" s="46" t="s">
        <v>270</v>
      </c>
      <c r="M4" s="184">
        <f>J122</f>
        <v>73458.33</v>
      </c>
      <c r="N4" s="59"/>
      <c r="O4" s="46" t="s">
        <v>442</v>
      </c>
    </row>
    <row r="5" spans="1:15" x14ac:dyDescent="0.25">
      <c r="A5" s="171"/>
      <c r="B5" s="171"/>
      <c r="C5" s="171"/>
      <c r="D5" s="171"/>
      <c r="E5" s="171"/>
      <c r="F5" s="171" t="s">
        <v>23</v>
      </c>
      <c r="G5" s="171"/>
      <c r="H5" s="171"/>
      <c r="I5" s="171"/>
      <c r="J5" s="176">
        <v>8367064.4800000004</v>
      </c>
      <c r="L5" s="46" t="s">
        <v>597</v>
      </c>
      <c r="M5" s="184">
        <f>J170</f>
        <v>59666.67</v>
      </c>
      <c r="N5" s="59"/>
      <c r="O5" s="46" t="s">
        <v>442</v>
      </c>
    </row>
    <row r="6" spans="1:15" x14ac:dyDescent="0.25">
      <c r="A6" s="171"/>
      <c r="B6" s="171"/>
      <c r="C6" s="171"/>
      <c r="D6" s="171"/>
      <c r="E6" s="171"/>
      <c r="F6" s="171" t="s">
        <v>26</v>
      </c>
      <c r="G6" s="171"/>
      <c r="H6" s="171"/>
      <c r="I6" s="171"/>
      <c r="J6" s="176">
        <v>335742.06</v>
      </c>
      <c r="L6" s="119" t="s">
        <v>606</v>
      </c>
      <c r="M6" s="184"/>
      <c r="N6" s="59"/>
      <c r="O6" s="46"/>
    </row>
    <row r="7" spans="1:15" x14ac:dyDescent="0.25">
      <c r="A7" s="171"/>
      <c r="B7" s="171"/>
      <c r="C7" s="171"/>
      <c r="D7" s="171"/>
      <c r="E7" s="171"/>
      <c r="F7" s="171" t="s">
        <v>27</v>
      </c>
      <c r="G7" s="171"/>
      <c r="H7" s="171"/>
      <c r="I7" s="171"/>
      <c r="J7" s="176">
        <v>4226946.21</v>
      </c>
      <c r="K7" s="171"/>
      <c r="L7" s="67" t="s">
        <v>598</v>
      </c>
      <c r="M7" s="184">
        <f>J192</f>
        <v>412083.33</v>
      </c>
      <c r="N7" s="185">
        <v>0.5</v>
      </c>
      <c r="O7" s="46" t="s">
        <v>595</v>
      </c>
    </row>
    <row r="8" spans="1:15" x14ac:dyDescent="0.25">
      <c r="A8" s="171"/>
      <c r="B8" s="171"/>
      <c r="C8" s="171"/>
      <c r="D8" s="171"/>
      <c r="E8" s="171"/>
      <c r="F8" s="171" t="s">
        <v>28</v>
      </c>
      <c r="G8" s="171"/>
      <c r="H8" s="171"/>
      <c r="I8" s="171"/>
      <c r="J8" s="176">
        <v>33110.86</v>
      </c>
      <c r="K8" s="171"/>
      <c r="L8" s="106" t="s">
        <v>12</v>
      </c>
      <c r="M8" s="201">
        <f>SUM(M3:M7)</f>
        <v>1156759.8700000001</v>
      </c>
      <c r="N8" s="186"/>
      <c r="O8" s="46"/>
    </row>
    <row r="9" spans="1:15" ht="15.75" thickBot="1" x14ac:dyDescent="0.3">
      <c r="A9" s="171"/>
      <c r="B9" s="171"/>
      <c r="C9" s="171"/>
      <c r="D9" s="171"/>
      <c r="E9" s="171"/>
      <c r="F9" s="171" t="s">
        <v>618</v>
      </c>
      <c r="G9" s="171"/>
      <c r="H9" s="171"/>
      <c r="I9" s="171"/>
      <c r="J9" s="8">
        <v>18056.29</v>
      </c>
      <c r="K9" s="171"/>
      <c r="L9" s="46"/>
      <c r="M9" s="190"/>
      <c r="N9" s="111"/>
      <c r="O9" s="46"/>
    </row>
    <row r="10" spans="1:15" ht="15.75" thickBot="1" x14ac:dyDescent="0.3">
      <c r="A10" s="171"/>
      <c r="B10" s="171"/>
      <c r="C10" s="171"/>
      <c r="D10" s="171"/>
      <c r="E10" s="171" t="s">
        <v>39</v>
      </c>
      <c r="F10" s="171"/>
      <c r="G10" s="171"/>
      <c r="H10" s="171"/>
      <c r="I10" s="171"/>
      <c r="J10" s="10">
        <f>ROUND(SUM(J4:J9),5)</f>
        <v>12980919.9</v>
      </c>
      <c r="K10" s="171"/>
      <c r="L10" s="104"/>
      <c r="M10" s="202"/>
      <c r="N10" s="135"/>
      <c r="O10" s="104"/>
    </row>
    <row r="11" spans="1:15" ht="30" x14ac:dyDescent="0.25">
      <c r="A11" s="171"/>
      <c r="B11" s="171"/>
      <c r="C11" s="171"/>
      <c r="D11" s="171" t="s">
        <v>40</v>
      </c>
      <c r="E11" s="171"/>
      <c r="F11" s="171"/>
      <c r="G11" s="171"/>
      <c r="H11" s="171"/>
      <c r="I11" s="171"/>
      <c r="J11" s="176">
        <f>ROUND(J3+J10,5)</f>
        <v>12980919.9</v>
      </c>
      <c r="K11" s="171"/>
      <c r="L11" s="65" t="s">
        <v>397</v>
      </c>
      <c r="M11" s="203" t="s">
        <v>380</v>
      </c>
      <c r="N11" s="112" t="s">
        <v>433</v>
      </c>
      <c r="O11" s="58" t="s">
        <v>382</v>
      </c>
    </row>
    <row r="12" spans="1:15" x14ac:dyDescent="0.25">
      <c r="A12" s="171"/>
      <c r="B12" s="171"/>
      <c r="C12" s="171"/>
      <c r="D12" s="171" t="s">
        <v>41</v>
      </c>
      <c r="E12" s="171"/>
      <c r="F12" s="171"/>
      <c r="G12" s="171"/>
      <c r="H12" s="171"/>
      <c r="I12" s="171"/>
      <c r="J12" s="176"/>
      <c r="K12" s="171"/>
      <c r="L12" s="46" t="s">
        <v>269</v>
      </c>
      <c r="M12" s="190">
        <f>J101-J70</f>
        <v>984042.25</v>
      </c>
      <c r="N12" s="187"/>
      <c r="O12" s="46" t="s">
        <v>442</v>
      </c>
    </row>
    <row r="13" spans="1:15" x14ac:dyDescent="0.25">
      <c r="A13" s="171"/>
      <c r="B13" s="171"/>
      <c r="C13" s="171"/>
      <c r="D13" s="171"/>
      <c r="E13" s="171" t="s">
        <v>42</v>
      </c>
      <c r="F13" s="171"/>
      <c r="G13" s="171"/>
      <c r="H13" s="171"/>
      <c r="I13" s="171"/>
      <c r="J13" s="176"/>
      <c r="K13" s="171"/>
      <c r="L13" s="46" t="s">
        <v>270</v>
      </c>
      <c r="M13" s="190">
        <f>J144-J122</f>
        <v>497937.14999999997</v>
      </c>
      <c r="N13" s="187"/>
      <c r="O13" s="46" t="s">
        <v>442</v>
      </c>
    </row>
    <row r="14" spans="1:15" x14ac:dyDescent="0.25">
      <c r="A14" s="171"/>
      <c r="B14" s="171"/>
      <c r="C14" s="171"/>
      <c r="D14" s="171"/>
      <c r="E14" s="171"/>
      <c r="F14" s="171" t="s">
        <v>43</v>
      </c>
      <c r="G14" s="171"/>
      <c r="H14" s="171"/>
      <c r="I14" s="171"/>
      <c r="J14" s="176"/>
      <c r="K14" s="171"/>
      <c r="L14" s="194" t="s">
        <v>609</v>
      </c>
      <c r="M14" s="190">
        <f>J155-M5</f>
        <v>10435.979999999996</v>
      </c>
      <c r="N14" s="187"/>
      <c r="O14" s="46" t="s">
        <v>442</v>
      </c>
    </row>
    <row r="15" spans="1:15" x14ac:dyDescent="0.25">
      <c r="A15" s="171"/>
      <c r="B15" s="171"/>
      <c r="C15" s="171"/>
      <c r="D15" s="171"/>
      <c r="E15" s="171"/>
      <c r="F15" s="171"/>
      <c r="G15" s="171" t="s">
        <v>44</v>
      </c>
      <c r="H15" s="171"/>
      <c r="I15" s="171"/>
      <c r="J15" s="229">
        <f>2382765.41+6000+500.24</f>
        <v>2389265.6500000004</v>
      </c>
      <c r="K15" s="171"/>
      <c r="L15" s="194" t="s">
        <v>610</v>
      </c>
      <c r="M15" s="190">
        <f>J175</f>
        <v>189321.60000000001</v>
      </c>
      <c r="N15" s="188"/>
      <c r="O15" s="46" t="s">
        <v>442</v>
      </c>
    </row>
    <row r="16" spans="1:15" x14ac:dyDescent="0.25">
      <c r="A16" s="171"/>
      <c r="B16" s="171"/>
      <c r="C16" s="171"/>
      <c r="D16" s="171"/>
      <c r="E16" s="171"/>
      <c r="F16" s="171"/>
      <c r="G16" s="171" t="s">
        <v>45</v>
      </c>
      <c r="H16" s="171"/>
      <c r="I16" s="171"/>
      <c r="J16" s="176">
        <v>36530</v>
      </c>
      <c r="K16" s="171"/>
      <c r="L16" s="66" t="s">
        <v>611</v>
      </c>
      <c r="M16" s="190">
        <f>J181+J184</f>
        <v>272066.07</v>
      </c>
      <c r="N16" s="187"/>
      <c r="O16" s="46" t="s">
        <v>442</v>
      </c>
    </row>
    <row r="17" spans="1:15" x14ac:dyDescent="0.25">
      <c r="A17" s="171"/>
      <c r="B17" s="171"/>
      <c r="C17" s="171"/>
      <c r="D17" s="171"/>
      <c r="E17" s="171"/>
      <c r="F17" s="171"/>
      <c r="G17" s="171" t="s">
        <v>46</v>
      </c>
      <c r="H17" s="171"/>
      <c r="I17" s="171"/>
      <c r="J17" s="176">
        <v>24000</v>
      </c>
      <c r="K17" s="171"/>
      <c r="L17" s="193" t="s">
        <v>612</v>
      </c>
      <c r="M17" s="190"/>
      <c r="N17" s="189">
        <v>0.35</v>
      </c>
      <c r="O17" s="46"/>
    </row>
    <row r="18" spans="1:15" ht="15.75" thickBot="1" x14ac:dyDescent="0.3">
      <c r="A18" s="171"/>
      <c r="B18" s="171"/>
      <c r="C18" s="171"/>
      <c r="D18" s="171"/>
      <c r="E18" s="171"/>
      <c r="F18" s="171"/>
      <c r="G18" s="171" t="s">
        <v>47</v>
      </c>
      <c r="H18" s="171"/>
      <c r="I18" s="171"/>
      <c r="J18" s="220">
        <v>324091</v>
      </c>
      <c r="L18" s="67" t="s">
        <v>383</v>
      </c>
      <c r="M18" s="190">
        <f>J197</f>
        <v>26230.710000000003</v>
      </c>
      <c r="N18" s="191">
        <v>0.3</v>
      </c>
      <c r="O18" s="46" t="s">
        <v>442</v>
      </c>
    </row>
    <row r="19" spans="1:15" x14ac:dyDescent="0.25">
      <c r="A19" s="171"/>
      <c r="B19" s="171"/>
      <c r="C19" s="171"/>
      <c r="D19" s="171"/>
      <c r="E19" s="171"/>
      <c r="F19" s="171" t="s">
        <v>48</v>
      </c>
      <c r="G19" s="171"/>
      <c r="H19" s="171"/>
      <c r="I19" s="171"/>
      <c r="J19" s="176">
        <f>ROUND(SUM(J14:J18),5)</f>
        <v>2773886.65</v>
      </c>
      <c r="K19" s="170">
        <f>+'P5'!J21-'P4'!J19</f>
        <v>2709020.19</v>
      </c>
      <c r="L19" s="67" t="s">
        <v>386</v>
      </c>
      <c r="M19" s="190">
        <f>J202</f>
        <v>756352.86</v>
      </c>
      <c r="N19" s="191"/>
      <c r="O19" s="46" t="s">
        <v>442</v>
      </c>
    </row>
    <row r="20" spans="1:15" x14ac:dyDescent="0.25">
      <c r="A20" s="171"/>
      <c r="B20" s="171"/>
      <c r="C20" s="171"/>
      <c r="D20" s="171"/>
      <c r="E20" s="171"/>
      <c r="F20" s="171" t="s">
        <v>55</v>
      </c>
      <c r="G20" s="171"/>
      <c r="H20" s="171"/>
      <c r="I20" s="171"/>
      <c r="J20" s="176"/>
      <c r="L20" s="46"/>
      <c r="M20" s="190"/>
      <c r="N20" s="191">
        <v>0.3</v>
      </c>
      <c r="O20" s="46"/>
    </row>
    <row r="21" spans="1:15" x14ac:dyDescent="0.25">
      <c r="A21" s="171"/>
      <c r="B21" s="171"/>
      <c r="C21" s="171"/>
      <c r="D21" s="171"/>
      <c r="E21" s="171"/>
      <c r="F21" s="171"/>
      <c r="G21" s="171" t="s">
        <v>56</v>
      </c>
      <c r="H21" s="171"/>
      <c r="I21" s="171"/>
      <c r="J21" s="176">
        <v>3672302.74</v>
      </c>
      <c r="L21" s="61" t="s">
        <v>12</v>
      </c>
      <c r="M21" s="204">
        <f>SUM(M12:M19)</f>
        <v>2736386.62</v>
      </c>
    </row>
    <row r="22" spans="1:15" x14ac:dyDescent="0.25">
      <c r="A22" s="171"/>
      <c r="B22" s="171"/>
      <c r="C22" s="171"/>
      <c r="D22" s="171"/>
      <c r="E22" s="171"/>
      <c r="F22" s="171"/>
      <c r="G22" s="171" t="s">
        <v>59</v>
      </c>
      <c r="H22" s="171"/>
      <c r="I22" s="171"/>
      <c r="J22" s="176">
        <v>64298</v>
      </c>
    </row>
    <row r="23" spans="1:15" x14ac:dyDescent="0.25">
      <c r="A23" s="171"/>
      <c r="B23" s="171"/>
      <c r="C23" s="171"/>
      <c r="D23" s="171"/>
      <c r="E23" s="171"/>
      <c r="F23" s="171"/>
      <c r="G23" s="171" t="s">
        <v>60</v>
      </c>
      <c r="H23" s="171"/>
      <c r="I23" s="171"/>
      <c r="J23" s="176">
        <v>85397.37</v>
      </c>
      <c r="L23" s="21"/>
    </row>
    <row r="24" spans="1:15" ht="15.75" thickBot="1" x14ac:dyDescent="0.3">
      <c r="A24" s="171"/>
      <c r="B24" s="171"/>
      <c r="C24" s="171"/>
      <c r="D24" s="171"/>
      <c r="E24" s="171"/>
      <c r="F24" s="171"/>
      <c r="G24" s="171" t="s">
        <v>511</v>
      </c>
      <c r="H24" s="171"/>
      <c r="I24" s="171"/>
      <c r="J24" s="220">
        <v>198787.5</v>
      </c>
      <c r="L24" s="21"/>
      <c r="M24" s="167">
        <f>M21+M8</f>
        <v>3893146.49</v>
      </c>
    </row>
    <row r="25" spans="1:15" x14ac:dyDescent="0.25">
      <c r="A25" s="171"/>
      <c r="B25" s="171"/>
      <c r="C25" s="171"/>
      <c r="D25" s="171"/>
      <c r="E25" s="171"/>
      <c r="F25" s="171" t="s">
        <v>61</v>
      </c>
      <c r="G25" s="171"/>
      <c r="H25" s="171"/>
      <c r="I25" s="171"/>
      <c r="J25" s="231">
        <f>ROUND(SUM(J20:J24),5)</f>
        <v>4020785.61</v>
      </c>
    </row>
    <row r="26" spans="1:15" x14ac:dyDescent="0.25">
      <c r="A26" s="171"/>
      <c r="B26" s="171"/>
      <c r="C26" s="171"/>
      <c r="D26" s="171"/>
      <c r="E26" s="171"/>
      <c r="F26" s="171" t="s">
        <v>62</v>
      </c>
      <c r="G26" s="171"/>
      <c r="H26" s="171"/>
      <c r="I26" s="171"/>
      <c r="J26" s="176"/>
    </row>
    <row r="27" spans="1:15" x14ac:dyDescent="0.25">
      <c r="A27" s="171"/>
      <c r="B27" s="171"/>
      <c r="C27" s="171"/>
      <c r="D27" s="171"/>
      <c r="E27" s="171"/>
      <c r="F27" s="171"/>
      <c r="G27" s="171" t="s">
        <v>63</v>
      </c>
      <c r="H27" s="171"/>
      <c r="I27" s="171"/>
      <c r="J27" s="176">
        <v>998738.34</v>
      </c>
      <c r="M27" s="23"/>
    </row>
    <row r="28" spans="1:15" x14ac:dyDescent="0.25">
      <c r="A28" s="171"/>
      <c r="B28" s="171"/>
      <c r="C28" s="171"/>
      <c r="D28" s="171"/>
      <c r="E28" s="171"/>
      <c r="F28" s="171"/>
      <c r="G28" s="171" t="s">
        <v>512</v>
      </c>
      <c r="H28" s="171"/>
      <c r="I28" s="171"/>
      <c r="J28" s="176">
        <v>120514.6</v>
      </c>
      <c r="M28" s="23"/>
    </row>
    <row r="29" spans="1:15" x14ac:dyDescent="0.25">
      <c r="A29" s="171"/>
      <c r="B29" s="171"/>
      <c r="C29" s="171"/>
      <c r="D29" s="171"/>
      <c r="E29" s="171"/>
      <c r="F29" s="171"/>
      <c r="G29" s="171" t="s">
        <v>513</v>
      </c>
      <c r="H29" s="171"/>
      <c r="I29" s="171"/>
      <c r="J29" s="176">
        <v>30128.65</v>
      </c>
    </row>
    <row r="30" spans="1:15" x14ac:dyDescent="0.25">
      <c r="A30" s="171"/>
      <c r="B30" s="171"/>
      <c r="C30" s="171"/>
      <c r="D30" s="171"/>
      <c r="E30" s="171"/>
      <c r="F30" s="171"/>
      <c r="G30" s="171" t="s">
        <v>64</v>
      </c>
      <c r="H30" s="171"/>
      <c r="I30" s="171"/>
      <c r="J30" s="176">
        <v>336203.29</v>
      </c>
    </row>
    <row r="31" spans="1:15" x14ac:dyDescent="0.25">
      <c r="A31" s="171"/>
      <c r="B31" s="171"/>
      <c r="C31" s="171"/>
      <c r="D31" s="171"/>
      <c r="E31" s="171"/>
      <c r="F31" s="171"/>
      <c r="G31" s="171" t="s">
        <v>65</v>
      </c>
      <c r="H31" s="171"/>
      <c r="I31" s="171"/>
      <c r="J31" s="176">
        <v>108300.76</v>
      </c>
    </row>
    <row r="32" spans="1:15" x14ac:dyDescent="0.25">
      <c r="A32" s="171"/>
      <c r="B32" s="171"/>
      <c r="C32" s="171"/>
      <c r="D32" s="171"/>
      <c r="E32" s="171"/>
      <c r="F32" s="171"/>
      <c r="G32" s="171" t="s">
        <v>66</v>
      </c>
      <c r="H32" s="171"/>
      <c r="I32" s="171"/>
      <c r="J32" s="176">
        <v>35005.47</v>
      </c>
    </row>
    <row r="33" spans="1:10" ht="15.75" thickBot="1" x14ac:dyDescent="0.3">
      <c r="A33" s="171"/>
      <c r="B33" s="171"/>
      <c r="C33" s="171"/>
      <c r="D33" s="171"/>
      <c r="E33" s="171"/>
      <c r="F33" s="171"/>
      <c r="G33" s="171" t="s">
        <v>645</v>
      </c>
      <c r="H33" s="171"/>
      <c r="I33" s="171"/>
      <c r="J33" s="220">
        <v>89027.13</v>
      </c>
    </row>
    <row r="34" spans="1:10" x14ac:dyDescent="0.25">
      <c r="A34" s="171"/>
      <c r="B34" s="171"/>
      <c r="C34" s="171"/>
      <c r="D34" s="171"/>
      <c r="E34" s="171"/>
      <c r="F34" s="171" t="s">
        <v>67</v>
      </c>
      <c r="G34" s="171"/>
      <c r="H34" s="171"/>
      <c r="I34" s="171"/>
      <c r="J34" s="231">
        <f>ROUND(SUM(J26:J33),5)</f>
        <v>1717918.24</v>
      </c>
    </row>
    <row r="35" spans="1:10" x14ac:dyDescent="0.25">
      <c r="A35" s="171"/>
      <c r="B35" s="171"/>
      <c r="C35" s="171"/>
      <c r="D35" s="171"/>
      <c r="E35" s="171"/>
      <c r="F35" s="171" t="s">
        <v>514</v>
      </c>
      <c r="G35" s="171"/>
      <c r="H35" s="171"/>
      <c r="I35" s="171"/>
      <c r="J35" s="176"/>
    </row>
    <row r="36" spans="1:10" x14ac:dyDescent="0.25">
      <c r="A36" s="171"/>
      <c r="B36" s="171"/>
      <c r="C36" s="171"/>
      <c r="D36" s="171"/>
      <c r="E36" s="171"/>
      <c r="F36" s="171"/>
      <c r="G36" s="171" t="s">
        <v>515</v>
      </c>
      <c r="H36" s="171"/>
      <c r="I36" s="171"/>
      <c r="J36" s="176">
        <v>40472</v>
      </c>
    </row>
    <row r="37" spans="1:10" ht="15.75" thickBot="1" x14ac:dyDescent="0.3">
      <c r="A37" s="171"/>
      <c r="B37" s="171"/>
      <c r="C37" s="171"/>
      <c r="D37" s="171"/>
      <c r="E37" s="171"/>
      <c r="F37" s="171"/>
      <c r="G37" s="171" t="s">
        <v>666</v>
      </c>
      <c r="H37" s="171"/>
      <c r="I37" s="171"/>
      <c r="J37" s="220">
        <v>106750</v>
      </c>
    </row>
    <row r="38" spans="1:10" ht="15.75" thickBot="1" x14ac:dyDescent="0.3">
      <c r="A38" s="171"/>
      <c r="B38" s="171"/>
      <c r="C38" s="171"/>
      <c r="D38" s="171"/>
      <c r="E38" s="171"/>
      <c r="F38" s="171" t="s">
        <v>516</v>
      </c>
      <c r="G38" s="171"/>
      <c r="H38" s="171"/>
      <c r="I38" s="171"/>
      <c r="J38" s="176">
        <f>ROUND(SUM(J35:J37),5)</f>
        <v>147222</v>
      </c>
    </row>
    <row r="39" spans="1:10" ht="15.75" thickBot="1" x14ac:dyDescent="0.3">
      <c r="A39" s="171"/>
      <c r="B39" s="171"/>
      <c r="C39" s="171"/>
      <c r="D39" s="171"/>
      <c r="E39" s="171" t="s">
        <v>71</v>
      </c>
      <c r="F39" s="171"/>
      <c r="G39" s="171"/>
      <c r="H39" s="171"/>
      <c r="I39" s="171"/>
      <c r="J39" s="11">
        <f>ROUND(J13+J19+J25+J34+SUM(J38:J38),5)</f>
        <v>8659812.5</v>
      </c>
    </row>
    <row r="40" spans="1:10" ht="15.75" thickBot="1" x14ac:dyDescent="0.3">
      <c r="A40" s="171"/>
      <c r="B40" s="171"/>
      <c r="C40" s="171"/>
      <c r="D40" s="171" t="s">
        <v>72</v>
      </c>
      <c r="E40" s="171"/>
      <c r="F40" s="171"/>
      <c r="G40" s="171"/>
      <c r="H40" s="171"/>
      <c r="I40" s="171"/>
      <c r="J40" s="232">
        <f>ROUND(SUM(J12:J12)+J39,5)</f>
        <v>8659812.5</v>
      </c>
    </row>
    <row r="41" spans="1:10" x14ac:dyDescent="0.25">
      <c r="A41" s="171"/>
      <c r="B41" s="171"/>
      <c r="C41" s="171" t="s">
        <v>73</v>
      </c>
      <c r="D41" s="171"/>
      <c r="E41" s="171"/>
      <c r="F41" s="171"/>
      <c r="G41" s="171"/>
      <c r="H41" s="171"/>
      <c r="I41" s="171"/>
      <c r="J41" s="176">
        <f>ROUND(J11-J40,5)</f>
        <v>4321107.4000000004</v>
      </c>
    </row>
    <row r="42" spans="1:10" x14ac:dyDescent="0.25">
      <c r="A42" s="171"/>
      <c r="B42" s="171"/>
      <c r="C42" s="171"/>
      <c r="D42" s="171" t="s">
        <v>74</v>
      </c>
      <c r="E42" s="171"/>
      <c r="F42" s="171"/>
      <c r="G42" s="171"/>
      <c r="H42" s="171"/>
      <c r="I42" s="171"/>
      <c r="J42" s="176"/>
    </row>
    <row r="43" spans="1:10" x14ac:dyDescent="0.25">
      <c r="A43" s="171"/>
      <c r="B43" s="171"/>
      <c r="C43" s="171"/>
      <c r="D43" s="171"/>
      <c r="E43" s="171" t="s">
        <v>75</v>
      </c>
      <c r="F43" s="171"/>
      <c r="G43" s="171"/>
      <c r="H43" s="171"/>
      <c r="I43" s="171"/>
      <c r="J43" s="176"/>
    </row>
    <row r="44" spans="1:10" x14ac:dyDescent="0.25">
      <c r="A44" s="171"/>
      <c r="B44" s="171"/>
      <c r="C44" s="171"/>
      <c r="D44" s="171"/>
      <c r="E44" s="171"/>
      <c r="F44" s="171" t="s">
        <v>189</v>
      </c>
      <c r="G44" s="171"/>
      <c r="H44" s="171"/>
      <c r="I44" s="171"/>
      <c r="J44" s="176"/>
    </row>
    <row r="45" spans="1:10" x14ac:dyDescent="0.25">
      <c r="A45" s="171"/>
      <c r="B45" s="171"/>
      <c r="C45" s="171"/>
      <c r="D45" s="171"/>
      <c r="E45" s="171"/>
      <c r="F45" s="171"/>
      <c r="G45" s="171" t="s">
        <v>76</v>
      </c>
      <c r="H45" s="171"/>
      <c r="I45" s="171"/>
      <c r="J45" s="176"/>
    </row>
    <row r="46" spans="1:10" x14ac:dyDescent="0.25">
      <c r="A46" s="171"/>
      <c r="B46" s="171"/>
      <c r="C46" s="171"/>
      <c r="D46" s="171"/>
      <c r="E46" s="171"/>
      <c r="F46" s="171"/>
      <c r="G46" s="171"/>
      <c r="H46" s="171" t="s">
        <v>77</v>
      </c>
      <c r="I46" s="171"/>
      <c r="J46" s="176">
        <v>6000</v>
      </c>
    </row>
    <row r="47" spans="1:10" x14ac:dyDescent="0.25">
      <c r="A47" s="171"/>
      <c r="B47" s="171"/>
      <c r="C47" s="171"/>
      <c r="D47" s="171"/>
      <c r="E47" s="171"/>
      <c r="F47" s="171"/>
      <c r="G47" s="171"/>
      <c r="H47" s="171" t="s">
        <v>78</v>
      </c>
      <c r="I47" s="171"/>
      <c r="J47" s="176">
        <v>38554.199999999997</v>
      </c>
    </row>
    <row r="48" spans="1:10" x14ac:dyDescent="0.25">
      <c r="A48" s="171"/>
      <c r="B48" s="171"/>
      <c r="C48" s="171"/>
      <c r="D48" s="171"/>
      <c r="E48" s="171"/>
      <c r="F48" s="171"/>
      <c r="G48" s="171"/>
      <c r="H48" s="171" t="s">
        <v>79</v>
      </c>
      <c r="I48" s="171"/>
      <c r="J48" s="176">
        <v>500</v>
      </c>
    </row>
    <row r="49" spans="1:10" x14ac:dyDescent="0.25">
      <c r="A49" s="171"/>
      <c r="B49" s="171"/>
      <c r="C49" s="171"/>
      <c r="D49" s="171"/>
      <c r="E49" s="171"/>
      <c r="F49" s="171"/>
      <c r="G49" s="171"/>
      <c r="H49" s="171" t="s">
        <v>80</v>
      </c>
      <c r="I49" s="171"/>
      <c r="J49" s="176">
        <v>1550</v>
      </c>
    </row>
    <row r="50" spans="1:10" x14ac:dyDescent="0.25">
      <c r="A50" s="171"/>
      <c r="B50" s="171"/>
      <c r="C50" s="171"/>
      <c r="D50" s="171"/>
      <c r="E50" s="171"/>
      <c r="F50" s="171"/>
      <c r="G50" s="171"/>
      <c r="H50" s="171" t="s">
        <v>453</v>
      </c>
      <c r="I50" s="171"/>
      <c r="J50" s="176">
        <v>2570.4</v>
      </c>
    </row>
    <row r="51" spans="1:10" x14ac:dyDescent="0.25">
      <c r="A51" s="171"/>
      <c r="B51" s="171"/>
      <c r="C51" s="171"/>
      <c r="D51" s="171"/>
      <c r="E51" s="171"/>
      <c r="F51" s="171"/>
      <c r="G51" s="171"/>
      <c r="H51" s="171" t="s">
        <v>81</v>
      </c>
      <c r="I51" s="171"/>
      <c r="J51" s="176"/>
    </row>
    <row r="52" spans="1:10" ht="15.75" thickBot="1" x14ac:dyDescent="0.3">
      <c r="A52" s="171"/>
      <c r="B52" s="171"/>
      <c r="C52" s="171"/>
      <c r="D52" s="171"/>
      <c r="E52" s="171"/>
      <c r="F52" s="171"/>
      <c r="G52" s="171"/>
      <c r="H52" s="171"/>
      <c r="I52" s="171" t="s">
        <v>82</v>
      </c>
      <c r="J52" s="220">
        <v>16065</v>
      </c>
    </row>
    <row r="53" spans="1:10" x14ac:dyDescent="0.25">
      <c r="A53" s="171"/>
      <c r="B53" s="171"/>
      <c r="C53" s="171"/>
      <c r="D53" s="171"/>
      <c r="E53" s="171"/>
      <c r="F53" s="171"/>
      <c r="G53" s="171"/>
      <c r="H53" s="171" t="s">
        <v>83</v>
      </c>
      <c r="I53" s="171"/>
      <c r="J53" s="176">
        <f>ROUND(SUM(J51:J52),5)</f>
        <v>16065</v>
      </c>
    </row>
    <row r="54" spans="1:10" x14ac:dyDescent="0.25">
      <c r="A54" s="171"/>
      <c r="B54" s="171"/>
      <c r="C54" s="171"/>
      <c r="D54" s="171"/>
      <c r="E54" s="171"/>
      <c r="F54" s="171"/>
      <c r="G54" s="171"/>
      <c r="H54" s="171" t="s">
        <v>190</v>
      </c>
      <c r="I54" s="171"/>
      <c r="J54" s="176">
        <v>63428</v>
      </c>
    </row>
    <row r="55" spans="1:10" x14ac:dyDescent="0.25">
      <c r="A55" s="171"/>
      <c r="B55" s="171"/>
      <c r="C55" s="171"/>
      <c r="D55" s="171"/>
      <c r="E55" s="171"/>
      <c r="F55" s="171"/>
      <c r="G55" s="171"/>
      <c r="H55" s="171" t="s">
        <v>667</v>
      </c>
      <c r="I55" s="171"/>
      <c r="J55" s="176">
        <v>3200</v>
      </c>
    </row>
    <row r="56" spans="1:10" x14ac:dyDescent="0.25">
      <c r="A56" s="171"/>
      <c r="B56" s="171"/>
      <c r="C56" s="171"/>
      <c r="D56" s="171"/>
      <c r="E56" s="171"/>
      <c r="F56" s="171"/>
      <c r="G56" s="171"/>
      <c r="H56" s="171" t="s">
        <v>84</v>
      </c>
      <c r="I56" s="171"/>
      <c r="J56" s="176">
        <v>39820</v>
      </c>
    </row>
    <row r="57" spans="1:10" x14ac:dyDescent="0.25">
      <c r="A57" s="171"/>
      <c r="B57" s="171"/>
      <c r="C57" s="171"/>
      <c r="D57" s="171"/>
      <c r="E57" s="171"/>
      <c r="F57" s="171"/>
      <c r="G57" s="171"/>
      <c r="H57" s="171" t="s">
        <v>517</v>
      </c>
      <c r="I57" s="171"/>
      <c r="J57" s="176"/>
    </row>
    <row r="58" spans="1:10" x14ac:dyDescent="0.25">
      <c r="A58" s="171"/>
      <c r="B58" s="171"/>
      <c r="C58" s="171"/>
      <c r="D58" s="171"/>
      <c r="E58" s="171"/>
      <c r="F58" s="171"/>
      <c r="G58" s="171"/>
      <c r="H58" s="171"/>
      <c r="I58" s="171" t="s">
        <v>518</v>
      </c>
      <c r="J58" s="176">
        <v>7101.61</v>
      </c>
    </row>
    <row r="59" spans="1:10" ht="15.75" thickBot="1" x14ac:dyDescent="0.3">
      <c r="A59" s="171"/>
      <c r="B59" s="171"/>
      <c r="C59" s="171"/>
      <c r="D59" s="171"/>
      <c r="E59" s="171"/>
      <c r="F59" s="171"/>
      <c r="G59" s="171"/>
      <c r="H59" s="171"/>
      <c r="I59" s="171" t="s">
        <v>519</v>
      </c>
      <c r="J59" s="8">
        <v>8465.0400000000009</v>
      </c>
    </row>
    <row r="60" spans="1:10" ht="15.75" thickBot="1" x14ac:dyDescent="0.3">
      <c r="A60" s="171"/>
      <c r="B60" s="171"/>
      <c r="C60" s="171"/>
      <c r="D60" s="171"/>
      <c r="E60" s="171"/>
      <c r="F60" s="171"/>
      <c r="G60" s="171"/>
      <c r="H60" s="171" t="s">
        <v>520</v>
      </c>
      <c r="I60" s="171"/>
      <c r="J60" s="10">
        <f>ROUND(SUM(J57:J59),5)</f>
        <v>15566.65</v>
      </c>
    </row>
    <row r="61" spans="1:10" x14ac:dyDescent="0.25">
      <c r="A61" s="171"/>
      <c r="B61" s="171"/>
      <c r="C61" s="171"/>
      <c r="D61" s="171"/>
      <c r="E61" s="171"/>
      <c r="F61" s="171"/>
      <c r="G61" s="171" t="s">
        <v>85</v>
      </c>
      <c r="H61" s="171"/>
      <c r="I61" s="171"/>
      <c r="J61" s="176">
        <f>ROUND(SUM(J45:J50)+SUM(J53:J56)+J60,5)</f>
        <v>187254.25</v>
      </c>
    </row>
    <row r="62" spans="1:10" x14ac:dyDescent="0.25">
      <c r="A62" s="171"/>
      <c r="B62" s="171"/>
      <c r="C62" s="171"/>
      <c r="D62" s="171"/>
      <c r="E62" s="171"/>
      <c r="F62" s="171"/>
      <c r="G62" s="171" t="s">
        <v>86</v>
      </c>
      <c r="H62" s="171"/>
      <c r="I62" s="171"/>
      <c r="J62" s="176"/>
    </row>
    <row r="63" spans="1:10" x14ac:dyDescent="0.25">
      <c r="A63" s="171"/>
      <c r="B63" s="171"/>
      <c r="C63" s="171"/>
      <c r="D63" s="171"/>
      <c r="E63" s="171"/>
      <c r="F63" s="171"/>
      <c r="G63" s="171"/>
      <c r="H63" s="171" t="s">
        <v>87</v>
      </c>
      <c r="I63" s="171"/>
      <c r="J63" s="176">
        <v>354000</v>
      </c>
    </row>
    <row r="64" spans="1:10" x14ac:dyDescent="0.25">
      <c r="A64" s="171"/>
      <c r="B64" s="171"/>
      <c r="C64" s="171"/>
      <c r="D64" s="171"/>
      <c r="E64" s="171"/>
      <c r="F64" s="171"/>
      <c r="G64" s="171"/>
      <c r="H64" s="171" t="s">
        <v>522</v>
      </c>
      <c r="I64" s="171"/>
      <c r="J64" s="176">
        <v>31680</v>
      </c>
    </row>
    <row r="65" spans="1:10" x14ac:dyDescent="0.25">
      <c r="A65" s="171"/>
      <c r="B65" s="171"/>
      <c r="C65" s="171"/>
      <c r="D65" s="171"/>
      <c r="E65" s="171"/>
      <c r="F65" s="171"/>
      <c r="G65" s="171"/>
      <c r="H65" s="171" t="s">
        <v>523</v>
      </c>
      <c r="I65" s="171"/>
      <c r="J65" s="176">
        <v>7920</v>
      </c>
    </row>
    <row r="66" spans="1:10" x14ac:dyDescent="0.25">
      <c r="A66" s="171"/>
      <c r="B66" s="171"/>
      <c r="C66" s="171"/>
      <c r="D66" s="171"/>
      <c r="E66" s="171"/>
      <c r="F66" s="171"/>
      <c r="G66" s="171"/>
      <c r="H66" s="171" t="s">
        <v>524</v>
      </c>
      <c r="I66" s="171"/>
      <c r="J66" s="176">
        <v>127826.54</v>
      </c>
    </row>
    <row r="67" spans="1:10" x14ac:dyDescent="0.25">
      <c r="A67" s="171"/>
      <c r="B67" s="171"/>
      <c r="C67" s="171"/>
      <c r="D67" s="171"/>
      <c r="E67" s="171"/>
      <c r="F67" s="171"/>
      <c r="G67" s="171"/>
      <c r="H67" s="171" t="s">
        <v>88</v>
      </c>
      <c r="I67" s="171"/>
      <c r="J67" s="176">
        <v>37925</v>
      </c>
    </row>
    <row r="68" spans="1:10" x14ac:dyDescent="0.25">
      <c r="A68" s="171"/>
      <c r="B68" s="171"/>
      <c r="C68" s="171"/>
      <c r="D68" s="171"/>
      <c r="E68" s="171"/>
      <c r="F68" s="171"/>
      <c r="G68" s="171"/>
      <c r="H68" s="171" t="s">
        <v>89</v>
      </c>
      <c r="I68" s="171"/>
      <c r="J68" s="176">
        <v>28000</v>
      </c>
    </row>
    <row r="69" spans="1:10" ht="15.75" thickBot="1" x14ac:dyDescent="0.3">
      <c r="A69" s="171"/>
      <c r="B69" s="171"/>
      <c r="C69" s="171"/>
      <c r="D69" s="171"/>
      <c r="E69" s="171"/>
      <c r="F69" s="171"/>
      <c r="G69" s="171"/>
      <c r="H69" s="171" t="s">
        <v>646</v>
      </c>
      <c r="I69" s="171"/>
      <c r="J69" s="220">
        <v>24200</v>
      </c>
    </row>
    <row r="70" spans="1:10" x14ac:dyDescent="0.25">
      <c r="A70" s="171"/>
      <c r="B70" s="171"/>
      <c r="C70" s="171"/>
      <c r="D70" s="171"/>
      <c r="E70" s="171"/>
      <c r="F70" s="171"/>
      <c r="G70" s="171" t="s">
        <v>91</v>
      </c>
      <c r="H70" s="171"/>
      <c r="I70" s="171"/>
      <c r="J70" s="176">
        <f>ROUND(SUM(J62:J69),5)</f>
        <v>611551.54</v>
      </c>
    </row>
    <row r="71" spans="1:10" x14ac:dyDescent="0.25">
      <c r="A71" s="171"/>
      <c r="B71" s="171"/>
      <c r="C71" s="171"/>
      <c r="D71" s="171"/>
      <c r="E71" s="171"/>
      <c r="F71" s="171"/>
      <c r="G71" s="171" t="s">
        <v>92</v>
      </c>
      <c r="H71" s="171"/>
      <c r="I71" s="171"/>
      <c r="J71" s="176"/>
    </row>
    <row r="72" spans="1:10" x14ac:dyDescent="0.25">
      <c r="A72" s="171"/>
      <c r="B72" s="171"/>
      <c r="C72" s="171"/>
      <c r="D72" s="171"/>
      <c r="E72" s="171"/>
      <c r="F72" s="171"/>
      <c r="G72" s="171"/>
      <c r="H72" s="171" t="s">
        <v>93</v>
      </c>
      <c r="I72" s="171"/>
      <c r="J72" s="176">
        <v>880.79</v>
      </c>
    </row>
    <row r="73" spans="1:10" x14ac:dyDescent="0.25">
      <c r="A73" s="171"/>
      <c r="B73" s="171"/>
      <c r="C73" s="171"/>
      <c r="D73" s="171"/>
      <c r="E73" s="171"/>
      <c r="F73" s="171"/>
      <c r="G73" s="171"/>
      <c r="H73" s="171" t="s">
        <v>525</v>
      </c>
      <c r="I73" s="171"/>
      <c r="J73" s="176">
        <v>6700.27</v>
      </c>
    </row>
    <row r="74" spans="1:10" x14ac:dyDescent="0.25">
      <c r="A74" s="171"/>
      <c r="B74" s="171"/>
      <c r="C74" s="171"/>
      <c r="D74" s="171"/>
      <c r="E74" s="171"/>
      <c r="F74" s="171"/>
      <c r="G74" s="171"/>
      <c r="H74" s="171" t="s">
        <v>94</v>
      </c>
      <c r="I74" s="171"/>
      <c r="J74" s="176">
        <v>8504.2000000000007</v>
      </c>
    </row>
    <row r="75" spans="1:10" x14ac:dyDescent="0.25">
      <c r="A75" s="171"/>
      <c r="B75" s="171"/>
      <c r="C75" s="171"/>
      <c r="D75" s="171"/>
      <c r="E75" s="171"/>
      <c r="F75" s="171"/>
      <c r="G75" s="171"/>
      <c r="H75" s="171" t="s">
        <v>95</v>
      </c>
      <c r="I75" s="171"/>
      <c r="J75" s="176">
        <v>17076.25</v>
      </c>
    </row>
    <row r="76" spans="1:10" ht="15.75" thickBot="1" x14ac:dyDescent="0.3">
      <c r="A76" s="171"/>
      <c r="B76" s="171"/>
      <c r="C76" s="171"/>
      <c r="D76" s="171"/>
      <c r="E76" s="171"/>
      <c r="F76" s="171"/>
      <c r="G76" s="171"/>
      <c r="H76" s="171" t="s">
        <v>526</v>
      </c>
      <c r="I76" s="171"/>
      <c r="J76" s="220">
        <v>43301.88</v>
      </c>
    </row>
    <row r="77" spans="1:10" x14ac:dyDescent="0.25">
      <c r="A77" s="171"/>
      <c r="B77" s="171"/>
      <c r="C77" s="171"/>
      <c r="D77" s="171"/>
      <c r="E77" s="171"/>
      <c r="F77" s="171"/>
      <c r="G77" s="171" t="s">
        <v>96</v>
      </c>
      <c r="H77" s="171"/>
      <c r="I77" s="171"/>
      <c r="J77" s="176">
        <f>ROUND(SUM(J71:J76),5)</f>
        <v>76463.39</v>
      </c>
    </row>
    <row r="78" spans="1:10" x14ac:dyDescent="0.25">
      <c r="A78" s="171"/>
      <c r="B78" s="171"/>
      <c r="C78" s="171"/>
      <c r="D78" s="171"/>
      <c r="E78" s="171"/>
      <c r="F78" s="171"/>
      <c r="G78" s="171" t="s">
        <v>97</v>
      </c>
      <c r="H78" s="171"/>
      <c r="I78" s="171"/>
      <c r="J78" s="176"/>
    </row>
    <row r="79" spans="1:10" x14ac:dyDescent="0.25">
      <c r="A79" s="171"/>
      <c r="B79" s="171"/>
      <c r="C79" s="171"/>
      <c r="D79" s="171"/>
      <c r="E79" s="171"/>
      <c r="F79" s="171"/>
      <c r="G79" s="171"/>
      <c r="H79" s="171" t="s">
        <v>98</v>
      </c>
      <c r="I79" s="171"/>
      <c r="J79" s="176">
        <v>2760</v>
      </c>
    </row>
    <row r="80" spans="1:10" x14ac:dyDescent="0.25">
      <c r="A80" s="171"/>
      <c r="B80" s="171"/>
      <c r="C80" s="171"/>
      <c r="D80" s="171"/>
      <c r="E80" s="171"/>
      <c r="F80" s="171"/>
      <c r="G80" s="171"/>
      <c r="H80" s="171" t="s">
        <v>668</v>
      </c>
      <c r="I80" s="171"/>
      <c r="J80" s="176">
        <v>9550</v>
      </c>
    </row>
    <row r="81" spans="1:10" x14ac:dyDescent="0.25">
      <c r="A81" s="171"/>
      <c r="B81" s="171"/>
      <c r="C81" s="171"/>
      <c r="D81" s="171"/>
      <c r="E81" s="171"/>
      <c r="F81" s="171"/>
      <c r="G81" s="171"/>
      <c r="H81" s="171" t="s">
        <v>625</v>
      </c>
      <c r="I81" s="171"/>
      <c r="J81" s="176">
        <v>23640</v>
      </c>
    </row>
    <row r="82" spans="1:10" ht="15.75" thickBot="1" x14ac:dyDescent="0.3">
      <c r="A82" s="171"/>
      <c r="B82" s="171"/>
      <c r="C82" s="171"/>
      <c r="D82" s="171"/>
      <c r="E82" s="171"/>
      <c r="F82" s="171"/>
      <c r="G82" s="171"/>
      <c r="H82" s="171" t="s">
        <v>527</v>
      </c>
      <c r="I82" s="171"/>
      <c r="J82" s="220">
        <v>9000</v>
      </c>
    </row>
    <row r="83" spans="1:10" x14ac:dyDescent="0.25">
      <c r="A83" s="171"/>
      <c r="B83" s="171"/>
      <c r="C83" s="171"/>
      <c r="D83" s="171"/>
      <c r="E83" s="171"/>
      <c r="F83" s="171"/>
      <c r="G83" s="171" t="s">
        <v>102</v>
      </c>
      <c r="H83" s="171"/>
      <c r="I83" s="171"/>
      <c r="J83" s="176">
        <f>ROUND(SUM(J78:J82),5)</f>
        <v>44950</v>
      </c>
    </row>
    <row r="84" spans="1:10" x14ac:dyDescent="0.25">
      <c r="A84" s="171"/>
      <c r="B84" s="171"/>
      <c r="C84" s="171"/>
      <c r="D84" s="171"/>
      <c r="E84" s="171"/>
      <c r="F84" s="171"/>
      <c r="G84" s="171" t="s">
        <v>103</v>
      </c>
      <c r="H84" s="171"/>
      <c r="I84" s="171"/>
      <c r="J84" s="176"/>
    </row>
    <row r="85" spans="1:10" x14ac:dyDescent="0.25">
      <c r="A85" s="171"/>
      <c r="B85" s="171"/>
      <c r="C85" s="171"/>
      <c r="D85" s="171"/>
      <c r="E85" s="171"/>
      <c r="F85" s="171"/>
      <c r="G85" s="171"/>
      <c r="H85" s="171" t="s">
        <v>104</v>
      </c>
      <c r="I85" s="171"/>
      <c r="J85" s="176">
        <v>14780</v>
      </c>
    </row>
    <row r="86" spans="1:10" x14ac:dyDescent="0.25">
      <c r="A86" s="171"/>
      <c r="B86" s="171"/>
      <c r="C86" s="171"/>
      <c r="D86" s="171"/>
      <c r="E86" s="171"/>
      <c r="F86" s="171"/>
      <c r="G86" s="171"/>
      <c r="H86" s="171" t="s">
        <v>105</v>
      </c>
      <c r="I86" s="171"/>
      <c r="J86" s="176"/>
    </row>
    <row r="87" spans="1:10" x14ac:dyDescent="0.25">
      <c r="A87" s="171"/>
      <c r="B87" s="171"/>
      <c r="C87" s="171"/>
      <c r="D87" s="171"/>
      <c r="E87" s="171"/>
      <c r="F87" s="171"/>
      <c r="G87" s="171"/>
      <c r="H87" s="171" t="s">
        <v>106</v>
      </c>
      <c r="I87" s="171"/>
      <c r="J87" s="176">
        <v>30</v>
      </c>
    </row>
    <row r="88" spans="1:10" x14ac:dyDescent="0.25">
      <c r="A88" s="171"/>
      <c r="B88" s="171"/>
      <c r="C88" s="171"/>
      <c r="D88" s="171"/>
      <c r="E88" s="171"/>
      <c r="F88" s="171"/>
      <c r="G88" s="171"/>
      <c r="H88" s="171" t="s">
        <v>455</v>
      </c>
      <c r="I88" s="171"/>
      <c r="J88" s="176">
        <v>87210</v>
      </c>
    </row>
    <row r="89" spans="1:10" x14ac:dyDescent="0.25">
      <c r="A89" s="171"/>
      <c r="B89" s="171"/>
      <c r="C89" s="171"/>
      <c r="D89" s="171"/>
      <c r="E89" s="171"/>
      <c r="F89" s="171"/>
      <c r="G89" s="171"/>
      <c r="H89" s="171" t="s">
        <v>107</v>
      </c>
      <c r="I89" s="171"/>
      <c r="J89" s="176">
        <v>2395</v>
      </c>
    </row>
    <row r="90" spans="1:10" x14ac:dyDescent="0.25">
      <c r="A90" s="171"/>
      <c r="B90" s="171"/>
      <c r="C90" s="171"/>
      <c r="D90" s="171"/>
      <c r="E90" s="171"/>
      <c r="F90" s="171"/>
      <c r="G90" s="171"/>
      <c r="H90" s="171" t="s">
        <v>528</v>
      </c>
      <c r="I90" s="171"/>
      <c r="J90" s="176">
        <v>136850.54</v>
      </c>
    </row>
    <row r="91" spans="1:10" x14ac:dyDescent="0.25">
      <c r="A91" s="171"/>
      <c r="B91" s="171"/>
      <c r="C91" s="171"/>
      <c r="D91" s="171"/>
      <c r="E91" s="171"/>
      <c r="F91" s="171"/>
      <c r="G91" s="171"/>
      <c r="H91" s="171" t="s">
        <v>529</v>
      </c>
      <c r="I91" s="171"/>
      <c r="J91" s="176">
        <v>134366.23000000001</v>
      </c>
    </row>
    <row r="92" spans="1:10" x14ac:dyDescent="0.25">
      <c r="A92" s="171"/>
      <c r="B92" s="171"/>
      <c r="C92" s="171"/>
      <c r="D92" s="171"/>
      <c r="E92" s="171"/>
      <c r="F92" s="171"/>
      <c r="G92" s="171"/>
      <c r="H92" s="171" t="s">
        <v>530</v>
      </c>
      <c r="I92" s="171"/>
      <c r="J92" s="176">
        <v>85420.41</v>
      </c>
    </row>
    <row r="93" spans="1:10" x14ac:dyDescent="0.25">
      <c r="A93" s="171"/>
      <c r="B93" s="171"/>
      <c r="C93" s="171"/>
      <c r="D93" s="171"/>
      <c r="E93" s="171"/>
      <c r="F93" s="171"/>
      <c r="G93" s="171"/>
      <c r="H93" s="171" t="s">
        <v>669</v>
      </c>
      <c r="I93" s="171"/>
      <c r="J93" s="176">
        <v>20000</v>
      </c>
    </row>
    <row r="94" spans="1:10" x14ac:dyDescent="0.25">
      <c r="A94" s="171"/>
      <c r="B94" s="171"/>
      <c r="C94" s="171"/>
      <c r="D94" s="171"/>
      <c r="E94" s="171"/>
      <c r="F94" s="171"/>
      <c r="G94" s="171"/>
      <c r="H94" s="171" t="s">
        <v>475</v>
      </c>
      <c r="I94" s="171"/>
      <c r="J94" s="176">
        <v>4580</v>
      </c>
    </row>
    <row r="95" spans="1:10" ht="15.75" thickBot="1" x14ac:dyDescent="0.3">
      <c r="A95" s="171"/>
      <c r="B95" s="171"/>
      <c r="C95" s="171"/>
      <c r="D95" s="171"/>
      <c r="E95" s="171"/>
      <c r="F95" s="171"/>
      <c r="G95" s="171"/>
      <c r="H95" s="171" t="s">
        <v>670</v>
      </c>
      <c r="I95" s="171"/>
      <c r="J95" s="220">
        <v>240</v>
      </c>
    </row>
    <row r="96" spans="1:10" x14ac:dyDescent="0.25">
      <c r="A96" s="171"/>
      <c r="B96" s="171"/>
      <c r="C96" s="171"/>
      <c r="D96" s="171"/>
      <c r="E96" s="171"/>
      <c r="F96" s="171"/>
      <c r="G96" s="171" t="s">
        <v>108</v>
      </c>
      <c r="H96" s="171"/>
      <c r="I96" s="171"/>
      <c r="J96" s="176">
        <f>ROUND(SUM(J84:J95),5)</f>
        <v>485872.18</v>
      </c>
    </row>
    <row r="97" spans="1:10" x14ac:dyDescent="0.25">
      <c r="A97" s="171"/>
      <c r="B97" s="171"/>
      <c r="C97" s="171"/>
      <c r="D97" s="171"/>
      <c r="E97" s="171"/>
      <c r="F97" s="171"/>
      <c r="G97" s="171" t="s">
        <v>456</v>
      </c>
      <c r="H97" s="171"/>
      <c r="I97" s="171"/>
      <c r="J97" s="176"/>
    </row>
    <row r="98" spans="1:10" x14ac:dyDescent="0.25">
      <c r="A98" s="171"/>
      <c r="B98" s="171"/>
      <c r="C98" s="171"/>
      <c r="D98" s="171"/>
      <c r="E98" s="171"/>
      <c r="F98" s="171"/>
      <c r="G98" s="171"/>
      <c r="H98" s="171" t="s">
        <v>531</v>
      </c>
      <c r="I98" s="171"/>
      <c r="J98" s="176">
        <v>182912.51</v>
      </c>
    </row>
    <row r="99" spans="1:10" ht="15.75" thickBot="1" x14ac:dyDescent="0.3">
      <c r="A99" s="171"/>
      <c r="B99" s="171"/>
      <c r="C99" s="171"/>
      <c r="D99" s="171"/>
      <c r="E99" s="171"/>
      <c r="F99" s="171"/>
      <c r="G99" s="171"/>
      <c r="H99" s="171" t="s">
        <v>476</v>
      </c>
      <c r="I99" s="171"/>
      <c r="J99" s="8">
        <v>6589.92</v>
      </c>
    </row>
    <row r="100" spans="1:10" ht="15.75" thickBot="1" x14ac:dyDescent="0.3">
      <c r="A100" s="171"/>
      <c r="B100" s="171"/>
      <c r="C100" s="171"/>
      <c r="D100" s="171"/>
      <c r="E100" s="171"/>
      <c r="F100" s="171"/>
      <c r="G100" s="171" t="s">
        <v>458</v>
      </c>
      <c r="H100" s="171"/>
      <c r="I100" s="171"/>
      <c r="J100" s="10">
        <f>ROUND(SUM(J97:J99),5)</f>
        <v>189502.43</v>
      </c>
    </row>
    <row r="101" spans="1:10" x14ac:dyDescent="0.25">
      <c r="A101" s="171"/>
      <c r="B101" s="171"/>
      <c r="C101" s="171"/>
      <c r="D101" s="171"/>
      <c r="E101" s="171"/>
      <c r="F101" s="171" t="s">
        <v>191</v>
      </c>
      <c r="G101" s="171"/>
      <c r="H101" s="171"/>
      <c r="I101" s="171"/>
      <c r="J101" s="176">
        <f>ROUND(J44+J61+J70+J77+J83+J96+J100,5)</f>
        <v>1595593.79</v>
      </c>
    </row>
    <row r="102" spans="1:10" x14ac:dyDescent="0.25">
      <c r="A102" s="171"/>
      <c r="B102" s="171"/>
      <c r="C102" s="171"/>
      <c r="D102" s="171"/>
      <c r="E102" s="171"/>
      <c r="F102" s="171" t="s">
        <v>109</v>
      </c>
      <c r="G102" s="171"/>
      <c r="H102" s="171"/>
      <c r="I102" s="171"/>
      <c r="J102" s="176"/>
    </row>
    <row r="103" spans="1:10" x14ac:dyDescent="0.25">
      <c r="A103" s="171"/>
      <c r="B103" s="171"/>
      <c r="C103" s="171"/>
      <c r="D103" s="171"/>
      <c r="E103" s="171"/>
      <c r="F103" s="171"/>
      <c r="G103" s="171" t="s">
        <v>110</v>
      </c>
      <c r="H103" s="171"/>
      <c r="I103" s="171"/>
      <c r="J103" s="176"/>
    </row>
    <row r="104" spans="1:10" x14ac:dyDescent="0.25">
      <c r="A104" s="171"/>
      <c r="B104" s="171"/>
      <c r="C104" s="171"/>
      <c r="D104" s="171"/>
      <c r="E104" s="171"/>
      <c r="F104" s="171"/>
      <c r="G104" s="171"/>
      <c r="H104" s="171" t="s">
        <v>112</v>
      </c>
      <c r="I104" s="171"/>
      <c r="J104" s="176">
        <v>90723.199999999997</v>
      </c>
    </row>
    <row r="105" spans="1:10" x14ac:dyDescent="0.25">
      <c r="A105" s="171"/>
      <c r="B105" s="171"/>
      <c r="C105" s="171"/>
      <c r="D105" s="171"/>
      <c r="E105" s="171"/>
      <c r="F105" s="171"/>
      <c r="G105" s="171"/>
      <c r="H105" s="171" t="s">
        <v>481</v>
      </c>
      <c r="I105" s="171"/>
      <c r="J105" s="176">
        <v>9240</v>
      </c>
    </row>
    <row r="106" spans="1:10" x14ac:dyDescent="0.25">
      <c r="A106" s="171"/>
      <c r="B106" s="171"/>
      <c r="C106" s="171"/>
      <c r="D106" s="171"/>
      <c r="E106" s="171"/>
      <c r="F106" s="171"/>
      <c r="G106" s="171"/>
      <c r="H106" s="171" t="s">
        <v>113</v>
      </c>
      <c r="I106" s="171"/>
      <c r="J106" s="176">
        <v>31960</v>
      </c>
    </row>
    <row r="107" spans="1:10" x14ac:dyDescent="0.25">
      <c r="A107" s="171"/>
      <c r="B107" s="171"/>
      <c r="C107" s="171"/>
      <c r="D107" s="171"/>
      <c r="E107" s="171"/>
      <c r="F107" s="171"/>
      <c r="G107" s="171"/>
      <c r="H107" s="171" t="s">
        <v>532</v>
      </c>
      <c r="I107" s="171"/>
      <c r="J107" s="176">
        <v>46993</v>
      </c>
    </row>
    <row r="108" spans="1:10" x14ac:dyDescent="0.25">
      <c r="A108" s="171"/>
      <c r="B108" s="171"/>
      <c r="C108" s="171"/>
      <c r="D108" s="171"/>
      <c r="E108" s="171"/>
      <c r="F108" s="171"/>
      <c r="G108" s="171"/>
      <c r="H108" s="171" t="s">
        <v>114</v>
      </c>
      <c r="I108" s="171"/>
      <c r="J108" s="176">
        <v>8386.25</v>
      </c>
    </row>
    <row r="109" spans="1:10" x14ac:dyDescent="0.25">
      <c r="A109" s="171"/>
      <c r="B109" s="171"/>
      <c r="C109" s="171"/>
      <c r="D109" s="171"/>
      <c r="E109" s="171"/>
      <c r="F109" s="171"/>
      <c r="G109" s="171"/>
      <c r="H109" s="171" t="s">
        <v>459</v>
      </c>
      <c r="I109" s="171"/>
      <c r="J109" s="176">
        <v>10419</v>
      </c>
    </row>
    <row r="110" spans="1:10" x14ac:dyDescent="0.25">
      <c r="A110" s="171"/>
      <c r="B110" s="171"/>
      <c r="C110" s="171"/>
      <c r="D110" s="171"/>
      <c r="E110" s="171"/>
      <c r="F110" s="171"/>
      <c r="G110" s="171"/>
      <c r="H110" s="171" t="s">
        <v>671</v>
      </c>
      <c r="I110" s="171"/>
      <c r="J110" s="176">
        <v>11700</v>
      </c>
    </row>
    <row r="111" spans="1:10" x14ac:dyDescent="0.25">
      <c r="A111" s="171"/>
      <c r="B111" s="171"/>
      <c r="C111" s="171"/>
      <c r="D111" s="171"/>
      <c r="E111" s="171"/>
      <c r="F111" s="171"/>
      <c r="G111" s="171"/>
      <c r="H111" s="171" t="s">
        <v>672</v>
      </c>
      <c r="I111" s="171"/>
      <c r="J111" s="176">
        <v>500</v>
      </c>
    </row>
    <row r="112" spans="1:10" x14ac:dyDescent="0.25">
      <c r="A112" s="171"/>
      <c r="B112" s="171"/>
      <c r="C112" s="171"/>
      <c r="D112" s="171"/>
      <c r="E112" s="171"/>
      <c r="F112" s="171"/>
      <c r="G112" s="171"/>
      <c r="H112" s="171" t="s">
        <v>533</v>
      </c>
      <c r="I112" s="171"/>
      <c r="J112" s="176">
        <v>460.79</v>
      </c>
    </row>
    <row r="113" spans="1:10" x14ac:dyDescent="0.25">
      <c r="A113" s="171"/>
      <c r="B113" s="171"/>
      <c r="C113" s="171"/>
      <c r="D113" s="171"/>
      <c r="E113" s="171"/>
      <c r="F113" s="171"/>
      <c r="G113" s="171"/>
      <c r="H113" s="171" t="s">
        <v>115</v>
      </c>
      <c r="I113" s="171"/>
      <c r="J113" s="176">
        <v>8605</v>
      </c>
    </row>
    <row r="114" spans="1:10" ht="15.75" thickBot="1" x14ac:dyDescent="0.3">
      <c r="A114" s="171"/>
      <c r="B114" s="171"/>
      <c r="C114" s="171"/>
      <c r="D114" s="171"/>
      <c r="E114" s="171"/>
      <c r="F114" s="171"/>
      <c r="G114" s="171"/>
      <c r="H114" s="171" t="s">
        <v>535</v>
      </c>
      <c r="I114" s="171"/>
      <c r="J114" s="220">
        <v>22300</v>
      </c>
    </row>
    <row r="115" spans="1:10" x14ac:dyDescent="0.25">
      <c r="A115" s="171"/>
      <c r="B115" s="171"/>
      <c r="C115" s="171"/>
      <c r="D115" s="171"/>
      <c r="E115" s="171"/>
      <c r="F115" s="171"/>
      <c r="G115" s="171" t="s">
        <v>116</v>
      </c>
      <c r="H115" s="171"/>
      <c r="I115" s="171"/>
      <c r="J115" s="176">
        <f>ROUND(SUM(J103:J114),5)</f>
        <v>241287.24</v>
      </c>
    </row>
    <row r="116" spans="1:10" x14ac:dyDescent="0.25">
      <c r="A116" s="171"/>
      <c r="B116" s="171"/>
      <c r="C116" s="171"/>
      <c r="D116" s="171"/>
      <c r="E116" s="171"/>
      <c r="F116" s="171"/>
      <c r="G116" s="171" t="s">
        <v>117</v>
      </c>
      <c r="H116" s="171"/>
      <c r="I116" s="171"/>
      <c r="J116" s="176"/>
    </row>
    <row r="117" spans="1:10" x14ac:dyDescent="0.25">
      <c r="A117" s="171"/>
      <c r="B117" s="171"/>
      <c r="C117" s="171"/>
      <c r="D117" s="171"/>
      <c r="E117" s="171"/>
      <c r="F117" s="171"/>
      <c r="G117" s="171"/>
      <c r="H117" s="171" t="s">
        <v>118</v>
      </c>
      <c r="I117" s="171"/>
      <c r="J117" s="176">
        <v>35000</v>
      </c>
    </row>
    <row r="118" spans="1:10" x14ac:dyDescent="0.25">
      <c r="A118" s="171"/>
      <c r="B118" s="171"/>
      <c r="C118" s="171"/>
      <c r="D118" s="171"/>
      <c r="E118" s="171"/>
      <c r="F118" s="171"/>
      <c r="G118" s="171"/>
      <c r="H118" s="171" t="s">
        <v>536</v>
      </c>
      <c r="I118" s="171"/>
      <c r="J118" s="176">
        <v>4200</v>
      </c>
    </row>
    <row r="119" spans="1:10" x14ac:dyDescent="0.25">
      <c r="A119" s="171"/>
      <c r="B119" s="171"/>
      <c r="C119" s="171"/>
      <c r="D119" s="171"/>
      <c r="E119" s="171"/>
      <c r="F119" s="171"/>
      <c r="G119" s="171"/>
      <c r="H119" s="171" t="s">
        <v>537</v>
      </c>
      <c r="I119" s="171"/>
      <c r="J119" s="176">
        <v>1050</v>
      </c>
    </row>
    <row r="120" spans="1:10" x14ac:dyDescent="0.25">
      <c r="A120" s="171"/>
      <c r="B120" s="171"/>
      <c r="C120" s="171"/>
      <c r="D120" s="171"/>
      <c r="E120" s="171"/>
      <c r="F120" s="171"/>
      <c r="G120" s="171"/>
      <c r="H120" s="171" t="s">
        <v>119</v>
      </c>
      <c r="I120" s="171"/>
      <c r="J120" s="176">
        <v>30000</v>
      </c>
    </row>
    <row r="121" spans="1:10" ht="15.75" thickBot="1" x14ac:dyDescent="0.3">
      <c r="A121" s="171"/>
      <c r="B121" s="171"/>
      <c r="C121" s="171"/>
      <c r="D121" s="171"/>
      <c r="E121" s="171"/>
      <c r="F121" s="171"/>
      <c r="G121" s="171"/>
      <c r="H121" s="171" t="s">
        <v>647</v>
      </c>
      <c r="I121" s="171"/>
      <c r="J121" s="220">
        <v>3208.33</v>
      </c>
    </row>
    <row r="122" spans="1:10" x14ac:dyDescent="0.25">
      <c r="A122" s="171"/>
      <c r="B122" s="171"/>
      <c r="C122" s="171"/>
      <c r="D122" s="171"/>
      <c r="E122" s="171"/>
      <c r="F122" s="171"/>
      <c r="G122" s="171" t="s">
        <v>120</v>
      </c>
      <c r="H122" s="171"/>
      <c r="I122" s="171"/>
      <c r="J122" s="176">
        <f>ROUND(SUM(J116:J121),5)</f>
        <v>73458.33</v>
      </c>
    </row>
    <row r="123" spans="1:10" x14ac:dyDescent="0.25">
      <c r="A123" s="171"/>
      <c r="B123" s="171"/>
      <c r="C123" s="171"/>
      <c r="D123" s="171"/>
      <c r="E123" s="171"/>
      <c r="F123" s="171"/>
      <c r="G123" s="171" t="s">
        <v>121</v>
      </c>
      <c r="H123" s="171"/>
      <c r="I123" s="171"/>
      <c r="J123" s="176"/>
    </row>
    <row r="124" spans="1:10" x14ac:dyDescent="0.25">
      <c r="A124" s="171"/>
      <c r="B124" s="171"/>
      <c r="C124" s="171"/>
      <c r="D124" s="171"/>
      <c r="E124" s="171"/>
      <c r="F124" s="171"/>
      <c r="G124" s="171"/>
      <c r="H124" s="171" t="s">
        <v>538</v>
      </c>
      <c r="I124" s="171"/>
      <c r="J124" s="176">
        <v>13113.26</v>
      </c>
    </row>
    <row r="125" spans="1:10" x14ac:dyDescent="0.25">
      <c r="A125" s="171"/>
      <c r="B125" s="171"/>
      <c r="C125" s="171"/>
      <c r="D125" s="171"/>
      <c r="E125" s="171"/>
      <c r="F125" s="171"/>
      <c r="G125" s="171"/>
      <c r="H125" s="171" t="s">
        <v>539</v>
      </c>
      <c r="I125" s="171"/>
      <c r="J125" s="176">
        <v>17634.37</v>
      </c>
    </row>
    <row r="126" spans="1:10" x14ac:dyDescent="0.25">
      <c r="A126" s="171"/>
      <c r="B126" s="171"/>
      <c r="C126" s="171"/>
      <c r="D126" s="171"/>
      <c r="E126" s="171"/>
      <c r="F126" s="171"/>
      <c r="G126" s="171"/>
      <c r="H126" s="171" t="s">
        <v>460</v>
      </c>
      <c r="I126" s="171"/>
      <c r="J126" s="176">
        <v>3433.89</v>
      </c>
    </row>
    <row r="127" spans="1:10" ht="15.75" thickBot="1" x14ac:dyDescent="0.3">
      <c r="A127" s="171"/>
      <c r="B127" s="171"/>
      <c r="C127" s="171"/>
      <c r="D127" s="171"/>
      <c r="E127" s="171"/>
      <c r="F127" s="171"/>
      <c r="G127" s="171"/>
      <c r="H127" s="171" t="s">
        <v>461</v>
      </c>
      <c r="I127" s="171"/>
      <c r="J127" s="220">
        <v>5500.01</v>
      </c>
    </row>
    <row r="128" spans="1:10" x14ac:dyDescent="0.25">
      <c r="A128" s="171"/>
      <c r="B128" s="171"/>
      <c r="C128" s="171"/>
      <c r="D128" s="171"/>
      <c r="E128" s="171"/>
      <c r="F128" s="171"/>
      <c r="G128" s="171" t="s">
        <v>122</v>
      </c>
      <c r="H128" s="171"/>
      <c r="I128" s="171"/>
      <c r="J128" s="176">
        <f>ROUND(SUM(J123:J127),5)</f>
        <v>39681.53</v>
      </c>
    </row>
    <row r="129" spans="1:10" x14ac:dyDescent="0.25">
      <c r="A129" s="171"/>
      <c r="B129" s="171"/>
      <c r="C129" s="171"/>
      <c r="D129" s="171"/>
      <c r="E129" s="171"/>
      <c r="F129" s="171"/>
      <c r="G129" s="171" t="s">
        <v>123</v>
      </c>
      <c r="H129" s="171"/>
      <c r="I129" s="171"/>
      <c r="J129" s="176"/>
    </row>
    <row r="130" spans="1:10" x14ac:dyDescent="0.25">
      <c r="A130" s="171"/>
      <c r="B130" s="171"/>
      <c r="C130" s="171"/>
      <c r="D130" s="171"/>
      <c r="E130" s="171"/>
      <c r="F130" s="171"/>
      <c r="G130" s="171"/>
      <c r="H130" s="171" t="s">
        <v>462</v>
      </c>
      <c r="I130" s="171"/>
      <c r="J130" s="176">
        <v>65932.5</v>
      </c>
    </row>
    <row r="131" spans="1:10" x14ac:dyDescent="0.25">
      <c r="A131" s="171"/>
      <c r="B131" s="171"/>
      <c r="C131" s="171"/>
      <c r="D131" s="171"/>
      <c r="E131" s="171"/>
      <c r="F131" s="171"/>
      <c r="G131" s="171"/>
      <c r="H131" s="171" t="s">
        <v>463</v>
      </c>
      <c r="I131" s="171"/>
      <c r="J131" s="176">
        <v>3660.96</v>
      </c>
    </row>
    <row r="132" spans="1:10" x14ac:dyDescent="0.25">
      <c r="A132" s="171"/>
      <c r="B132" s="171"/>
      <c r="C132" s="171"/>
      <c r="D132" s="171"/>
      <c r="E132" s="171"/>
      <c r="F132" s="171"/>
      <c r="G132" s="171" t="s">
        <v>125</v>
      </c>
      <c r="H132" s="171"/>
      <c r="I132" s="171"/>
      <c r="J132" s="176">
        <f>ROUND(SUM(J129:J131),5)</f>
        <v>69593.460000000006</v>
      </c>
    </row>
    <row r="133" spans="1:10" x14ac:dyDescent="0.25">
      <c r="A133" s="171"/>
      <c r="B133" s="171"/>
      <c r="C133" s="171"/>
      <c r="D133" s="171"/>
      <c r="E133" s="171"/>
      <c r="F133" s="171"/>
      <c r="G133" s="171" t="s">
        <v>126</v>
      </c>
      <c r="H133" s="171"/>
      <c r="I133" s="171"/>
      <c r="J133" s="176"/>
    </row>
    <row r="134" spans="1:10" x14ac:dyDescent="0.25">
      <c r="A134" s="171"/>
      <c r="B134" s="171"/>
      <c r="C134" s="171"/>
      <c r="D134" s="171"/>
      <c r="E134" s="171"/>
      <c r="F134" s="171"/>
      <c r="G134" s="171"/>
      <c r="H134" s="171" t="s">
        <v>127</v>
      </c>
      <c r="I134" s="171"/>
      <c r="J134" s="176">
        <v>3820</v>
      </c>
    </row>
    <row r="135" spans="1:10" x14ac:dyDescent="0.25">
      <c r="A135" s="171"/>
      <c r="B135" s="171"/>
      <c r="C135" s="171"/>
      <c r="D135" s="171"/>
      <c r="E135" s="171"/>
      <c r="F135" s="171"/>
      <c r="G135" s="171"/>
      <c r="H135" s="171" t="s">
        <v>128</v>
      </c>
      <c r="I135" s="171"/>
      <c r="J135" s="176">
        <v>33050</v>
      </c>
    </row>
    <row r="136" spans="1:10" x14ac:dyDescent="0.25">
      <c r="A136" s="171"/>
      <c r="B136" s="171"/>
      <c r="C136" s="171"/>
      <c r="D136" s="171"/>
      <c r="E136" s="171"/>
      <c r="F136" s="171"/>
      <c r="G136" s="171"/>
      <c r="H136" s="171" t="s">
        <v>129</v>
      </c>
      <c r="I136" s="171"/>
      <c r="J136" s="176">
        <v>5430</v>
      </c>
    </row>
    <row r="137" spans="1:10" x14ac:dyDescent="0.25">
      <c r="A137" s="171"/>
      <c r="B137" s="171"/>
      <c r="C137" s="171"/>
      <c r="D137" s="171"/>
      <c r="E137" s="171"/>
      <c r="F137" s="171"/>
      <c r="G137" s="171"/>
      <c r="H137" s="171" t="s">
        <v>541</v>
      </c>
      <c r="I137" s="171"/>
      <c r="J137" s="176">
        <v>4000</v>
      </c>
    </row>
    <row r="138" spans="1:10" x14ac:dyDescent="0.25">
      <c r="A138" s="171"/>
      <c r="B138" s="171"/>
      <c r="C138" s="171"/>
      <c r="D138" s="171"/>
      <c r="E138" s="171"/>
      <c r="F138" s="171"/>
      <c r="G138" s="171"/>
      <c r="H138" s="171" t="s">
        <v>542</v>
      </c>
      <c r="I138" s="171"/>
      <c r="J138" s="176">
        <v>46831.96</v>
      </c>
    </row>
    <row r="139" spans="1:10" ht="15.75" thickBot="1" x14ac:dyDescent="0.3">
      <c r="A139" s="171"/>
      <c r="B139" s="171"/>
      <c r="C139" s="171"/>
      <c r="D139" s="171"/>
      <c r="E139" s="171"/>
      <c r="F139" s="171"/>
      <c r="G139" s="171"/>
      <c r="H139" s="171" t="s">
        <v>543</v>
      </c>
      <c r="I139" s="171"/>
      <c r="J139" s="220">
        <v>53882.96</v>
      </c>
    </row>
    <row r="140" spans="1:10" x14ac:dyDescent="0.25">
      <c r="A140" s="171"/>
      <c r="B140" s="171"/>
      <c r="C140" s="171"/>
      <c r="D140" s="171"/>
      <c r="E140" s="171"/>
      <c r="F140" s="171"/>
      <c r="G140" s="171" t="s">
        <v>130</v>
      </c>
      <c r="H140" s="171"/>
      <c r="I140" s="171"/>
      <c r="J140" s="176">
        <f>ROUND(SUM(J133:J139),5)</f>
        <v>147014.92000000001</v>
      </c>
    </row>
    <row r="141" spans="1:10" x14ac:dyDescent="0.25">
      <c r="A141" s="171"/>
      <c r="B141" s="171"/>
      <c r="C141" s="171"/>
      <c r="D141" s="171"/>
      <c r="E141" s="171"/>
      <c r="F141" s="171"/>
      <c r="G141" s="171" t="s">
        <v>131</v>
      </c>
      <c r="H141" s="171"/>
      <c r="I141" s="171"/>
      <c r="J141" s="176"/>
    </row>
    <row r="142" spans="1:10" ht="15.75" thickBot="1" x14ac:dyDescent="0.3">
      <c r="A142" s="171"/>
      <c r="B142" s="171"/>
      <c r="C142" s="171"/>
      <c r="D142" s="171"/>
      <c r="E142" s="171"/>
      <c r="F142" s="171"/>
      <c r="G142" s="171"/>
      <c r="H142" s="171" t="s">
        <v>132</v>
      </c>
      <c r="I142" s="171"/>
      <c r="J142" s="8">
        <v>360</v>
      </c>
    </row>
    <row r="143" spans="1:10" ht="15.75" thickBot="1" x14ac:dyDescent="0.3">
      <c r="A143" s="171"/>
      <c r="B143" s="171"/>
      <c r="C143" s="171"/>
      <c r="D143" s="171"/>
      <c r="E143" s="171"/>
      <c r="F143" s="171"/>
      <c r="G143" s="171" t="s">
        <v>133</v>
      </c>
      <c r="H143" s="171"/>
      <c r="I143" s="171"/>
      <c r="J143" s="10">
        <f>ROUND(SUM(J141:J142),5)</f>
        <v>360</v>
      </c>
    </row>
    <row r="144" spans="1:10" x14ac:dyDescent="0.25">
      <c r="A144" s="171"/>
      <c r="B144" s="171"/>
      <c r="C144" s="171"/>
      <c r="D144" s="171"/>
      <c r="E144" s="171"/>
      <c r="F144" s="171" t="s">
        <v>134</v>
      </c>
      <c r="G144" s="171"/>
      <c r="H144" s="171"/>
      <c r="I144" s="171"/>
      <c r="J144" s="176">
        <f>ROUND(J102+J115+J122+J128+J132+J140+J143,5)</f>
        <v>571395.48</v>
      </c>
    </row>
    <row r="145" spans="1:15" x14ac:dyDescent="0.25">
      <c r="A145" s="171"/>
      <c r="B145" s="171"/>
      <c r="C145" s="171"/>
      <c r="D145" s="171"/>
      <c r="E145" s="171"/>
      <c r="F145" s="171" t="s">
        <v>135</v>
      </c>
      <c r="G145" s="171"/>
      <c r="H145" s="171"/>
      <c r="I145" s="171"/>
      <c r="J145" s="176"/>
    </row>
    <row r="146" spans="1:15" x14ac:dyDescent="0.25">
      <c r="A146" s="171"/>
      <c r="B146" s="171"/>
      <c r="C146" s="171"/>
      <c r="D146" s="171"/>
      <c r="E146" s="171"/>
      <c r="F146" s="171"/>
      <c r="G146" s="171" t="s">
        <v>192</v>
      </c>
      <c r="H146" s="171"/>
      <c r="I146" s="171"/>
      <c r="J146" s="176"/>
      <c r="L146" s="104"/>
      <c r="N146" s="158"/>
      <c r="O146" s="158"/>
    </row>
    <row r="147" spans="1:15" x14ac:dyDescent="0.25">
      <c r="A147" s="171"/>
      <c r="B147" s="171"/>
      <c r="C147" s="171"/>
      <c r="D147" s="171"/>
      <c r="E147" s="171"/>
      <c r="F147" s="171"/>
      <c r="G147" s="171"/>
      <c r="H147" s="171" t="s">
        <v>544</v>
      </c>
      <c r="I147" s="171"/>
      <c r="J147" s="176">
        <v>2130</v>
      </c>
      <c r="L147" s="158"/>
      <c r="M147" s="205"/>
    </row>
    <row r="148" spans="1:15" ht="15.75" thickBot="1" x14ac:dyDescent="0.3">
      <c r="A148" s="171"/>
      <c r="B148" s="171"/>
      <c r="C148" s="171"/>
      <c r="D148" s="171"/>
      <c r="E148" s="171"/>
      <c r="F148" s="171"/>
      <c r="G148" s="171"/>
      <c r="H148" s="171" t="s">
        <v>545</v>
      </c>
      <c r="I148" s="171"/>
      <c r="J148" s="220">
        <v>3086.25</v>
      </c>
    </row>
    <row r="149" spans="1:15" x14ac:dyDescent="0.25">
      <c r="A149" s="171"/>
      <c r="B149" s="171"/>
      <c r="C149" s="171"/>
      <c r="D149" s="171"/>
      <c r="E149" s="171"/>
      <c r="F149" s="171"/>
      <c r="G149" s="171" t="s">
        <v>194</v>
      </c>
      <c r="H149" s="171"/>
      <c r="I149" s="171"/>
      <c r="J149" s="176">
        <f>ROUND(SUM(J146:J148),5)</f>
        <v>5216.25</v>
      </c>
    </row>
    <row r="150" spans="1:15" x14ac:dyDescent="0.25">
      <c r="A150" s="171"/>
      <c r="B150" s="171"/>
      <c r="C150" s="171"/>
      <c r="D150" s="171"/>
      <c r="E150" s="171"/>
      <c r="F150" s="171"/>
      <c r="G150" s="171" t="s">
        <v>195</v>
      </c>
      <c r="H150" s="171"/>
      <c r="I150" s="171"/>
      <c r="J150" s="176"/>
    </row>
    <row r="151" spans="1:15" x14ac:dyDescent="0.25">
      <c r="A151" s="171"/>
      <c r="B151" s="171"/>
      <c r="C151" s="171"/>
      <c r="D151" s="171"/>
      <c r="E151" s="171"/>
      <c r="F151" s="171"/>
      <c r="G151" s="171"/>
      <c r="H151" s="171" t="s">
        <v>136</v>
      </c>
      <c r="I151" s="171"/>
      <c r="J151" s="176">
        <v>375</v>
      </c>
    </row>
    <row r="152" spans="1:15" x14ac:dyDescent="0.25">
      <c r="A152" s="171"/>
      <c r="B152" s="171"/>
      <c r="C152" s="171"/>
      <c r="D152" s="171"/>
      <c r="E152" s="171"/>
      <c r="F152" s="171"/>
      <c r="G152" s="171"/>
      <c r="H152" s="171" t="s">
        <v>137</v>
      </c>
      <c r="I152" s="171"/>
      <c r="J152" s="176">
        <v>55059</v>
      </c>
    </row>
    <row r="153" spans="1:15" ht="15.75" thickBot="1" x14ac:dyDescent="0.3">
      <c r="A153" s="171"/>
      <c r="B153" s="171"/>
      <c r="C153" s="171"/>
      <c r="D153" s="171"/>
      <c r="E153" s="171"/>
      <c r="F153" s="171"/>
      <c r="G153" s="171"/>
      <c r="H153" s="171" t="s">
        <v>548</v>
      </c>
      <c r="I153" s="171"/>
      <c r="J153" s="8">
        <v>9452.4</v>
      </c>
    </row>
    <row r="154" spans="1:15" ht="15.75" thickBot="1" x14ac:dyDescent="0.3">
      <c r="A154" s="171"/>
      <c r="B154" s="171"/>
      <c r="C154" s="171"/>
      <c r="D154" s="171"/>
      <c r="E154" s="171"/>
      <c r="F154" s="171"/>
      <c r="G154" s="171" t="s">
        <v>196</v>
      </c>
      <c r="H154" s="171"/>
      <c r="I154" s="171"/>
      <c r="J154" s="10">
        <f>ROUND(SUM(J150:J153),5)</f>
        <v>64886.400000000001</v>
      </c>
    </row>
    <row r="155" spans="1:15" x14ac:dyDescent="0.25">
      <c r="A155" s="171"/>
      <c r="B155" s="171"/>
      <c r="C155" s="171"/>
      <c r="D155" s="171"/>
      <c r="E155" s="171"/>
      <c r="F155" s="171" t="s">
        <v>138</v>
      </c>
      <c r="G155" s="171"/>
      <c r="H155" s="171"/>
      <c r="I155" s="171"/>
      <c r="J155" s="176">
        <f>ROUND(J145+J149+J154,5)</f>
        <v>70102.649999999994</v>
      </c>
    </row>
    <row r="156" spans="1:15" x14ac:dyDescent="0.25">
      <c r="A156" s="171"/>
      <c r="B156" s="171"/>
      <c r="C156" s="171"/>
      <c r="D156" s="171"/>
      <c r="E156" s="171"/>
      <c r="F156" s="171" t="s">
        <v>206</v>
      </c>
      <c r="G156" s="171"/>
      <c r="H156" s="171"/>
      <c r="I156" s="171"/>
      <c r="J156" s="176"/>
    </row>
    <row r="157" spans="1:15" x14ac:dyDescent="0.25">
      <c r="A157" s="171"/>
      <c r="B157" s="171"/>
      <c r="C157" s="171"/>
      <c r="D157" s="171"/>
      <c r="E157" s="171"/>
      <c r="F157" s="171"/>
      <c r="G157" s="171" t="s">
        <v>184</v>
      </c>
      <c r="H157" s="171"/>
      <c r="I157" s="171"/>
      <c r="J157" s="176"/>
    </row>
    <row r="158" spans="1:15" x14ac:dyDescent="0.25">
      <c r="A158" s="171"/>
      <c r="B158" s="171"/>
      <c r="C158" s="171"/>
      <c r="D158" s="171"/>
      <c r="E158" s="171"/>
      <c r="F158" s="171"/>
      <c r="G158" s="171"/>
      <c r="H158" s="171" t="s">
        <v>464</v>
      </c>
      <c r="I158" s="171"/>
      <c r="J158" s="176">
        <v>56202</v>
      </c>
      <c r="L158" s="104"/>
    </row>
    <row r="159" spans="1:15" x14ac:dyDescent="0.25">
      <c r="A159" s="171"/>
      <c r="B159" s="171"/>
      <c r="C159" s="171"/>
      <c r="D159" s="171"/>
      <c r="E159" s="171"/>
      <c r="F159" s="171"/>
      <c r="G159" s="171"/>
      <c r="H159" s="171" t="s">
        <v>185</v>
      </c>
      <c r="I159" s="171"/>
      <c r="J159" s="176"/>
      <c r="L159" s="104"/>
    </row>
    <row r="160" spans="1:15" x14ac:dyDescent="0.25">
      <c r="A160" s="171"/>
      <c r="B160" s="171"/>
      <c r="C160" s="171"/>
      <c r="D160" s="171"/>
      <c r="E160" s="171"/>
      <c r="F160" s="171"/>
      <c r="G160" s="171"/>
      <c r="H160" s="171"/>
      <c r="I160" s="171" t="s">
        <v>262</v>
      </c>
      <c r="J160" s="176">
        <v>22630</v>
      </c>
      <c r="L160" s="104"/>
      <c r="N160" s="158"/>
      <c r="O160" s="158"/>
    </row>
    <row r="161" spans="1:13" ht="15.75" thickBot="1" x14ac:dyDescent="0.3">
      <c r="A161" s="171"/>
      <c r="B161" s="171"/>
      <c r="C161" s="171"/>
      <c r="D161" s="171"/>
      <c r="E161" s="171"/>
      <c r="F161" s="171"/>
      <c r="G161" s="171"/>
      <c r="H161" s="171"/>
      <c r="I161" s="171" t="s">
        <v>552</v>
      </c>
      <c r="J161" s="220">
        <v>730</v>
      </c>
      <c r="L161" s="192"/>
      <c r="M161" s="205"/>
    </row>
    <row r="162" spans="1:13" x14ac:dyDescent="0.25">
      <c r="A162" s="171"/>
      <c r="B162" s="171"/>
      <c r="C162" s="171"/>
      <c r="D162" s="171"/>
      <c r="E162" s="171"/>
      <c r="F162" s="171"/>
      <c r="G162" s="171"/>
      <c r="H162" s="171" t="s">
        <v>263</v>
      </c>
      <c r="I162" s="171"/>
      <c r="J162" s="176">
        <f>ROUND(SUM(J159:J161),5)</f>
        <v>23360</v>
      </c>
      <c r="L162" s="23"/>
    </row>
    <row r="163" spans="1:13" ht="15.75" thickBot="1" x14ac:dyDescent="0.3">
      <c r="A163" s="171"/>
      <c r="B163" s="171"/>
      <c r="C163" s="171"/>
      <c r="D163" s="171"/>
      <c r="E163" s="171"/>
      <c r="F163" s="171"/>
      <c r="G163" s="171"/>
      <c r="H163" s="171" t="s">
        <v>553</v>
      </c>
      <c r="I163" s="171"/>
      <c r="J163" s="220">
        <v>4464.93</v>
      </c>
      <c r="L163" s="20"/>
    </row>
    <row r="164" spans="1:13" x14ac:dyDescent="0.25">
      <c r="A164" s="171"/>
      <c r="B164" s="171"/>
      <c r="C164" s="171"/>
      <c r="D164" s="171"/>
      <c r="E164" s="171"/>
      <c r="F164" s="171"/>
      <c r="G164" s="171" t="s">
        <v>186</v>
      </c>
      <c r="H164" s="171"/>
      <c r="I164" s="171"/>
      <c r="J164" s="176">
        <f>ROUND(SUM(J157:J158)+SUM(J162:J163),5)</f>
        <v>84026.93</v>
      </c>
      <c r="L164" s="21"/>
    </row>
    <row r="165" spans="1:13" x14ac:dyDescent="0.25">
      <c r="A165" s="171"/>
      <c r="B165" s="171"/>
      <c r="C165" s="171"/>
      <c r="D165" s="171"/>
      <c r="E165" s="171"/>
      <c r="F165" s="171"/>
      <c r="G165" s="171" t="s">
        <v>207</v>
      </c>
      <c r="H165" s="171"/>
      <c r="I165" s="171"/>
      <c r="J165" s="176"/>
    </row>
    <row r="166" spans="1:13" x14ac:dyDescent="0.25">
      <c r="A166" s="171"/>
      <c r="B166" s="171"/>
      <c r="C166" s="171"/>
      <c r="D166" s="171"/>
      <c r="E166" s="171"/>
      <c r="F166" s="171"/>
      <c r="G166" s="171"/>
      <c r="H166" s="171" t="s">
        <v>211</v>
      </c>
      <c r="I166" s="171"/>
      <c r="J166" s="176">
        <v>50000</v>
      </c>
    </row>
    <row r="167" spans="1:13" x14ac:dyDescent="0.25">
      <c r="A167" s="171"/>
      <c r="B167" s="171"/>
      <c r="C167" s="171"/>
      <c r="D167" s="171"/>
      <c r="E167" s="171"/>
      <c r="F167" s="171"/>
      <c r="G167" s="171"/>
      <c r="H167" s="171" t="s">
        <v>554</v>
      </c>
      <c r="I167" s="171"/>
      <c r="J167" s="176">
        <v>4800</v>
      </c>
    </row>
    <row r="168" spans="1:13" x14ac:dyDescent="0.25">
      <c r="A168" s="171"/>
      <c r="B168" s="171"/>
      <c r="C168" s="171"/>
      <c r="D168" s="171"/>
      <c r="E168" s="171"/>
      <c r="F168" s="171"/>
      <c r="G168" s="171"/>
      <c r="H168" s="171" t="s">
        <v>555</v>
      </c>
      <c r="I168" s="171"/>
      <c r="J168" s="176">
        <v>1200</v>
      </c>
    </row>
    <row r="169" spans="1:13" ht="15.75" thickBot="1" x14ac:dyDescent="0.3">
      <c r="A169" s="171"/>
      <c r="B169" s="171"/>
      <c r="C169" s="171"/>
      <c r="D169" s="171"/>
      <c r="E169" s="171"/>
      <c r="F169" s="171"/>
      <c r="G169" s="171"/>
      <c r="H169" s="171" t="s">
        <v>648</v>
      </c>
      <c r="I169" s="171"/>
      <c r="J169" s="220">
        <v>3666.67</v>
      </c>
    </row>
    <row r="170" spans="1:13" x14ac:dyDescent="0.25">
      <c r="A170" s="171"/>
      <c r="B170" s="171"/>
      <c r="C170" s="171"/>
      <c r="D170" s="171"/>
      <c r="E170" s="171"/>
      <c r="F170" s="171"/>
      <c r="G170" s="171" t="s">
        <v>208</v>
      </c>
      <c r="H170" s="171"/>
      <c r="I170" s="171"/>
      <c r="J170" s="176">
        <f>ROUND(SUM(J165:J169),5)</f>
        <v>59666.67</v>
      </c>
    </row>
    <row r="171" spans="1:13" x14ac:dyDescent="0.25">
      <c r="A171" s="171"/>
      <c r="B171" s="171"/>
      <c r="C171" s="171"/>
      <c r="D171" s="171"/>
      <c r="E171" s="171"/>
      <c r="F171" s="171"/>
      <c r="G171" s="171" t="s">
        <v>187</v>
      </c>
      <c r="H171" s="171"/>
      <c r="I171" s="171"/>
      <c r="J171" s="176"/>
    </row>
    <row r="172" spans="1:13" x14ac:dyDescent="0.25">
      <c r="A172" s="171"/>
      <c r="B172" s="171"/>
      <c r="C172" s="171"/>
      <c r="D172" s="171"/>
      <c r="E172" s="171"/>
      <c r="F172" s="171"/>
      <c r="G172" s="171"/>
      <c r="H172" s="171" t="s">
        <v>556</v>
      </c>
      <c r="I172" s="171"/>
      <c r="J172" s="176">
        <v>628</v>
      </c>
    </row>
    <row r="173" spans="1:13" ht="15.75" thickBot="1" x14ac:dyDescent="0.3">
      <c r="A173" s="171"/>
      <c r="B173" s="171"/>
      <c r="C173" s="171"/>
      <c r="D173" s="171"/>
      <c r="E173" s="171"/>
      <c r="F173" s="171"/>
      <c r="G173" s="171"/>
      <c r="H173" s="171" t="s">
        <v>209</v>
      </c>
      <c r="I173" s="171"/>
      <c r="J173" s="8">
        <v>45000</v>
      </c>
    </row>
    <row r="174" spans="1:13" ht="15.75" thickBot="1" x14ac:dyDescent="0.3">
      <c r="A174" s="171"/>
      <c r="B174" s="171"/>
      <c r="C174" s="171"/>
      <c r="D174" s="171"/>
      <c r="E174" s="171"/>
      <c r="F174" s="171"/>
      <c r="G174" s="171" t="s">
        <v>188</v>
      </c>
      <c r="H174" s="171"/>
      <c r="I174" s="171"/>
      <c r="J174" s="10">
        <f>ROUND(SUM(J171:J173),5)</f>
        <v>45628</v>
      </c>
    </row>
    <row r="175" spans="1:13" x14ac:dyDescent="0.25">
      <c r="A175" s="171"/>
      <c r="B175" s="171"/>
      <c r="C175" s="171"/>
      <c r="D175" s="171"/>
      <c r="E175" s="171"/>
      <c r="F175" s="171" t="s">
        <v>210</v>
      </c>
      <c r="G175" s="171"/>
      <c r="H175" s="171"/>
      <c r="I175" s="171"/>
      <c r="J175" s="176">
        <f>ROUND(J156+J164+J170+J174,5)</f>
        <v>189321.60000000001</v>
      </c>
    </row>
    <row r="176" spans="1:13" x14ac:dyDescent="0.25">
      <c r="A176" s="171"/>
      <c r="B176" s="171"/>
      <c r="C176" s="171"/>
      <c r="D176" s="171"/>
      <c r="E176" s="171"/>
      <c r="F176" s="171" t="s">
        <v>465</v>
      </c>
      <c r="G176" s="171"/>
      <c r="H176" s="171"/>
      <c r="I176" s="171"/>
      <c r="J176" s="176"/>
    </row>
    <row r="177" spans="1:15" x14ac:dyDescent="0.25">
      <c r="A177" s="171"/>
      <c r="B177" s="171"/>
      <c r="C177" s="171"/>
      <c r="D177" s="171"/>
      <c r="E177" s="171"/>
      <c r="F177" s="171"/>
      <c r="G177" s="171" t="s">
        <v>673</v>
      </c>
      <c r="H177" s="171"/>
      <c r="I177" s="171"/>
      <c r="J177" s="176">
        <v>17500</v>
      </c>
    </row>
    <row r="178" spans="1:15" x14ac:dyDescent="0.25">
      <c r="A178" s="171"/>
      <c r="B178" s="171"/>
      <c r="C178" s="171"/>
      <c r="D178" s="171"/>
      <c r="E178" s="171"/>
      <c r="F178" s="171"/>
      <c r="G178" s="171" t="s">
        <v>483</v>
      </c>
      <c r="H178" s="171"/>
      <c r="I178" s="171"/>
      <c r="J178" s="176">
        <v>1554.4</v>
      </c>
    </row>
    <row r="179" spans="1:15" x14ac:dyDescent="0.25">
      <c r="A179" s="171"/>
      <c r="B179" s="171"/>
      <c r="C179" s="171"/>
      <c r="D179" s="171"/>
      <c r="E179" s="171"/>
      <c r="F179" s="171"/>
      <c r="G179" s="171" t="s">
        <v>557</v>
      </c>
      <c r="H179" s="171"/>
      <c r="I179" s="171"/>
      <c r="J179" s="176">
        <v>182371.67</v>
      </c>
    </row>
    <row r="180" spans="1:15" ht="15.75" thickBot="1" x14ac:dyDescent="0.3">
      <c r="A180" s="171"/>
      <c r="B180" s="171"/>
      <c r="C180" s="171"/>
      <c r="D180" s="171"/>
      <c r="E180" s="171"/>
      <c r="F180" s="171"/>
      <c r="G180" s="171" t="s">
        <v>466</v>
      </c>
      <c r="H180" s="171"/>
      <c r="I180" s="171"/>
      <c r="J180" s="220">
        <v>58140</v>
      </c>
      <c r="N180" s="21"/>
    </row>
    <row r="181" spans="1:15" x14ac:dyDescent="0.25">
      <c r="A181" s="171"/>
      <c r="B181" s="171"/>
      <c r="C181" s="171"/>
      <c r="D181" s="171"/>
      <c r="E181" s="171"/>
      <c r="F181" s="171" t="s">
        <v>467</v>
      </c>
      <c r="G181" s="171"/>
      <c r="H181" s="171"/>
      <c r="I181" s="171"/>
      <c r="J181" s="176">
        <f>ROUND(SUM(J176:J180),5)</f>
        <v>259566.07</v>
      </c>
      <c r="N181" s="21"/>
    </row>
    <row r="182" spans="1:15" x14ac:dyDescent="0.25">
      <c r="A182" s="171"/>
      <c r="B182" s="171"/>
      <c r="C182" s="171"/>
      <c r="D182" s="171"/>
      <c r="E182" s="171"/>
      <c r="F182" s="171" t="s">
        <v>674</v>
      </c>
      <c r="G182" s="171"/>
      <c r="H182" s="171"/>
      <c r="I182" s="171"/>
      <c r="J182" s="176"/>
      <c r="N182" s="21"/>
    </row>
    <row r="183" spans="1:15" ht="15.75" thickBot="1" x14ac:dyDescent="0.3">
      <c r="A183" s="171"/>
      <c r="B183" s="171"/>
      <c r="C183" s="171"/>
      <c r="D183" s="171"/>
      <c r="E183" s="171"/>
      <c r="F183" s="171"/>
      <c r="G183" s="171" t="s">
        <v>675</v>
      </c>
      <c r="H183" s="171"/>
      <c r="I183" s="171"/>
      <c r="J183" s="220">
        <v>12500</v>
      </c>
    </row>
    <row r="184" spans="1:15" x14ac:dyDescent="0.25">
      <c r="A184" s="171"/>
      <c r="B184" s="171"/>
      <c r="C184" s="171"/>
      <c r="D184" s="171"/>
      <c r="E184" s="171"/>
      <c r="F184" s="171" t="s">
        <v>676</v>
      </c>
      <c r="G184" s="171"/>
      <c r="H184" s="171"/>
      <c r="I184" s="171"/>
      <c r="J184" s="176">
        <f>ROUND(SUM(J182:J183),5)</f>
        <v>12500</v>
      </c>
    </row>
    <row r="185" spans="1:15" x14ac:dyDescent="0.25">
      <c r="A185" s="171"/>
      <c r="B185" s="171"/>
      <c r="C185" s="171"/>
      <c r="D185" s="171"/>
      <c r="E185" s="171"/>
      <c r="F185" s="171" t="s">
        <v>139</v>
      </c>
      <c r="G185" s="171"/>
      <c r="H185" s="171"/>
      <c r="I185" s="171"/>
      <c r="J185" s="176"/>
    </row>
    <row r="186" spans="1:15" x14ac:dyDescent="0.25">
      <c r="A186" s="171"/>
      <c r="B186" s="171"/>
      <c r="C186" s="171"/>
      <c r="D186" s="171"/>
      <c r="E186" s="171"/>
      <c r="F186" s="171"/>
      <c r="G186" s="171" t="s">
        <v>468</v>
      </c>
      <c r="H186" s="171"/>
      <c r="I186" s="171"/>
      <c r="J186" s="176"/>
    </row>
    <row r="187" spans="1:15" x14ac:dyDescent="0.25">
      <c r="A187" s="171"/>
      <c r="B187" s="171"/>
      <c r="C187" s="171"/>
      <c r="D187" s="171"/>
      <c r="E187" s="171"/>
      <c r="F187" s="171"/>
      <c r="G187" s="171"/>
      <c r="H187" s="171" t="s">
        <v>677</v>
      </c>
      <c r="I187" s="171"/>
      <c r="J187" s="230">
        <v>0</v>
      </c>
      <c r="O187" s="20"/>
    </row>
    <row r="188" spans="1:15" x14ac:dyDescent="0.25">
      <c r="A188" s="171"/>
      <c r="B188" s="171"/>
      <c r="C188" s="171"/>
      <c r="D188" s="171"/>
      <c r="E188" s="171"/>
      <c r="F188" s="171"/>
      <c r="G188" s="171"/>
      <c r="H188" s="171" t="s">
        <v>649</v>
      </c>
      <c r="I188" s="171"/>
      <c r="J188" s="176">
        <v>24000</v>
      </c>
    </row>
    <row r="189" spans="1:15" x14ac:dyDescent="0.25">
      <c r="A189" s="171"/>
      <c r="B189" s="171"/>
      <c r="C189" s="171"/>
      <c r="D189" s="171"/>
      <c r="E189" s="171"/>
      <c r="F189" s="171"/>
      <c r="G189" s="171"/>
      <c r="H189" s="171" t="s">
        <v>650</v>
      </c>
      <c r="I189" s="171"/>
      <c r="J189" s="176">
        <v>6000</v>
      </c>
      <c r="L189" s="20"/>
    </row>
    <row r="190" spans="1:15" x14ac:dyDescent="0.25">
      <c r="A190" s="171"/>
      <c r="B190" s="171"/>
      <c r="C190" s="171"/>
      <c r="D190" s="171"/>
      <c r="E190" s="171"/>
      <c r="F190" s="171"/>
      <c r="G190" s="171"/>
      <c r="H190" s="171" t="s">
        <v>140</v>
      </c>
      <c r="I190" s="171"/>
      <c r="J190" s="176">
        <v>350000</v>
      </c>
    </row>
    <row r="191" spans="1:15" ht="15.75" thickBot="1" x14ac:dyDescent="0.3">
      <c r="A191" s="171"/>
      <c r="B191" s="171"/>
      <c r="C191" s="171"/>
      <c r="D191" s="171"/>
      <c r="E191" s="171"/>
      <c r="F191" s="171"/>
      <c r="G191" s="171"/>
      <c r="H191" s="171" t="s">
        <v>573</v>
      </c>
      <c r="I191" s="171"/>
      <c r="J191" s="220">
        <v>32083.33</v>
      </c>
    </row>
    <row r="192" spans="1:15" x14ac:dyDescent="0.25">
      <c r="A192" s="171"/>
      <c r="B192" s="171"/>
      <c r="C192" s="171"/>
      <c r="D192" s="171"/>
      <c r="E192" s="171"/>
      <c r="F192" s="171"/>
      <c r="G192" s="171" t="s">
        <v>469</v>
      </c>
      <c r="H192" s="171"/>
      <c r="I192" s="171"/>
      <c r="J192" s="176">
        <f>ROUND(SUM(J186:J191),5)</f>
        <v>412083.33</v>
      </c>
    </row>
    <row r="193" spans="1:12" x14ac:dyDescent="0.25">
      <c r="A193" s="171"/>
      <c r="B193" s="171"/>
      <c r="C193" s="171"/>
      <c r="D193" s="171"/>
      <c r="E193" s="171"/>
      <c r="F193" s="171"/>
      <c r="G193" s="171" t="s">
        <v>141</v>
      </c>
      <c r="H193" s="171"/>
      <c r="I193" s="171"/>
      <c r="J193" s="176"/>
    </row>
    <row r="194" spans="1:12" x14ac:dyDescent="0.25">
      <c r="A194" s="171"/>
      <c r="B194" s="171"/>
      <c r="C194" s="171"/>
      <c r="D194" s="171"/>
      <c r="E194" s="171"/>
      <c r="F194" s="171"/>
      <c r="G194" s="171"/>
      <c r="H194" s="171" t="s">
        <v>628</v>
      </c>
      <c r="I194" s="171"/>
      <c r="J194" s="176">
        <v>11458.33</v>
      </c>
    </row>
    <row r="195" spans="1:12" x14ac:dyDescent="0.25">
      <c r="A195" s="171"/>
      <c r="B195" s="171"/>
      <c r="C195" s="171"/>
      <c r="D195" s="171"/>
      <c r="E195" s="171"/>
      <c r="F195" s="171"/>
      <c r="G195" s="171"/>
      <c r="H195" s="171" t="s">
        <v>142</v>
      </c>
      <c r="I195" s="171"/>
      <c r="J195" s="176">
        <v>7000</v>
      </c>
    </row>
    <row r="196" spans="1:12" x14ac:dyDescent="0.25">
      <c r="A196" s="171"/>
      <c r="B196" s="171"/>
      <c r="C196" s="171"/>
      <c r="D196" s="171"/>
      <c r="E196" s="171"/>
      <c r="F196" s="171"/>
      <c r="G196" s="171"/>
      <c r="H196" s="171" t="s">
        <v>579</v>
      </c>
      <c r="I196" s="171"/>
      <c r="J196" s="176">
        <v>7772.38</v>
      </c>
    </row>
    <row r="197" spans="1:12" x14ac:dyDescent="0.25">
      <c r="A197" s="171"/>
      <c r="B197" s="171"/>
      <c r="C197" s="171"/>
      <c r="D197" s="171"/>
      <c r="E197" s="171"/>
      <c r="F197" s="171"/>
      <c r="G197" s="171" t="s">
        <v>148</v>
      </c>
      <c r="H197" s="171"/>
      <c r="I197" s="171"/>
      <c r="J197" s="227">
        <f>SUM(J194:J196)</f>
        <v>26230.710000000003</v>
      </c>
    </row>
    <row r="198" spans="1:12" x14ac:dyDescent="0.25">
      <c r="A198" s="171"/>
      <c r="B198" s="171"/>
      <c r="C198" s="171"/>
      <c r="D198" s="171"/>
      <c r="E198" s="171"/>
      <c r="F198" s="171"/>
      <c r="G198" s="171" t="s">
        <v>167</v>
      </c>
      <c r="H198" s="171"/>
      <c r="I198" s="171"/>
      <c r="J198" s="176"/>
    </row>
    <row r="199" spans="1:12" x14ac:dyDescent="0.25">
      <c r="A199" s="171"/>
      <c r="B199" s="171"/>
      <c r="C199" s="171"/>
      <c r="D199" s="171"/>
      <c r="E199" s="171"/>
      <c r="F199" s="171"/>
      <c r="G199" s="171"/>
      <c r="H199" s="171" t="s">
        <v>168</v>
      </c>
      <c r="I199" s="171"/>
      <c r="J199" s="176">
        <v>81566.22</v>
      </c>
    </row>
    <row r="200" spans="1:12" x14ac:dyDescent="0.25">
      <c r="A200" s="171"/>
      <c r="B200" s="171"/>
      <c r="C200" s="171"/>
      <c r="D200" s="171"/>
      <c r="E200" s="171"/>
      <c r="F200" s="171"/>
      <c r="G200" s="171"/>
      <c r="H200" s="171" t="s">
        <v>473</v>
      </c>
      <c r="I200" s="171"/>
      <c r="J200" s="176">
        <v>177097</v>
      </c>
    </row>
    <row r="201" spans="1:12" ht="15.75" thickBot="1" x14ac:dyDescent="0.3">
      <c r="A201" s="171"/>
      <c r="B201" s="171"/>
      <c r="C201" s="171"/>
      <c r="D201" s="171"/>
      <c r="E201" s="171"/>
      <c r="F201" s="171"/>
      <c r="G201" s="171"/>
      <c r="H201" s="171" t="s">
        <v>169</v>
      </c>
      <c r="I201" s="171"/>
      <c r="J201" s="176">
        <v>497689.64</v>
      </c>
    </row>
    <row r="202" spans="1:12" ht="15.75" thickBot="1" x14ac:dyDescent="0.3">
      <c r="A202" s="171"/>
      <c r="B202" s="171"/>
      <c r="C202" s="171"/>
      <c r="D202" s="171"/>
      <c r="E202" s="171"/>
      <c r="F202" s="171"/>
      <c r="G202" s="171" t="s">
        <v>172</v>
      </c>
      <c r="H202" s="171"/>
      <c r="I202" s="171"/>
      <c r="J202" s="11">
        <f>ROUND(SUM(J198:J201),5)</f>
        <v>756352.86</v>
      </c>
    </row>
    <row r="203" spans="1:12" ht="15.75" thickBot="1" x14ac:dyDescent="0.3">
      <c r="A203" s="171"/>
      <c r="B203" s="171"/>
      <c r="C203" s="171"/>
      <c r="D203" s="171"/>
      <c r="E203" s="171"/>
      <c r="F203" s="171" t="s">
        <v>173</v>
      </c>
      <c r="G203" s="171"/>
      <c r="H203" s="171"/>
      <c r="I203" s="171"/>
      <c r="J203" s="11">
        <f>ROUND(J192+J197+J202,5)</f>
        <v>1194666.8999999999</v>
      </c>
    </row>
    <row r="204" spans="1:12" ht="15.75" thickBot="1" x14ac:dyDescent="0.3">
      <c r="A204" s="171"/>
      <c r="B204" s="171"/>
      <c r="C204" s="171"/>
      <c r="D204" s="171"/>
      <c r="E204" s="171" t="s">
        <v>174</v>
      </c>
      <c r="F204" s="171"/>
      <c r="G204" s="171"/>
      <c r="H204" s="171"/>
      <c r="I204" s="171"/>
      <c r="J204" s="11">
        <f>ROUND(J43+J101+J144+J155+J175+J181+J184+J203,5)</f>
        <v>3893146.49</v>
      </c>
      <c r="L204" s="20">
        <f>J205-M24</f>
        <v>0</v>
      </c>
    </row>
    <row r="205" spans="1:12" ht="15.75" thickBot="1" x14ac:dyDescent="0.3">
      <c r="A205" s="171"/>
      <c r="B205" s="171"/>
      <c r="C205" s="171"/>
      <c r="D205" s="171" t="s">
        <v>175</v>
      </c>
      <c r="E205" s="171"/>
      <c r="F205" s="171"/>
      <c r="G205" s="171"/>
      <c r="H205" s="171"/>
      <c r="I205" s="171"/>
      <c r="J205" s="11">
        <f>ROUND(J42+J204,5)</f>
        <v>3893146.49</v>
      </c>
    </row>
    <row r="206" spans="1:12" ht="15.75" thickBot="1" x14ac:dyDescent="0.3">
      <c r="A206" s="171"/>
      <c r="B206" s="171" t="s">
        <v>176</v>
      </c>
      <c r="C206" s="171"/>
      <c r="D206" s="171"/>
      <c r="E206" s="171"/>
      <c r="F206" s="171"/>
      <c r="G206" s="171"/>
      <c r="H206" s="171"/>
      <c r="I206" s="171"/>
      <c r="J206" s="11">
        <f>ROUND(J2+J41-J205,5)</f>
        <v>427960.91</v>
      </c>
    </row>
    <row r="207" spans="1:12" ht="15.75" thickBot="1" x14ac:dyDescent="0.3">
      <c r="A207" s="171"/>
      <c r="B207" s="171"/>
      <c r="C207" s="171"/>
      <c r="D207" s="171"/>
      <c r="E207" s="171"/>
      <c r="F207" s="171"/>
      <c r="G207" s="171"/>
      <c r="H207" s="171"/>
      <c r="I207" s="171"/>
      <c r="J207" s="12">
        <f>J206</f>
        <v>427960.91</v>
      </c>
    </row>
    <row r="208" spans="1:12" ht="15.75" thickTop="1" x14ac:dyDescent="0.25">
      <c r="A208" s="171"/>
    </row>
    <row r="209" spans="1:10" x14ac:dyDescent="0.25">
      <c r="A209" s="171"/>
    </row>
    <row r="210" spans="1:10" x14ac:dyDescent="0.25">
      <c r="A210" s="171"/>
      <c r="J210" s="170"/>
    </row>
    <row r="211" spans="1:10" x14ac:dyDescent="0.25">
      <c r="A211" s="171"/>
    </row>
    <row r="212" spans="1:10" x14ac:dyDescent="0.25">
      <c r="A212" s="171"/>
    </row>
    <row r="213" spans="1:10" x14ac:dyDescent="0.25">
      <c r="A213" s="171"/>
    </row>
    <row r="214" spans="1:10" x14ac:dyDescent="0.25">
      <c r="A214" s="171" t="s">
        <v>177</v>
      </c>
    </row>
    <row r="238" spans="12:12" x14ac:dyDescent="0.25">
      <c r="L238" s="20"/>
    </row>
    <row r="239" spans="12:12" x14ac:dyDescent="0.25">
      <c r="L239" s="21"/>
    </row>
    <row r="264" spans="1:15" x14ac:dyDescent="0.25">
      <c r="K264" s="156"/>
    </row>
    <row r="265" spans="1:15" s="156" customFormat="1" x14ac:dyDescent="0.25">
      <c r="A265" s="159"/>
      <c r="B265" s="159"/>
      <c r="C265" s="159"/>
      <c r="D265" s="159"/>
      <c r="E265" s="159"/>
      <c r="F265" s="159"/>
      <c r="G265" s="159"/>
      <c r="H265" s="159"/>
      <c r="I265" s="159"/>
      <c r="J265" s="5"/>
      <c r="K265" s="154"/>
      <c r="L265" s="154"/>
      <c r="M265" s="167"/>
      <c r="N265" s="154"/>
      <c r="O265" s="154"/>
    </row>
    <row r="304" spans="12:12" x14ac:dyDescent="0.25">
      <c r="L304" s="23"/>
    </row>
    <row r="305" spans="12:12" x14ac:dyDescent="0.25">
      <c r="L305" s="20"/>
    </row>
    <row r="306" spans="12:12" x14ac:dyDescent="0.25">
      <c r="L306" s="21"/>
    </row>
    <row r="307" spans="12:12" x14ac:dyDescent="0.25">
      <c r="L307" s="21"/>
    </row>
    <row r="323" spans="14:14" x14ac:dyDescent="0.25">
      <c r="N323" s="21"/>
    </row>
    <row r="324" spans="14:14" x14ac:dyDescent="0.25">
      <c r="N324" s="21"/>
    </row>
    <row r="325" spans="14:14" x14ac:dyDescent="0.25">
      <c r="N325" s="21"/>
    </row>
    <row r="343" spans="12:15" x14ac:dyDescent="0.25">
      <c r="N343" s="156"/>
      <c r="O343" s="156"/>
    </row>
    <row r="344" spans="12:15" x14ac:dyDescent="0.25">
      <c r="L344" s="156"/>
      <c r="M344" s="206"/>
    </row>
    <row r="352" spans="12:15" x14ac:dyDescent="0.25">
      <c r="L352" s="104"/>
    </row>
    <row r="353" spans="12:15" x14ac:dyDescent="0.25">
      <c r="L353" s="104"/>
    </row>
    <row r="354" spans="12:15" x14ac:dyDescent="0.25">
      <c r="L354" s="104"/>
      <c r="N354" s="158"/>
      <c r="O354" s="158"/>
    </row>
    <row r="355" spans="12:15" x14ac:dyDescent="0.25">
      <c r="L355" s="158"/>
      <c r="M355" s="205"/>
    </row>
    <row r="375" spans="12:15" x14ac:dyDescent="0.25">
      <c r="N375" s="21"/>
    </row>
    <row r="376" spans="12:15" x14ac:dyDescent="0.25">
      <c r="N376" s="21"/>
    </row>
    <row r="377" spans="12:15" x14ac:dyDescent="0.25">
      <c r="N377" s="21"/>
    </row>
    <row r="383" spans="12:15" x14ac:dyDescent="0.25">
      <c r="N383" s="158"/>
      <c r="O383" s="158"/>
    </row>
    <row r="384" spans="12:15" x14ac:dyDescent="0.25">
      <c r="L384" s="158"/>
      <c r="M384" s="205"/>
    </row>
    <row r="390" spans="12:15" x14ac:dyDescent="0.25">
      <c r="N390" s="156"/>
      <c r="O390" s="156"/>
    </row>
    <row r="391" spans="12:15" x14ac:dyDescent="0.25">
      <c r="L391" s="156"/>
      <c r="M391" s="206"/>
    </row>
    <row r="397" spans="12:15" x14ac:dyDescent="0.25">
      <c r="N397" s="156"/>
      <c r="O397" s="156"/>
    </row>
    <row r="398" spans="12:15" x14ac:dyDescent="0.25">
      <c r="L398" s="156"/>
      <c r="M398" s="206"/>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5" tint="-0.499984740745262"/>
  </sheetPr>
  <dimension ref="A1:O398"/>
  <sheetViews>
    <sheetView workbookViewId="0">
      <pane ySplit="1" topLeftCell="A14" activePane="bottomLeft" state="frozen"/>
      <selection pane="bottomLeft" activeCell="J26" sqref="J26"/>
    </sheetView>
  </sheetViews>
  <sheetFormatPr defaultRowHeight="15" x14ac:dyDescent="0.25"/>
  <cols>
    <col min="1" max="8" width="3" style="159" customWidth="1"/>
    <col min="9" max="9" width="38.140625" style="159" customWidth="1"/>
    <col min="10" max="10" width="15.28515625" style="5" bestFit="1" customWidth="1"/>
    <col min="11" max="11" width="9.140625" style="154"/>
    <col min="12" max="12" width="30.7109375" style="154" bestFit="1" customWidth="1"/>
    <col min="13" max="13" width="13.85546875" style="167" bestFit="1" customWidth="1"/>
    <col min="14" max="14" width="9.42578125" style="154" hidden="1" customWidth="1"/>
    <col min="15" max="15" width="34.28515625" style="154" hidden="1" customWidth="1"/>
    <col min="16" max="16384" width="9.140625" style="154"/>
  </cols>
  <sheetData>
    <row r="1" spans="1:15" s="158" customFormat="1" ht="15.75" thickBot="1" x14ac:dyDescent="0.3">
      <c r="A1" s="157"/>
      <c r="B1" s="157"/>
      <c r="C1" s="157"/>
      <c r="D1" s="157"/>
      <c r="E1" s="157"/>
      <c r="F1" s="157"/>
      <c r="G1" s="157"/>
      <c r="H1" s="157"/>
      <c r="I1" s="157"/>
      <c r="J1" s="178" t="s">
        <v>653</v>
      </c>
      <c r="L1" s="154"/>
      <c r="M1" s="167"/>
      <c r="N1" s="154"/>
      <c r="O1" s="154"/>
    </row>
    <row r="2" spans="1:15" ht="30.75" thickTop="1" x14ac:dyDescent="0.25">
      <c r="A2" s="171"/>
      <c r="B2" s="171" t="s">
        <v>20</v>
      </c>
      <c r="C2" s="171"/>
      <c r="D2" s="171"/>
      <c r="E2" s="171"/>
      <c r="F2" s="171"/>
      <c r="G2" s="171"/>
      <c r="H2" s="171"/>
      <c r="I2" s="171"/>
      <c r="J2" s="176"/>
      <c r="L2" s="108" t="s">
        <v>381</v>
      </c>
      <c r="M2" s="200" t="s">
        <v>380</v>
      </c>
      <c r="N2" s="110" t="s">
        <v>433</v>
      </c>
      <c r="O2" s="109" t="s">
        <v>382</v>
      </c>
    </row>
    <row r="3" spans="1:15" x14ac:dyDescent="0.25">
      <c r="A3" s="171"/>
      <c r="B3" s="171"/>
      <c r="C3" s="171"/>
      <c r="D3" s="171" t="s">
        <v>21</v>
      </c>
      <c r="E3" s="171"/>
      <c r="F3" s="171"/>
      <c r="G3" s="171"/>
      <c r="H3" s="171"/>
      <c r="I3" s="171"/>
      <c r="J3" s="176"/>
      <c r="L3" s="46" t="s">
        <v>269</v>
      </c>
      <c r="M3" s="184">
        <f>J81</f>
        <v>528600</v>
      </c>
      <c r="N3" s="59"/>
      <c r="O3" s="46" t="s">
        <v>442</v>
      </c>
    </row>
    <row r="4" spans="1:15" x14ac:dyDescent="0.25">
      <c r="A4" s="171"/>
      <c r="B4" s="171"/>
      <c r="C4" s="171"/>
      <c r="D4" s="171"/>
      <c r="E4" s="171" t="s">
        <v>22</v>
      </c>
      <c r="F4" s="171"/>
      <c r="G4" s="171"/>
      <c r="H4" s="171"/>
      <c r="I4" s="171"/>
      <c r="J4" s="176"/>
      <c r="L4" s="46" t="s">
        <v>270</v>
      </c>
      <c r="M4" s="184">
        <f>J127</f>
        <v>124458.33</v>
      </c>
      <c r="N4" s="59"/>
      <c r="O4" s="46" t="s">
        <v>442</v>
      </c>
    </row>
    <row r="5" spans="1:15" x14ac:dyDescent="0.25">
      <c r="A5" s="171"/>
      <c r="B5" s="171"/>
      <c r="C5" s="171"/>
      <c r="D5" s="171"/>
      <c r="E5" s="171"/>
      <c r="F5" s="171" t="s">
        <v>23</v>
      </c>
      <c r="G5" s="171"/>
      <c r="H5" s="171"/>
      <c r="I5" s="171"/>
      <c r="J5" s="176">
        <f>8869044.78+126433.39</f>
        <v>8995478.1699999999</v>
      </c>
      <c r="L5" s="46" t="s">
        <v>597</v>
      </c>
      <c r="M5" s="184">
        <f>J174</f>
        <v>59666.67</v>
      </c>
      <c r="N5" s="59"/>
      <c r="O5" s="46" t="s">
        <v>442</v>
      </c>
    </row>
    <row r="6" spans="1:15" x14ac:dyDescent="0.25">
      <c r="A6" s="171"/>
      <c r="B6" s="171"/>
      <c r="C6" s="171"/>
      <c r="D6" s="171"/>
      <c r="E6" s="171"/>
      <c r="F6" s="171" t="s">
        <v>24</v>
      </c>
      <c r="G6" s="171"/>
      <c r="H6" s="171"/>
      <c r="I6" s="171"/>
      <c r="J6" s="176">
        <v>3135737.1</v>
      </c>
      <c r="L6" s="119" t="s">
        <v>606</v>
      </c>
      <c r="M6" s="184"/>
      <c r="N6" s="59"/>
      <c r="O6" s="46"/>
    </row>
    <row r="7" spans="1:15" x14ac:dyDescent="0.25">
      <c r="A7" s="171"/>
      <c r="B7" s="171"/>
      <c r="C7" s="171"/>
      <c r="D7" s="171"/>
      <c r="E7" s="171"/>
      <c r="F7" s="171" t="s">
        <v>25</v>
      </c>
      <c r="G7" s="171"/>
      <c r="H7" s="171"/>
      <c r="I7" s="171"/>
      <c r="J7" s="176">
        <v>510931.73</v>
      </c>
      <c r="K7" s="171"/>
      <c r="L7" s="67" t="s">
        <v>598</v>
      </c>
      <c r="M7" s="184">
        <f>J189</f>
        <v>380000</v>
      </c>
      <c r="N7" s="185">
        <v>0.5</v>
      </c>
      <c r="O7" s="46" t="s">
        <v>595</v>
      </c>
    </row>
    <row r="8" spans="1:15" x14ac:dyDescent="0.25">
      <c r="A8" s="171"/>
      <c r="B8" s="171"/>
      <c r="C8" s="171"/>
      <c r="D8" s="171"/>
      <c r="E8" s="171"/>
      <c r="F8" s="171" t="s">
        <v>26</v>
      </c>
      <c r="G8" s="171"/>
      <c r="H8" s="171"/>
      <c r="I8" s="171"/>
      <c r="J8" s="176">
        <v>699346.74</v>
      </c>
      <c r="K8" s="171"/>
      <c r="L8" s="106" t="s">
        <v>12</v>
      </c>
      <c r="M8" s="201">
        <f>SUM(M3:M7)</f>
        <v>1092725</v>
      </c>
      <c r="N8" s="186"/>
      <c r="O8" s="46"/>
    </row>
    <row r="9" spans="1:15" x14ac:dyDescent="0.25">
      <c r="A9" s="171"/>
      <c r="B9" s="171"/>
      <c r="C9" s="171"/>
      <c r="D9" s="171"/>
      <c r="E9" s="171"/>
      <c r="F9" s="171" t="s">
        <v>27</v>
      </c>
      <c r="G9" s="171"/>
      <c r="H9" s="171"/>
      <c r="I9" s="171"/>
      <c r="J9" s="176">
        <v>5854405.75</v>
      </c>
      <c r="K9" s="171"/>
      <c r="L9" s="46"/>
      <c r="M9" s="190"/>
      <c r="N9" s="111"/>
      <c r="O9" s="46"/>
    </row>
    <row r="10" spans="1:15" ht="15.75" thickBot="1" x14ac:dyDescent="0.3">
      <c r="A10" s="171"/>
      <c r="B10" s="171"/>
      <c r="C10" s="171"/>
      <c r="D10" s="171"/>
      <c r="E10" s="171"/>
      <c r="F10" s="171" t="s">
        <v>28</v>
      </c>
      <c r="G10" s="171"/>
      <c r="H10" s="171"/>
      <c r="I10" s="171"/>
      <c r="J10" s="176">
        <v>1209600.52</v>
      </c>
      <c r="K10" s="171"/>
      <c r="L10" s="104"/>
      <c r="M10" s="202"/>
      <c r="N10" s="135"/>
      <c r="O10" s="104"/>
    </row>
    <row r="11" spans="1:15" ht="30.75" thickBot="1" x14ac:dyDescent="0.3">
      <c r="A11" s="171"/>
      <c r="B11" s="171"/>
      <c r="C11" s="171"/>
      <c r="D11" s="171"/>
      <c r="E11" s="171" t="s">
        <v>39</v>
      </c>
      <c r="F11" s="171"/>
      <c r="G11" s="171"/>
      <c r="H11" s="171"/>
      <c r="I11" s="171"/>
      <c r="J11" s="10">
        <f>ROUND(SUM(J4:J10),5)</f>
        <v>20405500.010000002</v>
      </c>
      <c r="K11" s="171"/>
      <c r="L11" s="65" t="s">
        <v>397</v>
      </c>
      <c r="M11" s="203" t="s">
        <v>380</v>
      </c>
      <c r="N11" s="112" t="s">
        <v>433</v>
      </c>
      <c r="O11" s="58" t="s">
        <v>382</v>
      </c>
    </row>
    <row r="12" spans="1:15" x14ac:dyDescent="0.25">
      <c r="A12" s="171"/>
      <c r="B12" s="171"/>
      <c r="C12" s="171"/>
      <c r="D12" s="171" t="s">
        <v>40</v>
      </c>
      <c r="E12" s="171"/>
      <c r="F12" s="171"/>
      <c r="G12" s="171"/>
      <c r="H12" s="171"/>
      <c r="I12" s="171"/>
      <c r="J12" s="176">
        <f>ROUND(J3+J11,5)</f>
        <v>20405500.010000002</v>
      </c>
      <c r="K12" s="171"/>
      <c r="L12" s="46" t="s">
        <v>269</v>
      </c>
      <c r="M12" s="190">
        <f>J108-J81</f>
        <v>1020190.5700000001</v>
      </c>
      <c r="N12" s="187"/>
      <c r="O12" s="46" t="s">
        <v>442</v>
      </c>
    </row>
    <row r="13" spans="1:15" x14ac:dyDescent="0.25">
      <c r="A13" s="171"/>
      <c r="B13" s="171"/>
      <c r="C13" s="171"/>
      <c r="D13" s="171" t="s">
        <v>41</v>
      </c>
      <c r="E13" s="171"/>
      <c r="F13" s="171"/>
      <c r="G13" s="171"/>
      <c r="H13" s="171"/>
      <c r="I13" s="171"/>
      <c r="J13" s="176"/>
      <c r="K13" s="171"/>
      <c r="L13" s="46" t="s">
        <v>270</v>
      </c>
      <c r="M13" s="190">
        <f>J147-J127</f>
        <v>416223.09</v>
      </c>
      <c r="N13" s="187"/>
      <c r="O13" s="46" t="s">
        <v>442</v>
      </c>
    </row>
    <row r="14" spans="1:15" x14ac:dyDescent="0.25">
      <c r="A14" s="171"/>
      <c r="B14" s="171"/>
      <c r="C14" s="171"/>
      <c r="D14" s="171"/>
      <c r="E14" s="171" t="s">
        <v>42</v>
      </c>
      <c r="F14" s="171"/>
      <c r="G14" s="171"/>
      <c r="H14" s="171"/>
      <c r="I14" s="171"/>
      <c r="J14" s="176"/>
      <c r="K14" s="171"/>
      <c r="L14" s="194" t="s">
        <v>609</v>
      </c>
      <c r="M14" s="190">
        <f>J159</f>
        <v>77410.61</v>
      </c>
      <c r="N14" s="187"/>
      <c r="O14" s="46" t="s">
        <v>442</v>
      </c>
    </row>
    <row r="15" spans="1:15" x14ac:dyDescent="0.25">
      <c r="A15" s="171"/>
      <c r="B15" s="171"/>
      <c r="C15" s="171"/>
      <c r="D15" s="171"/>
      <c r="E15" s="171"/>
      <c r="F15" s="171" t="s">
        <v>43</v>
      </c>
      <c r="G15" s="171"/>
      <c r="H15" s="171"/>
      <c r="I15" s="171"/>
      <c r="J15" s="176"/>
      <c r="K15" s="171"/>
      <c r="L15" s="194" t="s">
        <v>610</v>
      </c>
      <c r="M15" s="190">
        <f>J179-J174</f>
        <v>141021.16999999998</v>
      </c>
      <c r="N15" s="188"/>
      <c r="O15" s="46" t="s">
        <v>442</v>
      </c>
    </row>
    <row r="16" spans="1:15" x14ac:dyDescent="0.25">
      <c r="A16" s="171"/>
      <c r="B16" s="171"/>
      <c r="C16" s="171"/>
      <c r="D16" s="171"/>
      <c r="E16" s="171"/>
      <c r="F16" s="171"/>
      <c r="G16" s="171" t="s">
        <v>44</v>
      </c>
      <c r="H16" s="171"/>
      <c r="I16" s="171"/>
      <c r="J16" s="176">
        <f>2819136.7+7600+40841.37</f>
        <v>2867578.0700000003</v>
      </c>
      <c r="K16" s="171"/>
      <c r="L16" s="66" t="s">
        <v>611</v>
      </c>
      <c r="M16" s="190">
        <f>J183</f>
        <v>240511.67</v>
      </c>
      <c r="N16" s="187"/>
      <c r="O16" s="46" t="s">
        <v>442</v>
      </c>
    </row>
    <row r="17" spans="1:15" x14ac:dyDescent="0.25">
      <c r="A17" s="171"/>
      <c r="B17" s="171"/>
      <c r="C17" s="171"/>
      <c r="D17" s="171"/>
      <c r="E17" s="171"/>
      <c r="F17" s="171"/>
      <c r="G17" s="171" t="s">
        <v>45</v>
      </c>
      <c r="H17" s="171"/>
      <c r="I17" s="171"/>
      <c r="J17" s="176">
        <v>294612.5</v>
      </c>
      <c r="K17" s="171"/>
      <c r="L17" s="193" t="s">
        <v>612</v>
      </c>
      <c r="M17" s="190"/>
      <c r="N17" s="189">
        <v>0.35</v>
      </c>
      <c r="O17" s="46"/>
    </row>
    <row r="18" spans="1:15" x14ac:dyDescent="0.25">
      <c r="A18" s="171"/>
      <c r="B18" s="171"/>
      <c r="C18" s="171"/>
      <c r="D18" s="171"/>
      <c r="E18" s="171"/>
      <c r="F18" s="171"/>
      <c r="G18" s="171" t="s">
        <v>46</v>
      </c>
      <c r="H18" s="171"/>
      <c r="I18" s="171"/>
      <c r="J18" s="176">
        <v>25000</v>
      </c>
      <c r="L18" s="67" t="s">
        <v>383</v>
      </c>
      <c r="M18" s="190">
        <f>J195</f>
        <v>118000</v>
      </c>
      <c r="N18" s="191">
        <v>0.3</v>
      </c>
      <c r="O18" s="46" t="s">
        <v>442</v>
      </c>
    </row>
    <row r="19" spans="1:15" ht="15.75" thickBot="1" x14ac:dyDescent="0.3">
      <c r="A19" s="171"/>
      <c r="B19" s="171"/>
      <c r="C19" s="171"/>
      <c r="D19" s="171"/>
      <c r="E19" s="171"/>
      <c r="F19" s="171"/>
      <c r="G19" s="171" t="s">
        <v>47</v>
      </c>
      <c r="H19" s="171"/>
      <c r="I19" s="171"/>
      <c r="J19" s="220">
        <v>344122</v>
      </c>
      <c r="L19" s="67" t="s">
        <v>386</v>
      </c>
      <c r="M19" s="190">
        <f>J201</f>
        <v>1211483.07</v>
      </c>
      <c r="N19" s="191"/>
      <c r="O19" s="46" t="s">
        <v>442</v>
      </c>
    </row>
    <row r="20" spans="1:15" x14ac:dyDescent="0.25">
      <c r="A20" s="171"/>
      <c r="B20" s="171"/>
      <c r="C20" s="171"/>
      <c r="D20" s="171"/>
      <c r="E20" s="171"/>
      <c r="F20" s="171" t="s">
        <v>48</v>
      </c>
      <c r="G20" s="171"/>
      <c r="H20" s="171"/>
      <c r="I20" s="171"/>
      <c r="J20" s="176">
        <f>ROUND(SUM(J15:J19),5)</f>
        <v>3531312.57</v>
      </c>
      <c r="L20" s="46"/>
      <c r="M20" s="190"/>
      <c r="N20" s="191">
        <v>0.3</v>
      </c>
      <c r="O20" s="46"/>
    </row>
    <row r="21" spans="1:15" x14ac:dyDescent="0.25">
      <c r="A21" s="171"/>
      <c r="B21" s="171"/>
      <c r="C21" s="171"/>
      <c r="D21" s="171"/>
      <c r="E21" s="171"/>
      <c r="F21" s="171" t="s">
        <v>49</v>
      </c>
      <c r="G21" s="171"/>
      <c r="H21" s="171"/>
      <c r="I21" s="171"/>
      <c r="J21" s="176"/>
      <c r="L21" s="61" t="s">
        <v>12</v>
      </c>
      <c r="M21" s="204">
        <f>SUM(M12:M19)</f>
        <v>3224840.18</v>
      </c>
    </row>
    <row r="22" spans="1:15" x14ac:dyDescent="0.25">
      <c r="A22" s="171"/>
      <c r="B22" s="171"/>
      <c r="C22" s="171"/>
      <c r="D22" s="171"/>
      <c r="E22" s="171"/>
      <c r="F22" s="171"/>
      <c r="G22" s="171" t="s">
        <v>268</v>
      </c>
      <c r="H22" s="171"/>
      <c r="I22" s="171"/>
      <c r="J22" s="176">
        <v>513708.27</v>
      </c>
    </row>
    <row r="23" spans="1:15" x14ac:dyDescent="0.25">
      <c r="A23" s="171"/>
      <c r="B23" s="171"/>
      <c r="C23" s="171"/>
      <c r="D23" s="171"/>
      <c r="E23" s="171"/>
      <c r="F23" s="171"/>
      <c r="G23" s="171" t="s">
        <v>446</v>
      </c>
      <c r="H23" s="171"/>
      <c r="I23" s="171"/>
      <c r="J23" s="176">
        <v>120000</v>
      </c>
      <c r="L23" s="21"/>
    </row>
    <row r="24" spans="1:15" x14ac:dyDescent="0.25">
      <c r="A24" s="171"/>
      <c r="B24" s="171"/>
      <c r="C24" s="171"/>
      <c r="D24" s="171"/>
      <c r="E24" s="171"/>
      <c r="F24" s="171"/>
      <c r="G24" s="171" t="s">
        <v>51</v>
      </c>
      <c r="H24" s="171"/>
      <c r="I24" s="171"/>
      <c r="J24" s="176">
        <v>5000</v>
      </c>
      <c r="L24" s="21"/>
    </row>
    <row r="25" spans="1:15" x14ac:dyDescent="0.25">
      <c r="A25" s="171"/>
      <c r="B25" s="171"/>
      <c r="C25" s="171"/>
      <c r="D25" s="171"/>
      <c r="E25" s="171"/>
      <c r="F25" s="171"/>
      <c r="G25" s="171" t="s">
        <v>52</v>
      </c>
      <c r="H25" s="171"/>
      <c r="I25" s="171"/>
      <c r="J25" s="224">
        <v>380000</v>
      </c>
    </row>
    <row r="26" spans="1:15" x14ac:dyDescent="0.25">
      <c r="A26" s="171"/>
      <c r="B26" s="171"/>
      <c r="C26" s="171"/>
      <c r="D26" s="171"/>
      <c r="E26" s="171"/>
      <c r="F26" s="171" t="s">
        <v>54</v>
      </c>
      <c r="G26" s="171"/>
      <c r="H26" s="171"/>
      <c r="I26" s="171"/>
      <c r="J26" s="176">
        <f>SUM(J22:J25)</f>
        <v>1018708.27</v>
      </c>
    </row>
    <row r="27" spans="1:15" x14ac:dyDescent="0.25">
      <c r="A27" s="171"/>
      <c r="B27" s="171"/>
      <c r="C27" s="171"/>
      <c r="D27" s="171"/>
      <c r="E27" s="171"/>
      <c r="F27" s="171" t="s">
        <v>55</v>
      </c>
      <c r="G27" s="171"/>
      <c r="H27" s="171"/>
      <c r="I27" s="171"/>
      <c r="J27" s="176"/>
      <c r="M27" s="23"/>
    </row>
    <row r="28" spans="1:15" x14ac:dyDescent="0.25">
      <c r="A28" s="171"/>
      <c r="B28" s="171"/>
      <c r="C28" s="171"/>
      <c r="D28" s="171"/>
      <c r="E28" s="171"/>
      <c r="F28" s="171"/>
      <c r="G28" s="171" t="s">
        <v>56</v>
      </c>
      <c r="H28" s="171"/>
      <c r="I28" s="171"/>
      <c r="J28" s="176">
        <f>3499733.48+905894.28</f>
        <v>4405627.76</v>
      </c>
      <c r="M28" s="23"/>
    </row>
    <row r="29" spans="1:15" x14ac:dyDescent="0.25">
      <c r="A29" s="171"/>
      <c r="B29" s="171"/>
      <c r="C29" s="171"/>
      <c r="D29" s="171"/>
      <c r="E29" s="171"/>
      <c r="F29" s="171"/>
      <c r="G29" s="171" t="s">
        <v>57</v>
      </c>
      <c r="H29" s="171"/>
      <c r="I29" s="171"/>
      <c r="J29" s="176">
        <v>433355</v>
      </c>
    </row>
    <row r="30" spans="1:15" x14ac:dyDescent="0.25">
      <c r="A30" s="171"/>
      <c r="B30" s="171"/>
      <c r="C30" s="171"/>
      <c r="D30" s="171"/>
      <c r="E30" s="171"/>
      <c r="F30" s="171"/>
      <c r="G30" s="171" t="s">
        <v>620</v>
      </c>
      <c r="H30" s="171"/>
      <c r="I30" s="171"/>
      <c r="J30" s="176">
        <v>168820</v>
      </c>
    </row>
    <row r="31" spans="1:15" x14ac:dyDescent="0.25">
      <c r="A31" s="171"/>
      <c r="B31" s="171"/>
      <c r="C31" s="171"/>
      <c r="D31" s="171"/>
      <c r="E31" s="171"/>
      <c r="F31" s="171"/>
      <c r="G31" s="171" t="s">
        <v>59</v>
      </c>
      <c r="H31" s="171"/>
      <c r="I31" s="171"/>
      <c r="J31" s="224">
        <v>122260.1</v>
      </c>
    </row>
    <row r="32" spans="1:15" x14ac:dyDescent="0.25">
      <c r="A32" s="171"/>
      <c r="B32" s="171"/>
      <c r="C32" s="171"/>
      <c r="D32" s="171"/>
      <c r="E32" s="171"/>
      <c r="F32" s="171" t="s">
        <v>61</v>
      </c>
      <c r="G32" s="171"/>
      <c r="H32" s="171"/>
      <c r="I32" s="171"/>
      <c r="J32" s="176">
        <f>ROUND(SUM(J27:J31),5)</f>
        <v>5130062.8600000003</v>
      </c>
    </row>
    <row r="33" spans="1:10" x14ac:dyDescent="0.25">
      <c r="A33" s="171"/>
      <c r="B33" s="171"/>
      <c r="C33" s="171"/>
      <c r="D33" s="171"/>
      <c r="E33" s="171"/>
      <c r="F33" s="171" t="s">
        <v>62</v>
      </c>
      <c r="G33" s="171"/>
      <c r="H33" s="171"/>
      <c r="I33" s="171"/>
      <c r="J33" s="176"/>
    </row>
    <row r="34" spans="1:10" x14ac:dyDescent="0.25">
      <c r="A34" s="171"/>
      <c r="B34" s="171"/>
      <c r="C34" s="171"/>
      <c r="D34" s="171"/>
      <c r="E34" s="171"/>
      <c r="F34" s="171"/>
      <c r="G34" s="171" t="s">
        <v>63</v>
      </c>
      <c r="H34" s="171"/>
      <c r="I34" s="171"/>
      <c r="J34" s="176">
        <v>969455</v>
      </c>
    </row>
    <row r="35" spans="1:10" x14ac:dyDescent="0.25">
      <c r="A35" s="171"/>
      <c r="B35" s="171"/>
      <c r="C35" s="171"/>
      <c r="D35" s="171"/>
      <c r="E35" s="171"/>
      <c r="F35" s="171"/>
      <c r="G35" s="171" t="s">
        <v>512</v>
      </c>
      <c r="H35" s="171"/>
      <c r="I35" s="171"/>
      <c r="J35" s="176">
        <v>116814.6</v>
      </c>
    </row>
    <row r="36" spans="1:10" x14ac:dyDescent="0.25">
      <c r="A36" s="171"/>
      <c r="B36" s="171"/>
      <c r="C36" s="171"/>
      <c r="D36" s="171"/>
      <c r="E36" s="171"/>
      <c r="F36" s="171"/>
      <c r="G36" s="171" t="s">
        <v>513</v>
      </c>
      <c r="H36" s="171"/>
      <c r="I36" s="171"/>
      <c r="J36" s="176">
        <v>29203.65</v>
      </c>
    </row>
    <row r="37" spans="1:10" x14ac:dyDescent="0.25">
      <c r="A37" s="171"/>
      <c r="B37" s="171"/>
      <c r="C37" s="171"/>
      <c r="D37" s="171"/>
      <c r="E37" s="171"/>
      <c r="F37" s="171"/>
      <c r="G37" s="171" t="s">
        <v>64</v>
      </c>
      <c r="H37" s="171"/>
      <c r="I37" s="171"/>
      <c r="J37" s="176">
        <v>407107.56</v>
      </c>
    </row>
    <row r="38" spans="1:10" x14ac:dyDescent="0.25">
      <c r="A38" s="171"/>
      <c r="B38" s="171"/>
      <c r="C38" s="171"/>
      <c r="D38" s="171"/>
      <c r="E38" s="171"/>
      <c r="F38" s="171"/>
      <c r="G38" s="171" t="s">
        <v>65</v>
      </c>
      <c r="H38" s="171"/>
      <c r="I38" s="171"/>
      <c r="J38" s="176">
        <v>98234.83</v>
      </c>
    </row>
    <row r="39" spans="1:10" x14ac:dyDescent="0.25">
      <c r="A39" s="171"/>
      <c r="B39" s="171"/>
      <c r="C39" s="171"/>
      <c r="D39" s="171"/>
      <c r="E39" s="171"/>
      <c r="F39" s="171"/>
      <c r="G39" s="171" t="s">
        <v>66</v>
      </c>
      <c r="H39" s="171"/>
      <c r="I39" s="171"/>
      <c r="J39" s="176">
        <v>30949.38</v>
      </c>
    </row>
    <row r="40" spans="1:10" ht="15.75" thickBot="1" x14ac:dyDescent="0.3">
      <c r="A40" s="171"/>
      <c r="B40" s="171"/>
      <c r="C40" s="171"/>
      <c r="D40" s="171"/>
      <c r="E40" s="171"/>
      <c r="F40" s="171"/>
      <c r="G40" s="171" t="s">
        <v>645</v>
      </c>
      <c r="H40" s="171"/>
      <c r="I40" s="171"/>
      <c r="J40" s="220">
        <v>89027.13</v>
      </c>
    </row>
    <row r="41" spans="1:10" x14ac:dyDescent="0.25">
      <c r="A41" s="171"/>
      <c r="B41" s="171"/>
      <c r="C41" s="171"/>
      <c r="D41" s="171"/>
      <c r="E41" s="171"/>
      <c r="F41" s="171" t="s">
        <v>67</v>
      </c>
      <c r="G41" s="171"/>
      <c r="H41" s="171"/>
      <c r="I41" s="171"/>
      <c r="J41" s="176">
        <f>ROUND(SUM(J33:J40),5)</f>
        <v>1740792.15</v>
      </c>
    </row>
    <row r="42" spans="1:10" x14ac:dyDescent="0.25">
      <c r="A42" s="171"/>
      <c r="B42" s="171"/>
      <c r="C42" s="171"/>
      <c r="D42" s="171"/>
      <c r="E42" s="171"/>
      <c r="F42" s="171" t="s">
        <v>514</v>
      </c>
      <c r="G42" s="171"/>
      <c r="H42" s="171"/>
      <c r="I42" s="171"/>
      <c r="J42" s="176"/>
    </row>
    <row r="43" spans="1:10" x14ac:dyDescent="0.25">
      <c r="A43" s="171"/>
      <c r="B43" s="171"/>
      <c r="C43" s="171"/>
      <c r="D43" s="171"/>
      <c r="E43" s="171"/>
      <c r="F43" s="171"/>
      <c r="G43" s="171" t="s">
        <v>53</v>
      </c>
      <c r="H43" s="171"/>
      <c r="I43" s="171"/>
      <c r="J43" s="8">
        <v>179010</v>
      </c>
    </row>
    <row r="44" spans="1:10" x14ac:dyDescent="0.25">
      <c r="A44" s="171"/>
      <c r="B44" s="171"/>
      <c r="C44" s="171"/>
      <c r="D44" s="171"/>
      <c r="E44" s="171"/>
      <c r="F44" s="171"/>
      <c r="G44" s="171" t="s">
        <v>621</v>
      </c>
      <c r="H44" s="171"/>
      <c r="I44" s="171"/>
      <c r="J44" s="176">
        <v>1250</v>
      </c>
    </row>
    <row r="45" spans="1:10" x14ac:dyDescent="0.25">
      <c r="A45" s="171"/>
      <c r="B45" s="171"/>
      <c r="C45" s="171"/>
      <c r="D45" s="171"/>
      <c r="E45" s="171"/>
      <c r="F45" s="171"/>
      <c r="G45" s="171" t="s">
        <v>654</v>
      </c>
      <c r="H45" s="171"/>
      <c r="I45" s="171"/>
      <c r="J45" s="176"/>
    </row>
    <row r="46" spans="1:10" x14ac:dyDescent="0.25">
      <c r="A46" s="171"/>
      <c r="B46" s="171"/>
      <c r="C46" s="171"/>
      <c r="D46" s="171"/>
      <c r="E46" s="171"/>
      <c r="F46" s="171"/>
      <c r="G46" s="171"/>
      <c r="H46" s="171" t="s">
        <v>655</v>
      </c>
      <c r="I46" s="171"/>
      <c r="J46" s="176">
        <v>21060</v>
      </c>
    </row>
    <row r="47" spans="1:10" ht="15.75" thickBot="1" x14ac:dyDescent="0.3">
      <c r="A47" s="171"/>
      <c r="B47" s="171"/>
      <c r="C47" s="171"/>
      <c r="D47" s="171"/>
      <c r="E47" s="171"/>
      <c r="F47" s="171"/>
      <c r="G47" s="171"/>
      <c r="H47" s="171" t="s">
        <v>656</v>
      </c>
      <c r="I47" s="171"/>
      <c r="J47" s="8">
        <v>1575</v>
      </c>
    </row>
    <row r="48" spans="1:10" ht="15.75" thickBot="1" x14ac:dyDescent="0.3">
      <c r="A48" s="171"/>
      <c r="B48" s="171"/>
      <c r="C48" s="171"/>
      <c r="D48" s="171"/>
      <c r="E48" s="171"/>
      <c r="F48" s="171"/>
      <c r="G48" s="171" t="s">
        <v>657</v>
      </c>
      <c r="H48" s="171"/>
      <c r="I48" s="171"/>
      <c r="J48" s="10">
        <f>ROUND(SUM(J43:J47),5)</f>
        <v>202895</v>
      </c>
    </row>
    <row r="49" spans="1:10" x14ac:dyDescent="0.25">
      <c r="A49" s="171"/>
      <c r="B49" s="171"/>
      <c r="C49" s="171"/>
      <c r="D49" s="171"/>
      <c r="E49" s="171"/>
      <c r="F49" s="171" t="s">
        <v>516</v>
      </c>
      <c r="G49" s="171"/>
      <c r="H49" s="171"/>
      <c r="I49" s="171"/>
      <c r="J49" s="176">
        <f>ROUND(SUM(J42:J44)+J48,5)</f>
        <v>383155</v>
      </c>
    </row>
    <row r="50" spans="1:10" ht="15.75" thickBot="1" x14ac:dyDescent="0.3">
      <c r="A50" s="171"/>
      <c r="B50" s="171"/>
      <c r="C50" s="171"/>
      <c r="D50" s="171"/>
      <c r="E50" s="171"/>
      <c r="F50" s="171"/>
      <c r="G50" s="171"/>
      <c r="H50" s="171"/>
      <c r="I50" s="171"/>
      <c r="J50" s="176"/>
    </row>
    <row r="51" spans="1:10" ht="15.75" thickBot="1" x14ac:dyDescent="0.3">
      <c r="A51" s="171"/>
      <c r="B51" s="171"/>
      <c r="C51" s="171"/>
      <c r="D51" s="171"/>
      <c r="E51" s="171" t="s">
        <v>71</v>
      </c>
      <c r="F51" s="171"/>
      <c r="G51" s="171"/>
      <c r="H51" s="171"/>
      <c r="I51" s="171"/>
      <c r="J51" s="11">
        <f>ROUND(J14+J20+J26+J32+J41+SUM(J49:J50),5)</f>
        <v>11804030.85</v>
      </c>
    </row>
    <row r="52" spans="1:10" ht="15.75" thickBot="1" x14ac:dyDescent="0.3">
      <c r="A52" s="171"/>
      <c r="B52" s="171"/>
      <c r="C52" s="171"/>
      <c r="D52" s="171" t="s">
        <v>72</v>
      </c>
      <c r="E52" s="171"/>
      <c r="F52" s="171"/>
      <c r="G52" s="171"/>
      <c r="H52" s="171"/>
      <c r="I52" s="171"/>
      <c r="J52" s="10">
        <f>ROUND(SUM(J13:J13)+J51,5)</f>
        <v>11804030.85</v>
      </c>
    </row>
    <row r="53" spans="1:10" x14ac:dyDescent="0.25">
      <c r="A53" s="171"/>
      <c r="B53" s="171"/>
      <c r="C53" s="171" t="s">
        <v>73</v>
      </c>
      <c r="D53" s="171"/>
      <c r="E53" s="171"/>
      <c r="F53" s="171"/>
      <c r="G53" s="171"/>
      <c r="H53" s="171"/>
      <c r="I53" s="171"/>
      <c r="J53" s="176">
        <f>ROUND(J12-J52,5)</f>
        <v>8601469.1600000001</v>
      </c>
    </row>
    <row r="54" spans="1:10" x14ac:dyDescent="0.25">
      <c r="A54" s="171"/>
      <c r="B54" s="171"/>
      <c r="C54" s="171"/>
      <c r="D54" s="171" t="s">
        <v>74</v>
      </c>
      <c r="E54" s="171"/>
      <c r="F54" s="171"/>
      <c r="G54" s="171"/>
      <c r="H54" s="171"/>
      <c r="I54" s="171"/>
      <c r="J54" s="176"/>
    </row>
    <row r="55" spans="1:10" x14ac:dyDescent="0.25">
      <c r="A55" s="171"/>
      <c r="B55" s="171"/>
      <c r="C55" s="171"/>
      <c r="D55" s="171"/>
      <c r="E55" s="171" t="s">
        <v>75</v>
      </c>
      <c r="F55" s="171"/>
      <c r="G55" s="171"/>
      <c r="H55" s="171"/>
      <c r="I55" s="171"/>
      <c r="J55" s="176"/>
    </row>
    <row r="56" spans="1:10" x14ac:dyDescent="0.25">
      <c r="A56" s="171"/>
      <c r="B56" s="171"/>
      <c r="C56" s="171"/>
      <c r="D56" s="171"/>
      <c r="E56" s="171"/>
      <c r="F56" s="171" t="s">
        <v>189</v>
      </c>
      <c r="G56" s="171"/>
      <c r="H56" s="171"/>
      <c r="I56" s="171"/>
      <c r="J56" s="176"/>
    </row>
    <row r="57" spans="1:10" x14ac:dyDescent="0.25">
      <c r="A57" s="171"/>
      <c r="B57" s="171"/>
      <c r="C57" s="171"/>
      <c r="D57" s="171"/>
      <c r="E57" s="171"/>
      <c r="F57" s="171"/>
      <c r="G57" s="171" t="s">
        <v>76</v>
      </c>
      <c r="H57" s="171"/>
      <c r="I57" s="171"/>
      <c r="J57" s="176"/>
    </row>
    <row r="58" spans="1:10" x14ac:dyDescent="0.25">
      <c r="A58" s="171"/>
      <c r="B58" s="171"/>
      <c r="C58" s="171"/>
      <c r="D58" s="171"/>
      <c r="E58" s="171"/>
      <c r="F58" s="171"/>
      <c r="G58" s="171"/>
      <c r="H58" s="171" t="s">
        <v>77</v>
      </c>
      <c r="I58" s="171"/>
      <c r="J58" s="176">
        <v>24000</v>
      </c>
    </row>
    <row r="59" spans="1:10" x14ac:dyDescent="0.25">
      <c r="A59" s="171"/>
      <c r="B59" s="171"/>
      <c r="C59" s="171"/>
      <c r="D59" s="171"/>
      <c r="E59" s="171"/>
      <c r="F59" s="171"/>
      <c r="G59" s="171"/>
      <c r="H59" s="171" t="s">
        <v>78</v>
      </c>
      <c r="I59" s="171"/>
      <c r="J59" s="176">
        <v>40591.599999999999</v>
      </c>
    </row>
    <row r="60" spans="1:10" x14ac:dyDescent="0.25">
      <c r="A60" s="171"/>
      <c r="B60" s="171"/>
      <c r="C60" s="171"/>
      <c r="D60" s="171"/>
      <c r="E60" s="171"/>
      <c r="F60" s="171"/>
      <c r="G60" s="171"/>
      <c r="H60" s="171" t="s">
        <v>79</v>
      </c>
      <c r="I60" s="171"/>
      <c r="J60" s="176">
        <v>2450</v>
      </c>
    </row>
    <row r="61" spans="1:10" x14ac:dyDescent="0.25">
      <c r="A61" s="171"/>
      <c r="B61" s="171"/>
      <c r="C61" s="171"/>
      <c r="D61" s="171"/>
      <c r="E61" s="171"/>
      <c r="F61" s="171"/>
      <c r="G61" s="171"/>
      <c r="H61" s="171" t="s">
        <v>80</v>
      </c>
      <c r="I61" s="171"/>
      <c r="J61" s="176">
        <v>1590</v>
      </c>
    </row>
    <row r="62" spans="1:10" x14ac:dyDescent="0.25">
      <c r="A62" s="171"/>
      <c r="B62" s="171"/>
      <c r="C62" s="171"/>
      <c r="D62" s="171"/>
      <c r="E62" s="171"/>
      <c r="F62" s="171"/>
      <c r="G62" s="171"/>
      <c r="H62" s="171" t="s">
        <v>453</v>
      </c>
      <c r="I62" s="171"/>
      <c r="J62" s="176">
        <v>2570.4</v>
      </c>
    </row>
    <row r="63" spans="1:10" x14ac:dyDescent="0.25">
      <c r="A63" s="171"/>
      <c r="B63" s="171"/>
      <c r="C63" s="171"/>
      <c r="D63" s="171"/>
      <c r="E63" s="171"/>
      <c r="F63" s="171"/>
      <c r="G63" s="171"/>
      <c r="H63" s="171" t="s">
        <v>81</v>
      </c>
      <c r="I63" s="171"/>
      <c r="J63" s="176"/>
    </row>
    <row r="64" spans="1:10" ht="15.75" thickBot="1" x14ac:dyDescent="0.3">
      <c r="A64" s="171"/>
      <c r="B64" s="171"/>
      <c r="C64" s="171"/>
      <c r="D64" s="171"/>
      <c r="E64" s="171"/>
      <c r="F64" s="171"/>
      <c r="G64" s="171"/>
      <c r="H64" s="171"/>
      <c r="I64" s="171" t="s">
        <v>82</v>
      </c>
      <c r="J64" s="220">
        <v>16410</v>
      </c>
    </row>
    <row r="65" spans="1:10" x14ac:dyDescent="0.25">
      <c r="A65" s="171"/>
      <c r="B65" s="171"/>
      <c r="C65" s="171"/>
      <c r="D65" s="171"/>
      <c r="E65" s="171"/>
      <c r="F65" s="171"/>
      <c r="G65" s="171"/>
      <c r="H65" s="171" t="s">
        <v>83</v>
      </c>
      <c r="I65" s="171"/>
      <c r="J65" s="176">
        <f>ROUND(SUM(J63:J64),5)</f>
        <v>16410</v>
      </c>
    </row>
    <row r="66" spans="1:10" x14ac:dyDescent="0.25">
      <c r="A66" s="171"/>
      <c r="B66" s="171"/>
      <c r="C66" s="171"/>
      <c r="D66" s="171"/>
      <c r="E66" s="171"/>
      <c r="F66" s="171"/>
      <c r="G66" s="171"/>
      <c r="H66" s="171" t="s">
        <v>190</v>
      </c>
      <c r="I66" s="171"/>
      <c r="J66" s="176">
        <v>92271</v>
      </c>
    </row>
    <row r="67" spans="1:10" x14ac:dyDescent="0.25">
      <c r="A67" s="171"/>
      <c r="B67" s="171"/>
      <c r="C67" s="171"/>
      <c r="D67" s="171"/>
      <c r="E67" s="171"/>
      <c r="F67" s="171"/>
      <c r="G67" s="171"/>
      <c r="H67" s="171" t="s">
        <v>84</v>
      </c>
      <c r="I67" s="171"/>
      <c r="J67" s="176">
        <v>44568</v>
      </c>
    </row>
    <row r="68" spans="1:10" x14ac:dyDescent="0.25">
      <c r="A68" s="171"/>
      <c r="B68" s="171"/>
      <c r="C68" s="171"/>
      <c r="D68" s="171"/>
      <c r="E68" s="171"/>
      <c r="F68" s="171"/>
      <c r="G68" s="171"/>
      <c r="H68" s="171" t="s">
        <v>517</v>
      </c>
      <c r="I68" s="171"/>
      <c r="J68" s="176"/>
    </row>
    <row r="69" spans="1:10" x14ac:dyDescent="0.25">
      <c r="A69" s="171"/>
      <c r="B69" s="171"/>
      <c r="C69" s="171"/>
      <c r="D69" s="171"/>
      <c r="E69" s="171"/>
      <c r="F69" s="171"/>
      <c r="G69" s="171"/>
      <c r="H69" s="171"/>
      <c r="I69" s="171" t="s">
        <v>518</v>
      </c>
      <c r="J69" s="176">
        <v>7101.61</v>
      </c>
    </row>
    <row r="70" spans="1:10" ht="15.75" thickBot="1" x14ac:dyDescent="0.3">
      <c r="A70" s="171"/>
      <c r="B70" s="171"/>
      <c r="C70" s="171"/>
      <c r="D70" s="171"/>
      <c r="E70" s="171"/>
      <c r="F70" s="171"/>
      <c r="G70" s="171"/>
      <c r="H70" s="171"/>
      <c r="I70" s="171" t="s">
        <v>519</v>
      </c>
      <c r="J70" s="8">
        <v>8465.0400000000009</v>
      </c>
    </row>
    <row r="71" spans="1:10" ht="15.75" thickBot="1" x14ac:dyDescent="0.3">
      <c r="A71" s="171"/>
      <c r="B71" s="171"/>
      <c r="C71" s="171"/>
      <c r="D71" s="171"/>
      <c r="E71" s="171"/>
      <c r="F71" s="171"/>
      <c r="G71" s="171"/>
      <c r="H71" s="171" t="s">
        <v>520</v>
      </c>
      <c r="I71" s="171"/>
      <c r="J71" s="10">
        <f>ROUND(SUM(J68:J70),5)</f>
        <v>15566.65</v>
      </c>
    </row>
    <row r="72" spans="1:10" x14ac:dyDescent="0.25">
      <c r="A72" s="171"/>
      <c r="B72" s="171"/>
      <c r="C72" s="171"/>
      <c r="D72" s="171"/>
      <c r="E72" s="171"/>
      <c r="F72" s="171"/>
      <c r="G72" s="171" t="s">
        <v>85</v>
      </c>
      <c r="H72" s="171"/>
      <c r="I72" s="171"/>
      <c r="J72" s="176">
        <f>ROUND(SUM(J57:J62)+SUM(J65:J67)+J71,5)</f>
        <v>240017.65</v>
      </c>
    </row>
    <row r="73" spans="1:10" x14ac:dyDescent="0.25">
      <c r="A73" s="171"/>
      <c r="B73" s="171"/>
      <c r="C73" s="171"/>
      <c r="D73" s="171"/>
      <c r="E73" s="171"/>
      <c r="F73" s="171"/>
      <c r="G73" s="171" t="s">
        <v>86</v>
      </c>
      <c r="H73" s="171"/>
      <c r="I73" s="171"/>
      <c r="J73" s="176"/>
    </row>
    <row r="74" spans="1:10" x14ac:dyDescent="0.25">
      <c r="A74" s="171"/>
      <c r="B74" s="171"/>
      <c r="C74" s="171"/>
      <c r="D74" s="171"/>
      <c r="E74" s="171"/>
      <c r="F74" s="171"/>
      <c r="G74" s="171"/>
      <c r="H74" s="171" t="s">
        <v>87</v>
      </c>
      <c r="I74" s="171"/>
      <c r="J74" s="176">
        <v>346000</v>
      </c>
    </row>
    <row r="75" spans="1:10" x14ac:dyDescent="0.25">
      <c r="A75" s="171"/>
      <c r="B75" s="171"/>
      <c r="C75" s="171"/>
      <c r="D75" s="171"/>
      <c r="E75" s="171"/>
      <c r="F75" s="171"/>
      <c r="G75" s="171"/>
      <c r="H75" s="171" t="s">
        <v>522</v>
      </c>
      <c r="I75" s="171"/>
      <c r="J75" s="176">
        <v>41520</v>
      </c>
    </row>
    <row r="76" spans="1:10" x14ac:dyDescent="0.25">
      <c r="A76" s="171"/>
      <c r="B76" s="171"/>
      <c r="C76" s="171"/>
      <c r="D76" s="171"/>
      <c r="E76" s="171"/>
      <c r="F76" s="171"/>
      <c r="G76" s="171"/>
      <c r="H76" s="171" t="s">
        <v>523</v>
      </c>
      <c r="I76" s="171"/>
      <c r="J76" s="176">
        <v>10380</v>
      </c>
    </row>
    <row r="77" spans="1:10" x14ac:dyDescent="0.25">
      <c r="A77" s="171"/>
      <c r="B77" s="171"/>
      <c r="C77" s="171"/>
      <c r="D77" s="171"/>
      <c r="E77" s="171"/>
      <c r="F77" s="171"/>
      <c r="G77" s="171"/>
      <c r="H77" s="171" t="s">
        <v>524</v>
      </c>
      <c r="I77" s="171"/>
      <c r="J77" s="176">
        <v>73000</v>
      </c>
    </row>
    <row r="78" spans="1:10" x14ac:dyDescent="0.25">
      <c r="A78" s="171"/>
      <c r="B78" s="171"/>
      <c r="C78" s="171"/>
      <c r="D78" s="171"/>
      <c r="E78" s="171"/>
      <c r="F78" s="171"/>
      <c r="G78" s="171"/>
      <c r="H78" s="171" t="s">
        <v>88</v>
      </c>
      <c r="I78" s="171"/>
      <c r="J78" s="176">
        <v>5500</v>
      </c>
    </row>
    <row r="79" spans="1:10" x14ac:dyDescent="0.25">
      <c r="A79" s="171"/>
      <c r="B79" s="171"/>
      <c r="C79" s="171"/>
      <c r="D79" s="171"/>
      <c r="E79" s="171"/>
      <c r="F79" s="171"/>
      <c r="G79" s="171"/>
      <c r="H79" s="171" t="s">
        <v>89</v>
      </c>
      <c r="I79" s="171"/>
      <c r="J79" s="176">
        <v>28000</v>
      </c>
    </row>
    <row r="80" spans="1:10" ht="15.75" thickBot="1" x14ac:dyDescent="0.3">
      <c r="A80" s="171"/>
      <c r="B80" s="171"/>
      <c r="C80" s="171"/>
      <c r="D80" s="171"/>
      <c r="E80" s="171"/>
      <c r="F80" s="171"/>
      <c r="G80" s="171"/>
      <c r="H80" s="171" t="s">
        <v>646</v>
      </c>
      <c r="I80" s="171"/>
      <c r="J80" s="220">
        <v>24200</v>
      </c>
    </row>
    <row r="81" spans="1:10" x14ac:dyDescent="0.25">
      <c r="A81" s="171"/>
      <c r="B81" s="171"/>
      <c r="C81" s="171"/>
      <c r="D81" s="171"/>
      <c r="E81" s="171"/>
      <c r="F81" s="171"/>
      <c r="G81" s="171" t="s">
        <v>91</v>
      </c>
      <c r="H81" s="171"/>
      <c r="I81" s="171"/>
      <c r="J81" s="176">
        <f>ROUND(SUM(J73:J80),5)</f>
        <v>528600</v>
      </c>
    </row>
    <row r="82" spans="1:10" x14ac:dyDescent="0.25">
      <c r="A82" s="171"/>
      <c r="B82" s="171"/>
      <c r="C82" s="171"/>
      <c r="D82" s="171"/>
      <c r="E82" s="171"/>
      <c r="F82" s="171"/>
      <c r="G82" s="171" t="s">
        <v>92</v>
      </c>
      <c r="H82" s="171"/>
      <c r="I82" s="171"/>
      <c r="J82" s="176"/>
    </row>
    <row r="83" spans="1:10" x14ac:dyDescent="0.25">
      <c r="A83" s="171"/>
      <c r="B83" s="171"/>
      <c r="C83" s="171"/>
      <c r="D83" s="171"/>
      <c r="E83" s="171"/>
      <c r="F83" s="171"/>
      <c r="G83" s="171"/>
      <c r="H83" s="171" t="s">
        <v>93</v>
      </c>
      <c r="I83" s="171"/>
      <c r="J83" s="176">
        <v>440.74</v>
      </c>
    </row>
    <row r="84" spans="1:10" x14ac:dyDescent="0.25">
      <c r="A84" s="171"/>
      <c r="B84" s="171"/>
      <c r="C84" s="171"/>
      <c r="D84" s="171"/>
      <c r="E84" s="171"/>
      <c r="F84" s="171"/>
      <c r="G84" s="171"/>
      <c r="H84" s="171" t="s">
        <v>525</v>
      </c>
      <c r="I84" s="171"/>
      <c r="J84" s="176">
        <v>6700.27</v>
      </c>
    </row>
    <row r="85" spans="1:10" x14ac:dyDescent="0.25">
      <c r="A85" s="171"/>
      <c r="B85" s="171"/>
      <c r="C85" s="171"/>
      <c r="D85" s="171"/>
      <c r="E85" s="171"/>
      <c r="F85" s="171"/>
      <c r="G85" s="171"/>
      <c r="H85" s="171" t="s">
        <v>94</v>
      </c>
      <c r="I85" s="171"/>
      <c r="J85" s="176">
        <v>10475.75</v>
      </c>
    </row>
    <row r="86" spans="1:10" x14ac:dyDescent="0.25">
      <c r="A86" s="171"/>
      <c r="B86" s="171"/>
      <c r="C86" s="171"/>
      <c r="D86" s="171"/>
      <c r="E86" s="171"/>
      <c r="F86" s="171"/>
      <c r="G86" s="171"/>
      <c r="H86" s="171" t="s">
        <v>95</v>
      </c>
      <c r="I86" s="171"/>
      <c r="J86" s="176">
        <v>12730.43</v>
      </c>
    </row>
    <row r="87" spans="1:10" ht="15.75" thickBot="1" x14ac:dyDescent="0.3">
      <c r="A87" s="171"/>
      <c r="B87" s="171"/>
      <c r="C87" s="171"/>
      <c r="D87" s="171"/>
      <c r="E87" s="171"/>
      <c r="F87" s="171"/>
      <c r="G87" s="171"/>
      <c r="H87" s="171" t="s">
        <v>526</v>
      </c>
      <c r="I87" s="171"/>
      <c r="J87" s="220">
        <v>43301.88</v>
      </c>
    </row>
    <row r="88" spans="1:10" x14ac:dyDescent="0.25">
      <c r="A88" s="171"/>
      <c r="B88" s="171"/>
      <c r="C88" s="171"/>
      <c r="D88" s="171"/>
      <c r="E88" s="171"/>
      <c r="F88" s="171"/>
      <c r="G88" s="171" t="s">
        <v>96</v>
      </c>
      <c r="H88" s="171"/>
      <c r="I88" s="171"/>
      <c r="J88" s="176">
        <f>ROUND(SUM(J82:J87),5)</f>
        <v>73649.070000000007</v>
      </c>
    </row>
    <row r="89" spans="1:10" x14ac:dyDescent="0.25">
      <c r="A89" s="171"/>
      <c r="B89" s="171"/>
      <c r="C89" s="171"/>
      <c r="D89" s="171"/>
      <c r="E89" s="171"/>
      <c r="F89" s="171"/>
      <c r="G89" s="171" t="s">
        <v>97</v>
      </c>
      <c r="H89" s="171"/>
      <c r="I89" s="171"/>
      <c r="J89" s="176"/>
    </row>
    <row r="90" spans="1:10" x14ac:dyDescent="0.25">
      <c r="A90" s="171"/>
      <c r="B90" s="171"/>
      <c r="C90" s="171"/>
      <c r="D90" s="171"/>
      <c r="E90" s="171"/>
      <c r="F90" s="171"/>
      <c r="G90" s="171"/>
      <c r="H90" s="171" t="s">
        <v>98</v>
      </c>
      <c r="I90" s="171"/>
      <c r="J90" s="176">
        <v>8505</v>
      </c>
    </row>
    <row r="91" spans="1:10" ht="15.75" thickBot="1" x14ac:dyDescent="0.3">
      <c r="A91" s="171"/>
      <c r="B91" s="171"/>
      <c r="C91" s="171"/>
      <c r="D91" s="171"/>
      <c r="E91" s="171"/>
      <c r="F91" s="171"/>
      <c r="G91" s="171"/>
      <c r="H91" s="171" t="s">
        <v>527</v>
      </c>
      <c r="I91" s="171"/>
      <c r="J91" s="220">
        <v>8000</v>
      </c>
    </row>
    <row r="92" spans="1:10" x14ac:dyDescent="0.25">
      <c r="A92" s="171"/>
      <c r="B92" s="171"/>
      <c r="C92" s="171"/>
      <c r="D92" s="171"/>
      <c r="E92" s="171"/>
      <c r="F92" s="171"/>
      <c r="G92" s="171" t="s">
        <v>102</v>
      </c>
      <c r="H92" s="171"/>
      <c r="I92" s="171"/>
      <c r="J92" s="176">
        <f>ROUND(SUM(J89:J91),5)</f>
        <v>16505</v>
      </c>
    </row>
    <row r="93" spans="1:10" x14ac:dyDescent="0.25">
      <c r="A93" s="171"/>
      <c r="B93" s="171"/>
      <c r="C93" s="171"/>
      <c r="D93" s="171"/>
      <c r="E93" s="171"/>
      <c r="F93" s="171"/>
      <c r="G93" s="171" t="s">
        <v>103</v>
      </c>
      <c r="H93" s="171"/>
      <c r="I93" s="171"/>
      <c r="J93" s="176"/>
    </row>
    <row r="94" spans="1:10" x14ac:dyDescent="0.25">
      <c r="A94" s="171"/>
      <c r="B94" s="171"/>
      <c r="C94" s="171"/>
      <c r="D94" s="171"/>
      <c r="E94" s="171"/>
      <c r="F94" s="171"/>
      <c r="G94" s="171"/>
      <c r="H94" s="171" t="s">
        <v>104</v>
      </c>
      <c r="I94" s="171"/>
      <c r="J94" s="176">
        <v>25356</v>
      </c>
    </row>
    <row r="95" spans="1:10" x14ac:dyDescent="0.25">
      <c r="A95" s="171"/>
      <c r="B95" s="171"/>
      <c r="C95" s="171"/>
      <c r="D95" s="171"/>
      <c r="E95" s="171"/>
      <c r="F95" s="171"/>
      <c r="G95" s="171"/>
      <c r="H95" s="171" t="s">
        <v>105</v>
      </c>
      <c r="I95" s="171"/>
      <c r="J95" s="176">
        <v>18440</v>
      </c>
    </row>
    <row r="96" spans="1:10" x14ac:dyDescent="0.25">
      <c r="A96" s="171"/>
      <c r="B96" s="171"/>
      <c r="C96" s="171"/>
      <c r="D96" s="171"/>
      <c r="E96" s="171"/>
      <c r="F96" s="171"/>
      <c r="G96" s="171"/>
      <c r="H96" s="171" t="s">
        <v>106</v>
      </c>
      <c r="I96" s="171"/>
      <c r="J96" s="176">
        <v>843</v>
      </c>
    </row>
    <row r="97" spans="1:10" x14ac:dyDescent="0.25">
      <c r="A97" s="171"/>
      <c r="B97" s="171"/>
      <c r="C97" s="171"/>
      <c r="D97" s="171"/>
      <c r="E97" s="171"/>
      <c r="F97" s="171"/>
      <c r="G97" s="171"/>
      <c r="H97" s="171" t="s">
        <v>455</v>
      </c>
      <c r="I97" s="171"/>
      <c r="J97" s="176">
        <v>87210</v>
      </c>
    </row>
    <row r="98" spans="1:10" x14ac:dyDescent="0.25">
      <c r="A98" s="171"/>
      <c r="B98" s="171"/>
      <c r="C98" s="171"/>
      <c r="D98" s="171"/>
      <c r="E98" s="171"/>
      <c r="F98" s="171"/>
      <c r="G98" s="171"/>
      <c r="H98" s="171" t="s">
        <v>107</v>
      </c>
      <c r="I98" s="171"/>
      <c r="J98" s="176">
        <v>2190</v>
      </c>
    </row>
    <row r="99" spans="1:10" x14ac:dyDescent="0.25">
      <c r="A99" s="171"/>
      <c r="B99" s="171"/>
      <c r="C99" s="171"/>
      <c r="D99" s="171"/>
      <c r="E99" s="171"/>
      <c r="F99" s="171"/>
      <c r="G99" s="171"/>
      <c r="H99" s="171" t="s">
        <v>528</v>
      </c>
      <c r="I99" s="171"/>
      <c r="J99" s="176">
        <v>136850.54</v>
      </c>
    </row>
    <row r="100" spans="1:10" x14ac:dyDescent="0.25">
      <c r="A100" s="171"/>
      <c r="B100" s="171"/>
      <c r="C100" s="171"/>
      <c r="D100" s="171"/>
      <c r="E100" s="171"/>
      <c r="F100" s="171"/>
      <c r="G100" s="171"/>
      <c r="H100" s="171" t="s">
        <v>529</v>
      </c>
      <c r="I100" s="171"/>
      <c r="J100" s="176">
        <v>134366.23000000001</v>
      </c>
    </row>
    <row r="101" spans="1:10" x14ac:dyDescent="0.25">
      <c r="A101" s="171"/>
      <c r="B101" s="171"/>
      <c r="C101" s="171"/>
      <c r="D101" s="171"/>
      <c r="E101" s="171"/>
      <c r="F101" s="171"/>
      <c r="G101" s="171"/>
      <c r="H101" s="171" t="s">
        <v>530</v>
      </c>
      <c r="I101" s="171"/>
      <c r="J101" s="176">
        <v>85420.41</v>
      </c>
    </row>
    <row r="102" spans="1:10" ht="15.75" thickBot="1" x14ac:dyDescent="0.3">
      <c r="A102" s="171"/>
      <c r="B102" s="171"/>
      <c r="C102" s="171"/>
      <c r="D102" s="171"/>
      <c r="E102" s="171"/>
      <c r="F102" s="171"/>
      <c r="G102" s="171"/>
      <c r="H102" s="171" t="s">
        <v>475</v>
      </c>
      <c r="I102" s="171"/>
      <c r="J102" s="220">
        <v>3125</v>
      </c>
    </row>
    <row r="103" spans="1:10" x14ac:dyDescent="0.25">
      <c r="A103" s="171"/>
      <c r="B103" s="171"/>
      <c r="C103" s="171"/>
      <c r="D103" s="171"/>
      <c r="E103" s="171"/>
      <c r="F103" s="171"/>
      <c r="G103" s="171" t="s">
        <v>108</v>
      </c>
      <c r="H103" s="171"/>
      <c r="I103" s="171"/>
      <c r="J103" s="176">
        <f>ROUND(SUM(J93:J102),5)</f>
        <v>493801.18</v>
      </c>
    </row>
    <row r="104" spans="1:10" x14ac:dyDescent="0.25">
      <c r="A104" s="171"/>
      <c r="B104" s="171"/>
      <c r="C104" s="171"/>
      <c r="D104" s="171"/>
      <c r="E104" s="171"/>
      <c r="F104" s="171"/>
      <c r="G104" s="171" t="s">
        <v>456</v>
      </c>
      <c r="H104" s="171"/>
      <c r="I104" s="171"/>
      <c r="J104" s="176"/>
    </row>
    <row r="105" spans="1:10" x14ac:dyDescent="0.25">
      <c r="A105" s="171"/>
      <c r="B105" s="171"/>
      <c r="C105" s="171"/>
      <c r="D105" s="171"/>
      <c r="E105" s="171"/>
      <c r="F105" s="171"/>
      <c r="G105" s="171"/>
      <c r="H105" s="171" t="s">
        <v>531</v>
      </c>
      <c r="I105" s="171"/>
      <c r="J105" s="176">
        <v>189349.86</v>
      </c>
    </row>
    <row r="106" spans="1:10" ht="15.75" thickBot="1" x14ac:dyDescent="0.3">
      <c r="A106" s="171"/>
      <c r="B106" s="171"/>
      <c r="C106" s="171"/>
      <c r="D106" s="171"/>
      <c r="E106" s="171"/>
      <c r="F106" s="171"/>
      <c r="G106" s="171"/>
      <c r="H106" s="171" t="s">
        <v>476</v>
      </c>
      <c r="I106" s="171"/>
      <c r="J106" s="8">
        <v>6867.81</v>
      </c>
    </row>
    <row r="107" spans="1:10" ht="15.75" thickBot="1" x14ac:dyDescent="0.3">
      <c r="A107" s="171"/>
      <c r="B107" s="171"/>
      <c r="C107" s="171"/>
      <c r="D107" s="171"/>
      <c r="E107" s="171"/>
      <c r="F107" s="171"/>
      <c r="G107" s="171" t="s">
        <v>458</v>
      </c>
      <c r="H107" s="171"/>
      <c r="I107" s="171"/>
      <c r="J107" s="10">
        <f>ROUND(SUM(J104:J106),5)</f>
        <v>196217.67</v>
      </c>
    </row>
    <row r="108" spans="1:10" x14ac:dyDescent="0.25">
      <c r="A108" s="171"/>
      <c r="B108" s="171"/>
      <c r="C108" s="171"/>
      <c r="D108" s="171"/>
      <c r="E108" s="171"/>
      <c r="F108" s="171" t="s">
        <v>191</v>
      </c>
      <c r="G108" s="171"/>
      <c r="H108" s="171"/>
      <c r="I108" s="171"/>
      <c r="J108" s="176">
        <f>ROUND(J56+J72+J81+J88+J92+J103+J107,5)</f>
        <v>1548790.57</v>
      </c>
    </row>
    <row r="109" spans="1:10" x14ac:dyDescent="0.25">
      <c r="A109" s="171"/>
      <c r="B109" s="171"/>
      <c r="C109" s="171"/>
      <c r="D109" s="171"/>
      <c r="E109" s="171"/>
      <c r="F109" s="171" t="s">
        <v>109</v>
      </c>
      <c r="G109" s="171"/>
      <c r="H109" s="171"/>
      <c r="I109" s="171"/>
      <c r="J109" s="176"/>
    </row>
    <row r="110" spans="1:10" x14ac:dyDescent="0.25">
      <c r="A110" s="171"/>
      <c r="B110" s="171"/>
      <c r="C110" s="171"/>
      <c r="D110" s="171"/>
      <c r="E110" s="171"/>
      <c r="F110" s="171"/>
      <c r="G110" s="171" t="s">
        <v>110</v>
      </c>
      <c r="H110" s="171"/>
      <c r="I110" s="171"/>
      <c r="J110" s="176"/>
    </row>
    <row r="111" spans="1:10" x14ac:dyDescent="0.25">
      <c r="A111" s="171"/>
      <c r="B111" s="171"/>
      <c r="C111" s="171"/>
      <c r="D111" s="171"/>
      <c r="E111" s="171"/>
      <c r="F111" s="171"/>
      <c r="G111" s="171"/>
      <c r="H111" s="171" t="s">
        <v>111</v>
      </c>
      <c r="I111" s="171"/>
      <c r="J111" s="176">
        <v>40940</v>
      </c>
    </row>
    <row r="112" spans="1:10" x14ac:dyDescent="0.25">
      <c r="A112" s="171"/>
      <c r="B112" s="171"/>
      <c r="C112" s="171"/>
      <c r="D112" s="171"/>
      <c r="E112" s="171"/>
      <c r="F112" s="171"/>
      <c r="G112" s="171"/>
      <c r="H112" s="171" t="s">
        <v>112</v>
      </c>
      <c r="I112" s="171"/>
      <c r="J112" s="176">
        <v>93290.6</v>
      </c>
    </row>
    <row r="113" spans="1:10" x14ac:dyDescent="0.25">
      <c r="A113" s="171"/>
      <c r="B113" s="171"/>
      <c r="C113" s="171"/>
      <c r="D113" s="171"/>
      <c r="E113" s="171"/>
      <c r="F113" s="171"/>
      <c r="G113" s="171"/>
      <c r="H113" s="171" t="s">
        <v>113</v>
      </c>
      <c r="I113" s="171"/>
      <c r="J113" s="176">
        <v>2429</v>
      </c>
    </row>
    <row r="114" spans="1:10" x14ac:dyDescent="0.25">
      <c r="A114" s="171"/>
      <c r="B114" s="171"/>
      <c r="C114" s="171"/>
      <c r="D114" s="171"/>
      <c r="E114" s="171"/>
      <c r="F114" s="171"/>
      <c r="G114" s="171"/>
      <c r="H114" s="171" t="s">
        <v>532</v>
      </c>
      <c r="I114" s="171"/>
      <c r="J114" s="176">
        <v>39942</v>
      </c>
    </row>
    <row r="115" spans="1:10" x14ac:dyDescent="0.25">
      <c r="A115" s="171"/>
      <c r="B115" s="171"/>
      <c r="C115" s="171"/>
      <c r="D115" s="171"/>
      <c r="E115" s="171"/>
      <c r="F115" s="171"/>
      <c r="G115" s="171"/>
      <c r="H115" s="171" t="s">
        <v>114</v>
      </c>
      <c r="I115" s="171"/>
      <c r="J115" s="176">
        <v>6272.77</v>
      </c>
    </row>
    <row r="116" spans="1:10" x14ac:dyDescent="0.25">
      <c r="A116" s="171"/>
      <c r="B116" s="171"/>
      <c r="C116" s="171"/>
      <c r="D116" s="171"/>
      <c r="E116" s="171"/>
      <c r="F116" s="171"/>
      <c r="G116" s="171"/>
      <c r="H116" s="171" t="s">
        <v>459</v>
      </c>
      <c r="I116" s="171"/>
      <c r="J116" s="176">
        <v>9639</v>
      </c>
    </row>
    <row r="117" spans="1:10" x14ac:dyDescent="0.25">
      <c r="A117" s="171"/>
      <c r="B117" s="171"/>
      <c r="C117" s="171"/>
      <c r="D117" s="171"/>
      <c r="E117" s="171"/>
      <c r="F117" s="171"/>
      <c r="G117" s="171"/>
      <c r="H117" s="171" t="s">
        <v>533</v>
      </c>
      <c r="I117" s="171"/>
      <c r="J117" s="176">
        <v>460.79</v>
      </c>
    </row>
    <row r="118" spans="1:10" x14ac:dyDescent="0.25">
      <c r="A118" s="171"/>
      <c r="B118" s="171"/>
      <c r="C118" s="171"/>
      <c r="D118" s="171"/>
      <c r="E118" s="171"/>
      <c r="F118" s="171"/>
      <c r="G118" s="171"/>
      <c r="H118" s="171" t="s">
        <v>115</v>
      </c>
      <c r="I118" s="171"/>
      <c r="J118" s="176">
        <v>18520</v>
      </c>
    </row>
    <row r="119" spans="1:10" ht="15.75" thickBot="1" x14ac:dyDescent="0.3">
      <c r="A119" s="171"/>
      <c r="B119" s="171"/>
      <c r="C119" s="171"/>
      <c r="D119" s="171"/>
      <c r="E119" s="171"/>
      <c r="F119" s="171"/>
      <c r="G119" s="171"/>
      <c r="H119" s="171" t="s">
        <v>535</v>
      </c>
      <c r="I119" s="171"/>
      <c r="J119" s="220">
        <v>14300</v>
      </c>
    </row>
    <row r="120" spans="1:10" x14ac:dyDescent="0.25">
      <c r="A120" s="171"/>
      <c r="B120" s="171"/>
      <c r="C120" s="171"/>
      <c r="D120" s="171"/>
      <c r="E120" s="171"/>
      <c r="F120" s="171"/>
      <c r="G120" s="171" t="s">
        <v>116</v>
      </c>
      <c r="H120" s="171"/>
      <c r="I120" s="171"/>
      <c r="J120" s="176">
        <f>ROUND(SUM(J110:J119),5)</f>
        <v>225794.16</v>
      </c>
    </row>
    <row r="121" spans="1:10" x14ac:dyDescent="0.25">
      <c r="A121" s="171"/>
      <c r="B121" s="171"/>
      <c r="C121" s="171"/>
      <c r="D121" s="171"/>
      <c r="E121" s="171"/>
      <c r="F121" s="171"/>
      <c r="G121" s="171" t="s">
        <v>117</v>
      </c>
      <c r="H121" s="171"/>
      <c r="I121" s="171"/>
      <c r="J121" s="176"/>
    </row>
    <row r="122" spans="1:10" x14ac:dyDescent="0.25">
      <c r="A122" s="171"/>
      <c r="B122" s="171"/>
      <c r="C122" s="171"/>
      <c r="D122" s="171"/>
      <c r="E122" s="171"/>
      <c r="F122" s="171"/>
      <c r="G122" s="171"/>
      <c r="H122" s="171" t="s">
        <v>118</v>
      </c>
      <c r="I122" s="171"/>
      <c r="J122" s="176">
        <v>75000</v>
      </c>
    </row>
    <row r="123" spans="1:10" x14ac:dyDescent="0.25">
      <c r="A123" s="171"/>
      <c r="B123" s="171"/>
      <c r="C123" s="171"/>
      <c r="D123" s="171"/>
      <c r="E123" s="171"/>
      <c r="F123" s="171"/>
      <c r="G123" s="171"/>
      <c r="H123" s="171" t="s">
        <v>536</v>
      </c>
      <c r="I123" s="171"/>
      <c r="J123" s="176">
        <v>9000</v>
      </c>
    </row>
    <row r="124" spans="1:10" x14ac:dyDescent="0.25">
      <c r="A124" s="171"/>
      <c r="B124" s="171"/>
      <c r="C124" s="171"/>
      <c r="D124" s="171"/>
      <c r="E124" s="171"/>
      <c r="F124" s="171"/>
      <c r="G124" s="171"/>
      <c r="H124" s="171" t="s">
        <v>537</v>
      </c>
      <c r="I124" s="171"/>
      <c r="J124" s="176">
        <v>2250</v>
      </c>
    </row>
    <row r="125" spans="1:10" x14ac:dyDescent="0.25">
      <c r="A125" s="171"/>
      <c r="B125" s="171"/>
      <c r="C125" s="171"/>
      <c r="D125" s="171"/>
      <c r="E125" s="171"/>
      <c r="F125" s="171"/>
      <c r="G125" s="171"/>
      <c r="H125" s="171" t="s">
        <v>119</v>
      </c>
      <c r="I125" s="171"/>
      <c r="J125" s="176">
        <v>35000</v>
      </c>
    </row>
    <row r="126" spans="1:10" ht="15.75" thickBot="1" x14ac:dyDescent="0.3">
      <c r="A126" s="171"/>
      <c r="B126" s="171"/>
      <c r="C126" s="171"/>
      <c r="D126" s="171"/>
      <c r="E126" s="171"/>
      <c r="F126" s="171"/>
      <c r="G126" s="171"/>
      <c r="H126" s="171" t="s">
        <v>647</v>
      </c>
      <c r="I126" s="171"/>
      <c r="J126" s="220">
        <v>3208.33</v>
      </c>
    </row>
    <row r="127" spans="1:10" x14ac:dyDescent="0.25">
      <c r="A127" s="171"/>
      <c r="B127" s="171"/>
      <c r="C127" s="171"/>
      <c r="D127" s="171"/>
      <c r="E127" s="171"/>
      <c r="F127" s="171"/>
      <c r="G127" s="171" t="s">
        <v>120</v>
      </c>
      <c r="H127" s="171"/>
      <c r="I127" s="171"/>
      <c r="J127" s="176">
        <f>ROUND(SUM(J121:J126),5)</f>
        <v>124458.33</v>
      </c>
    </row>
    <row r="128" spans="1:10" x14ac:dyDescent="0.25">
      <c r="A128" s="171"/>
      <c r="B128" s="171"/>
      <c r="C128" s="171"/>
      <c r="D128" s="171"/>
      <c r="E128" s="171"/>
      <c r="F128" s="171"/>
      <c r="G128" s="171" t="s">
        <v>121</v>
      </c>
      <c r="H128" s="171"/>
      <c r="I128" s="171"/>
      <c r="J128" s="176"/>
    </row>
    <row r="129" spans="1:10" x14ac:dyDescent="0.25">
      <c r="A129" s="171"/>
      <c r="B129" s="171"/>
      <c r="C129" s="171"/>
      <c r="D129" s="171"/>
      <c r="E129" s="171"/>
      <c r="F129" s="171"/>
      <c r="G129" s="171"/>
      <c r="H129" s="171" t="s">
        <v>538</v>
      </c>
      <c r="I129" s="171"/>
      <c r="J129" s="176">
        <v>18283.93</v>
      </c>
    </row>
    <row r="130" spans="1:10" x14ac:dyDescent="0.25">
      <c r="A130" s="171"/>
      <c r="B130" s="171"/>
      <c r="C130" s="171"/>
      <c r="D130" s="171"/>
      <c r="E130" s="171"/>
      <c r="F130" s="171"/>
      <c r="G130" s="171"/>
      <c r="H130" s="171" t="s">
        <v>539</v>
      </c>
      <c r="I130" s="171"/>
      <c r="J130" s="176">
        <v>10703.49</v>
      </c>
    </row>
    <row r="131" spans="1:10" x14ac:dyDescent="0.25">
      <c r="A131" s="171"/>
      <c r="B131" s="171"/>
      <c r="C131" s="171"/>
      <c r="D131" s="171"/>
      <c r="E131" s="171"/>
      <c r="F131" s="171"/>
      <c r="G131" s="171"/>
      <c r="H131" s="171" t="s">
        <v>460</v>
      </c>
      <c r="I131" s="171"/>
      <c r="J131" s="176">
        <v>3433.89</v>
      </c>
    </row>
    <row r="132" spans="1:10" ht="15.75" thickBot="1" x14ac:dyDescent="0.3">
      <c r="A132" s="171"/>
      <c r="B132" s="171"/>
      <c r="C132" s="171"/>
      <c r="D132" s="171"/>
      <c r="E132" s="171"/>
      <c r="F132" s="171"/>
      <c r="G132" s="171"/>
      <c r="H132" s="171" t="s">
        <v>461</v>
      </c>
      <c r="I132" s="171"/>
      <c r="J132" s="220">
        <v>5500.01</v>
      </c>
    </row>
    <row r="133" spans="1:10" x14ac:dyDescent="0.25">
      <c r="A133" s="171"/>
      <c r="B133" s="171"/>
      <c r="C133" s="171"/>
      <c r="D133" s="171"/>
      <c r="E133" s="171"/>
      <c r="F133" s="171"/>
      <c r="G133" s="171" t="s">
        <v>122</v>
      </c>
      <c r="H133" s="171"/>
      <c r="I133" s="171"/>
      <c r="J133" s="176">
        <f>ROUND(SUM(J128:J132),5)</f>
        <v>37921.32</v>
      </c>
    </row>
    <row r="134" spans="1:10" x14ac:dyDescent="0.25">
      <c r="A134" s="171"/>
      <c r="B134" s="171"/>
      <c r="C134" s="171"/>
      <c r="D134" s="171"/>
      <c r="E134" s="171"/>
      <c r="F134" s="171"/>
      <c r="G134" s="171" t="s">
        <v>123</v>
      </c>
      <c r="H134" s="171"/>
      <c r="I134" s="171"/>
      <c r="J134" s="176"/>
    </row>
    <row r="135" spans="1:10" x14ac:dyDescent="0.25">
      <c r="A135" s="171"/>
      <c r="B135" s="171"/>
      <c r="C135" s="171"/>
      <c r="D135" s="171"/>
      <c r="E135" s="171"/>
      <c r="F135" s="171"/>
      <c r="G135" s="171"/>
      <c r="H135" s="171" t="s">
        <v>540</v>
      </c>
      <c r="I135" s="171"/>
      <c r="J135" s="176">
        <v>2610</v>
      </c>
    </row>
    <row r="136" spans="1:10" x14ac:dyDescent="0.25">
      <c r="A136" s="171"/>
      <c r="B136" s="171"/>
      <c r="C136" s="171"/>
      <c r="D136" s="171"/>
      <c r="E136" s="171"/>
      <c r="F136" s="171"/>
      <c r="G136" s="171"/>
      <c r="H136" s="171" t="s">
        <v>462</v>
      </c>
      <c r="I136" s="171"/>
      <c r="J136" s="176">
        <v>4600</v>
      </c>
    </row>
    <row r="137" spans="1:10" x14ac:dyDescent="0.25">
      <c r="A137" s="171"/>
      <c r="B137" s="171"/>
      <c r="C137" s="171"/>
      <c r="D137" s="171"/>
      <c r="E137" s="171"/>
      <c r="F137" s="171"/>
      <c r="G137" s="171"/>
      <c r="H137" s="171" t="s">
        <v>463</v>
      </c>
      <c r="I137" s="171"/>
      <c r="J137" s="176">
        <v>3727.69</v>
      </c>
    </row>
    <row r="138" spans="1:10" x14ac:dyDescent="0.25">
      <c r="A138" s="171"/>
      <c r="B138" s="171"/>
      <c r="C138" s="171"/>
      <c r="D138" s="171"/>
      <c r="E138" s="171"/>
      <c r="F138" s="171"/>
      <c r="G138" s="171" t="s">
        <v>125</v>
      </c>
      <c r="H138" s="171"/>
      <c r="I138" s="171"/>
      <c r="J138" s="176">
        <f>ROUND(SUM(J134:J137),5)</f>
        <v>10937.69</v>
      </c>
    </row>
    <row r="139" spans="1:10" x14ac:dyDescent="0.25">
      <c r="A139" s="171"/>
      <c r="B139" s="171"/>
      <c r="C139" s="171"/>
      <c r="D139" s="171"/>
      <c r="E139" s="171"/>
      <c r="F139" s="171"/>
      <c r="G139" s="171" t="s">
        <v>126</v>
      </c>
      <c r="H139" s="171"/>
      <c r="I139" s="171"/>
      <c r="J139" s="176"/>
    </row>
    <row r="140" spans="1:10" x14ac:dyDescent="0.25">
      <c r="A140" s="171"/>
      <c r="B140" s="171"/>
      <c r="C140" s="171"/>
      <c r="D140" s="171"/>
      <c r="E140" s="171"/>
      <c r="F140" s="171"/>
      <c r="G140" s="171"/>
      <c r="H140" s="171" t="s">
        <v>127</v>
      </c>
      <c r="I140" s="171"/>
      <c r="J140" s="176">
        <v>4080</v>
      </c>
    </row>
    <row r="141" spans="1:10" x14ac:dyDescent="0.25">
      <c r="A141" s="171"/>
      <c r="B141" s="171"/>
      <c r="C141" s="171"/>
      <c r="D141" s="171"/>
      <c r="E141" s="171"/>
      <c r="F141" s="171"/>
      <c r="G141" s="171"/>
      <c r="H141" s="171" t="s">
        <v>128</v>
      </c>
      <c r="I141" s="171"/>
      <c r="J141" s="176">
        <v>22388</v>
      </c>
    </row>
    <row r="142" spans="1:10" x14ac:dyDescent="0.25">
      <c r="A142" s="171"/>
      <c r="B142" s="171"/>
      <c r="C142" s="171"/>
      <c r="D142" s="171"/>
      <c r="E142" s="171"/>
      <c r="F142" s="171"/>
      <c r="G142" s="171"/>
      <c r="H142" s="171" t="s">
        <v>129</v>
      </c>
      <c r="I142" s="171"/>
      <c r="J142" s="176">
        <v>10387</v>
      </c>
    </row>
    <row r="143" spans="1:10" x14ac:dyDescent="0.25">
      <c r="A143" s="171"/>
      <c r="B143" s="171"/>
      <c r="C143" s="171"/>
      <c r="D143" s="171"/>
      <c r="E143" s="171"/>
      <c r="F143" s="171"/>
      <c r="G143" s="171"/>
      <c r="H143" s="171" t="s">
        <v>541</v>
      </c>
      <c r="I143" s="171"/>
      <c r="J143" s="176">
        <v>4000</v>
      </c>
    </row>
    <row r="144" spans="1:10" x14ac:dyDescent="0.25">
      <c r="A144" s="171"/>
      <c r="B144" s="171"/>
      <c r="C144" s="171"/>
      <c r="D144" s="171"/>
      <c r="E144" s="171"/>
      <c r="F144" s="171"/>
      <c r="G144" s="171"/>
      <c r="H144" s="171" t="s">
        <v>542</v>
      </c>
      <c r="I144" s="171"/>
      <c r="J144" s="176">
        <v>46831.96</v>
      </c>
    </row>
    <row r="145" spans="1:15" ht="15.75" thickBot="1" x14ac:dyDescent="0.3">
      <c r="A145" s="171"/>
      <c r="B145" s="171"/>
      <c r="C145" s="171"/>
      <c r="D145" s="171"/>
      <c r="E145" s="171"/>
      <c r="F145" s="171"/>
      <c r="G145" s="171"/>
      <c r="H145" s="171" t="s">
        <v>543</v>
      </c>
      <c r="I145" s="171"/>
      <c r="J145" s="8">
        <v>53882.96</v>
      </c>
    </row>
    <row r="146" spans="1:15" ht="15.75" thickBot="1" x14ac:dyDescent="0.3">
      <c r="A146" s="171"/>
      <c r="B146" s="171"/>
      <c r="C146" s="171"/>
      <c r="D146" s="171"/>
      <c r="E146" s="171"/>
      <c r="F146" s="171"/>
      <c r="G146" s="171" t="s">
        <v>130</v>
      </c>
      <c r="H146" s="171"/>
      <c r="I146" s="171"/>
      <c r="J146" s="10">
        <f>ROUND(SUM(J139:J145),5)</f>
        <v>141569.92000000001</v>
      </c>
      <c r="L146" s="104"/>
      <c r="N146" s="158"/>
      <c r="O146" s="158"/>
    </row>
    <row r="147" spans="1:15" x14ac:dyDescent="0.25">
      <c r="A147" s="171"/>
      <c r="B147" s="171"/>
      <c r="C147" s="171"/>
      <c r="D147" s="171"/>
      <c r="E147" s="171"/>
      <c r="F147" s="171" t="s">
        <v>134</v>
      </c>
      <c r="G147" s="171"/>
      <c r="H147" s="171"/>
      <c r="I147" s="171"/>
      <c r="J147" s="176">
        <f>ROUND(J109+J120+J127+J133+J138+J146,5)</f>
        <v>540681.42000000004</v>
      </c>
      <c r="L147" s="158"/>
      <c r="M147" s="205"/>
    </row>
    <row r="148" spans="1:15" x14ac:dyDescent="0.25">
      <c r="A148" s="171"/>
      <c r="B148" s="171"/>
      <c r="C148" s="171"/>
      <c r="D148" s="171"/>
      <c r="E148" s="171"/>
      <c r="F148" s="171" t="s">
        <v>135</v>
      </c>
      <c r="G148" s="171"/>
      <c r="H148" s="171"/>
      <c r="I148" s="171"/>
      <c r="J148" s="176"/>
    </row>
    <row r="149" spans="1:15" x14ac:dyDescent="0.25">
      <c r="A149" s="171"/>
      <c r="B149" s="171"/>
      <c r="C149" s="171"/>
      <c r="D149" s="171"/>
      <c r="E149" s="171"/>
      <c r="F149" s="171"/>
      <c r="G149" s="171" t="s">
        <v>192</v>
      </c>
      <c r="H149" s="171"/>
      <c r="I149" s="171"/>
      <c r="J149" s="176"/>
    </row>
    <row r="150" spans="1:15" x14ac:dyDescent="0.25">
      <c r="A150" s="171"/>
      <c r="B150" s="171"/>
      <c r="C150" s="171"/>
      <c r="D150" s="171"/>
      <c r="E150" s="171"/>
      <c r="F150" s="171"/>
      <c r="G150" s="171"/>
      <c r="H150" s="171" t="s">
        <v>544</v>
      </c>
      <c r="I150" s="171"/>
      <c r="J150" s="176">
        <v>2590</v>
      </c>
    </row>
    <row r="151" spans="1:15" x14ac:dyDescent="0.25">
      <c r="A151" s="171"/>
      <c r="B151" s="171"/>
      <c r="C151" s="171"/>
      <c r="D151" s="171"/>
      <c r="E151" s="171"/>
      <c r="F151" s="171"/>
      <c r="G151" s="171"/>
      <c r="H151" s="171" t="s">
        <v>545</v>
      </c>
      <c r="I151" s="171"/>
      <c r="J151" s="176">
        <v>1894.21</v>
      </c>
    </row>
    <row r="152" spans="1:15" ht="15.75" thickBot="1" x14ac:dyDescent="0.3">
      <c r="A152" s="171"/>
      <c r="B152" s="171"/>
      <c r="C152" s="171"/>
      <c r="D152" s="171"/>
      <c r="E152" s="171"/>
      <c r="F152" s="171"/>
      <c r="G152" s="171"/>
      <c r="H152" s="171" t="s">
        <v>547</v>
      </c>
      <c r="I152" s="171"/>
      <c r="J152" s="220">
        <v>20000</v>
      </c>
    </row>
    <row r="153" spans="1:15" x14ac:dyDescent="0.25">
      <c r="A153" s="171"/>
      <c r="B153" s="171"/>
      <c r="C153" s="171"/>
      <c r="D153" s="171"/>
      <c r="E153" s="171"/>
      <c r="F153" s="171"/>
      <c r="G153" s="171" t="s">
        <v>194</v>
      </c>
      <c r="H153" s="171"/>
      <c r="I153" s="171"/>
      <c r="J153" s="176">
        <f>ROUND(SUM(J149:J152),5)</f>
        <v>24484.21</v>
      </c>
    </row>
    <row r="154" spans="1:15" x14ac:dyDescent="0.25">
      <c r="A154" s="171"/>
      <c r="B154" s="171"/>
      <c r="C154" s="171"/>
      <c r="D154" s="171"/>
      <c r="E154" s="171"/>
      <c r="F154" s="171"/>
      <c r="G154" s="171" t="s">
        <v>195</v>
      </c>
      <c r="H154" s="171"/>
      <c r="I154" s="171"/>
      <c r="J154" s="176"/>
    </row>
    <row r="155" spans="1:15" x14ac:dyDescent="0.25">
      <c r="A155" s="171"/>
      <c r="B155" s="171"/>
      <c r="C155" s="171"/>
      <c r="D155" s="171"/>
      <c r="E155" s="171"/>
      <c r="F155" s="171"/>
      <c r="G155" s="171"/>
      <c r="H155" s="171" t="s">
        <v>136</v>
      </c>
      <c r="I155" s="171"/>
      <c r="J155" s="176">
        <v>415</v>
      </c>
    </row>
    <row r="156" spans="1:15" x14ac:dyDescent="0.25">
      <c r="A156" s="171"/>
      <c r="B156" s="171"/>
      <c r="C156" s="171"/>
      <c r="D156" s="171"/>
      <c r="E156" s="171"/>
      <c r="F156" s="171"/>
      <c r="G156" s="171"/>
      <c r="H156" s="171" t="s">
        <v>137</v>
      </c>
      <c r="I156" s="171"/>
      <c r="J156" s="176">
        <v>43059</v>
      </c>
    </row>
    <row r="157" spans="1:15" ht="15.75" thickBot="1" x14ac:dyDescent="0.3">
      <c r="A157" s="171"/>
      <c r="B157" s="171"/>
      <c r="C157" s="171"/>
      <c r="D157" s="171"/>
      <c r="E157" s="171"/>
      <c r="F157" s="171"/>
      <c r="G157" s="171"/>
      <c r="H157" s="171" t="s">
        <v>548</v>
      </c>
      <c r="I157" s="171"/>
      <c r="J157" s="8">
        <v>9452.4</v>
      </c>
    </row>
    <row r="158" spans="1:15" ht="15.75" thickBot="1" x14ac:dyDescent="0.3">
      <c r="A158" s="171"/>
      <c r="B158" s="171"/>
      <c r="C158" s="171"/>
      <c r="D158" s="171"/>
      <c r="E158" s="171"/>
      <c r="F158" s="171"/>
      <c r="G158" s="171" t="s">
        <v>196</v>
      </c>
      <c r="H158" s="171"/>
      <c r="I158" s="171"/>
      <c r="J158" s="10">
        <f>ROUND(SUM(J154:J157),5)</f>
        <v>52926.400000000001</v>
      </c>
      <c r="L158" s="104"/>
    </row>
    <row r="159" spans="1:15" x14ac:dyDescent="0.25">
      <c r="A159" s="171"/>
      <c r="B159" s="171"/>
      <c r="C159" s="171"/>
      <c r="D159" s="171"/>
      <c r="E159" s="171"/>
      <c r="F159" s="171" t="s">
        <v>138</v>
      </c>
      <c r="G159" s="171"/>
      <c r="H159" s="171"/>
      <c r="I159" s="171"/>
      <c r="J159" s="176">
        <f>ROUND(J148+J153+J158,5)</f>
        <v>77410.61</v>
      </c>
      <c r="L159" s="104"/>
    </row>
    <row r="160" spans="1:15" x14ac:dyDescent="0.25">
      <c r="A160" s="171"/>
      <c r="B160" s="171"/>
      <c r="C160" s="171"/>
      <c r="D160" s="171"/>
      <c r="E160" s="171"/>
      <c r="F160" s="171" t="s">
        <v>206</v>
      </c>
      <c r="G160" s="171"/>
      <c r="H160" s="171"/>
      <c r="I160" s="171"/>
      <c r="J160" s="176"/>
      <c r="L160" s="104"/>
      <c r="N160" s="158"/>
      <c r="O160" s="158"/>
    </row>
    <row r="161" spans="1:13" x14ac:dyDescent="0.25">
      <c r="A161" s="171"/>
      <c r="B161" s="171"/>
      <c r="C161" s="171"/>
      <c r="D161" s="171"/>
      <c r="E161" s="171"/>
      <c r="F161" s="171"/>
      <c r="G161" s="171" t="s">
        <v>184</v>
      </c>
      <c r="H161" s="171"/>
      <c r="I161" s="171"/>
      <c r="J161" s="176"/>
      <c r="L161" s="192"/>
      <c r="M161" s="205"/>
    </row>
    <row r="162" spans="1:13" x14ac:dyDescent="0.25">
      <c r="A162" s="171"/>
      <c r="B162" s="171"/>
      <c r="C162" s="171"/>
      <c r="D162" s="171"/>
      <c r="E162" s="171"/>
      <c r="F162" s="171"/>
      <c r="G162" s="171"/>
      <c r="H162" s="171" t="s">
        <v>464</v>
      </c>
      <c r="I162" s="171"/>
      <c r="J162" s="176">
        <v>56202</v>
      </c>
      <c r="L162" s="23"/>
    </row>
    <row r="163" spans="1:13" x14ac:dyDescent="0.25">
      <c r="A163" s="171"/>
      <c r="B163" s="171"/>
      <c r="C163" s="171"/>
      <c r="D163" s="171"/>
      <c r="E163" s="171"/>
      <c r="F163" s="171"/>
      <c r="G163" s="171"/>
      <c r="H163" s="171" t="s">
        <v>185</v>
      </c>
      <c r="I163" s="171"/>
      <c r="J163" s="176"/>
      <c r="L163" s="20"/>
    </row>
    <row r="164" spans="1:13" x14ac:dyDescent="0.25">
      <c r="A164" s="171"/>
      <c r="B164" s="171"/>
      <c r="C164" s="171"/>
      <c r="D164" s="171"/>
      <c r="E164" s="171"/>
      <c r="F164" s="171"/>
      <c r="G164" s="171"/>
      <c r="H164" s="171"/>
      <c r="I164" s="171" t="s">
        <v>262</v>
      </c>
      <c r="J164" s="176">
        <v>34570</v>
      </c>
      <c r="L164" s="21"/>
    </row>
    <row r="165" spans="1:13" ht="15.75" thickBot="1" x14ac:dyDescent="0.3">
      <c r="A165" s="171"/>
      <c r="B165" s="171"/>
      <c r="C165" s="171"/>
      <c r="D165" s="171"/>
      <c r="E165" s="171"/>
      <c r="F165" s="171"/>
      <c r="G165" s="171"/>
      <c r="H165" s="171"/>
      <c r="I165" s="171" t="s">
        <v>552</v>
      </c>
      <c r="J165" s="220">
        <v>700</v>
      </c>
    </row>
    <row r="166" spans="1:13" x14ac:dyDescent="0.25">
      <c r="A166" s="171"/>
      <c r="B166" s="171"/>
      <c r="C166" s="171"/>
      <c r="D166" s="171"/>
      <c r="E166" s="171"/>
      <c r="F166" s="171"/>
      <c r="G166" s="171"/>
      <c r="H166" s="171" t="s">
        <v>263</v>
      </c>
      <c r="I166" s="171"/>
      <c r="J166" s="176">
        <f>ROUND(SUM(J163:J165),5)</f>
        <v>35270</v>
      </c>
    </row>
    <row r="167" spans="1:13" ht="15.75" thickBot="1" x14ac:dyDescent="0.3">
      <c r="A167" s="171"/>
      <c r="B167" s="171"/>
      <c r="C167" s="171"/>
      <c r="D167" s="171"/>
      <c r="E167" s="171"/>
      <c r="F167" s="171"/>
      <c r="G167" s="171"/>
      <c r="H167" s="171" t="s">
        <v>553</v>
      </c>
      <c r="I167" s="171"/>
      <c r="J167" s="220">
        <v>3914.17</v>
      </c>
    </row>
    <row r="168" spans="1:13" x14ac:dyDescent="0.25">
      <c r="A168" s="171"/>
      <c r="B168" s="171"/>
      <c r="C168" s="171"/>
      <c r="D168" s="171"/>
      <c r="E168" s="171"/>
      <c r="F168" s="171"/>
      <c r="G168" s="171" t="s">
        <v>186</v>
      </c>
      <c r="H168" s="171"/>
      <c r="I168" s="171"/>
      <c r="J168" s="176">
        <f>ROUND(SUM(J161:J162)+SUM(J166:J167),5)</f>
        <v>95386.17</v>
      </c>
    </row>
    <row r="169" spans="1:13" x14ac:dyDescent="0.25">
      <c r="A169" s="171"/>
      <c r="B169" s="171"/>
      <c r="C169" s="171"/>
      <c r="D169" s="171"/>
      <c r="E169" s="171"/>
      <c r="F169" s="171"/>
      <c r="G169" s="171" t="s">
        <v>207</v>
      </c>
      <c r="H169" s="171"/>
      <c r="I169" s="171"/>
      <c r="J169" s="176"/>
    </row>
    <row r="170" spans="1:13" x14ac:dyDescent="0.25">
      <c r="A170" s="171"/>
      <c r="B170" s="171"/>
      <c r="C170" s="171"/>
      <c r="D170" s="171"/>
      <c r="E170" s="171"/>
      <c r="F170" s="171"/>
      <c r="G170" s="171"/>
      <c r="H170" s="171" t="s">
        <v>211</v>
      </c>
      <c r="I170" s="171"/>
      <c r="J170" s="176">
        <v>50000</v>
      </c>
    </row>
    <row r="171" spans="1:13" x14ac:dyDescent="0.25">
      <c r="A171" s="171"/>
      <c r="B171" s="171"/>
      <c r="C171" s="171"/>
      <c r="D171" s="171"/>
      <c r="E171" s="171"/>
      <c r="F171" s="171"/>
      <c r="G171" s="171"/>
      <c r="H171" s="171" t="s">
        <v>554</v>
      </c>
      <c r="I171" s="171"/>
      <c r="J171" s="176">
        <v>4800</v>
      </c>
    </row>
    <row r="172" spans="1:13" x14ac:dyDescent="0.25">
      <c r="A172" s="171"/>
      <c r="B172" s="171"/>
      <c r="C172" s="171"/>
      <c r="D172" s="171"/>
      <c r="E172" s="171"/>
      <c r="F172" s="171"/>
      <c r="G172" s="171"/>
      <c r="H172" s="171" t="s">
        <v>555</v>
      </c>
      <c r="I172" s="171"/>
      <c r="J172" s="176">
        <v>1200</v>
      </c>
    </row>
    <row r="173" spans="1:13" ht="15.75" thickBot="1" x14ac:dyDescent="0.3">
      <c r="A173" s="171"/>
      <c r="B173" s="171"/>
      <c r="C173" s="171"/>
      <c r="D173" s="171"/>
      <c r="E173" s="171"/>
      <c r="F173" s="171"/>
      <c r="G173" s="171"/>
      <c r="H173" s="171" t="s">
        <v>648</v>
      </c>
      <c r="I173" s="171"/>
      <c r="J173" s="220">
        <v>3666.67</v>
      </c>
    </row>
    <row r="174" spans="1:13" x14ac:dyDescent="0.25">
      <c r="A174" s="171"/>
      <c r="B174" s="171"/>
      <c r="C174" s="171"/>
      <c r="D174" s="171"/>
      <c r="E174" s="171"/>
      <c r="F174" s="171"/>
      <c r="G174" s="171" t="s">
        <v>208</v>
      </c>
      <c r="H174" s="171"/>
      <c r="I174" s="171"/>
      <c r="J174" s="176">
        <f>ROUND(SUM(J169:J173),5)</f>
        <v>59666.67</v>
      </c>
    </row>
    <row r="175" spans="1:13" x14ac:dyDescent="0.25">
      <c r="A175" s="171"/>
      <c r="B175" s="171"/>
      <c r="C175" s="171"/>
      <c r="D175" s="171"/>
      <c r="E175" s="171"/>
      <c r="F175" s="171"/>
      <c r="G175" s="171" t="s">
        <v>187</v>
      </c>
      <c r="H175" s="171"/>
      <c r="I175" s="171"/>
      <c r="J175" s="176"/>
    </row>
    <row r="176" spans="1:13" x14ac:dyDescent="0.25">
      <c r="A176" s="171"/>
      <c r="B176" s="171"/>
      <c r="C176" s="171"/>
      <c r="D176" s="171"/>
      <c r="E176" s="171"/>
      <c r="F176" s="171"/>
      <c r="G176" s="171"/>
      <c r="H176" s="171" t="s">
        <v>556</v>
      </c>
      <c r="I176" s="171"/>
      <c r="J176" s="176">
        <v>635</v>
      </c>
    </row>
    <row r="177" spans="1:15" ht="15.75" thickBot="1" x14ac:dyDescent="0.3">
      <c r="A177" s="171"/>
      <c r="B177" s="171"/>
      <c r="C177" s="171"/>
      <c r="D177" s="171"/>
      <c r="E177" s="171"/>
      <c r="F177" s="171"/>
      <c r="G177" s="171"/>
      <c r="H177" s="171" t="s">
        <v>209</v>
      </c>
      <c r="I177" s="171"/>
      <c r="J177" s="8">
        <v>45000</v>
      </c>
    </row>
    <row r="178" spans="1:15" ht="15.75" thickBot="1" x14ac:dyDescent="0.3">
      <c r="A178" s="171"/>
      <c r="B178" s="171"/>
      <c r="C178" s="171"/>
      <c r="D178" s="171"/>
      <c r="E178" s="171"/>
      <c r="F178" s="171"/>
      <c r="G178" s="171" t="s">
        <v>188</v>
      </c>
      <c r="H178" s="171"/>
      <c r="I178" s="171"/>
      <c r="J178" s="10">
        <f>ROUND(SUM(J175:J177),5)</f>
        <v>45635</v>
      </c>
    </row>
    <row r="179" spans="1:15" x14ac:dyDescent="0.25">
      <c r="A179" s="171"/>
      <c r="B179" s="171"/>
      <c r="C179" s="171"/>
      <c r="D179" s="171"/>
      <c r="E179" s="171"/>
      <c r="F179" s="171" t="s">
        <v>210</v>
      </c>
      <c r="G179" s="171"/>
      <c r="H179" s="171"/>
      <c r="I179" s="171"/>
      <c r="J179" s="176">
        <f>ROUND(J160+J168+J174+J178,5)</f>
        <v>200687.84</v>
      </c>
    </row>
    <row r="180" spans="1:15" x14ac:dyDescent="0.25">
      <c r="A180" s="171"/>
      <c r="B180" s="171"/>
      <c r="C180" s="171"/>
      <c r="D180" s="171"/>
      <c r="E180" s="171"/>
      <c r="F180" s="171" t="s">
        <v>465</v>
      </c>
      <c r="G180" s="171"/>
      <c r="H180" s="171"/>
      <c r="I180" s="171"/>
      <c r="J180" s="176"/>
      <c r="N180" s="21"/>
    </row>
    <row r="181" spans="1:15" x14ac:dyDescent="0.25">
      <c r="A181" s="171"/>
      <c r="B181" s="171"/>
      <c r="C181" s="171"/>
      <c r="D181" s="171"/>
      <c r="E181" s="171"/>
      <c r="F181" s="171"/>
      <c r="G181" s="171" t="s">
        <v>557</v>
      </c>
      <c r="H181" s="171"/>
      <c r="I181" s="171"/>
      <c r="J181" s="176">
        <v>182371.67</v>
      </c>
      <c r="N181" s="21"/>
    </row>
    <row r="182" spans="1:15" ht="15.75" thickBot="1" x14ac:dyDescent="0.3">
      <c r="A182" s="171"/>
      <c r="B182" s="171"/>
      <c r="C182" s="171"/>
      <c r="D182" s="171"/>
      <c r="E182" s="171"/>
      <c r="F182" s="171"/>
      <c r="G182" s="171" t="s">
        <v>466</v>
      </c>
      <c r="H182" s="171"/>
      <c r="I182" s="171"/>
      <c r="J182" s="220">
        <v>58140</v>
      </c>
      <c r="N182" s="21"/>
    </row>
    <row r="183" spans="1:15" x14ac:dyDescent="0.25">
      <c r="A183" s="171"/>
      <c r="B183" s="171"/>
      <c r="C183" s="171"/>
      <c r="D183" s="171"/>
      <c r="E183" s="171"/>
      <c r="F183" s="171" t="s">
        <v>467</v>
      </c>
      <c r="G183" s="171"/>
      <c r="H183" s="171"/>
      <c r="I183" s="171"/>
      <c r="J183" s="176">
        <f>ROUND(SUM(J180:J182),5)</f>
        <v>240511.67</v>
      </c>
    </row>
    <row r="184" spans="1:15" x14ac:dyDescent="0.25">
      <c r="A184" s="171"/>
      <c r="B184" s="171"/>
      <c r="C184" s="171"/>
      <c r="D184" s="171"/>
      <c r="E184" s="171"/>
      <c r="F184" s="171" t="s">
        <v>139</v>
      </c>
      <c r="G184" s="171"/>
      <c r="H184" s="171"/>
      <c r="I184" s="171"/>
      <c r="J184" s="176"/>
    </row>
    <row r="185" spans="1:15" x14ac:dyDescent="0.25">
      <c r="A185" s="171"/>
      <c r="B185" s="171"/>
      <c r="C185" s="171"/>
      <c r="D185" s="171"/>
      <c r="E185" s="171"/>
      <c r="F185" s="171"/>
      <c r="G185" s="171" t="s">
        <v>468</v>
      </c>
      <c r="H185" s="171"/>
      <c r="I185" s="171"/>
      <c r="J185" s="176"/>
    </row>
    <row r="186" spans="1:15" x14ac:dyDescent="0.25">
      <c r="A186" s="171"/>
      <c r="B186" s="171"/>
      <c r="C186" s="171"/>
      <c r="D186" s="171"/>
      <c r="E186" s="171"/>
      <c r="F186" s="171"/>
      <c r="G186" s="171"/>
      <c r="H186" s="171" t="s">
        <v>649</v>
      </c>
      <c r="I186" s="171"/>
      <c r="J186" s="176">
        <v>24000</v>
      </c>
    </row>
    <row r="187" spans="1:15" x14ac:dyDescent="0.25">
      <c r="A187" s="171"/>
      <c r="B187" s="171"/>
      <c r="C187" s="171"/>
      <c r="D187" s="171"/>
      <c r="E187" s="171"/>
      <c r="F187" s="171"/>
      <c r="G187" s="171"/>
      <c r="H187" s="171" t="s">
        <v>650</v>
      </c>
      <c r="I187" s="171"/>
      <c r="J187" s="176">
        <v>6000</v>
      </c>
      <c r="O187" s="20"/>
    </row>
    <row r="188" spans="1:15" ht="15.75" thickBot="1" x14ac:dyDescent="0.3">
      <c r="A188" s="171"/>
      <c r="B188" s="171"/>
      <c r="C188" s="171"/>
      <c r="D188" s="171"/>
      <c r="E188" s="171"/>
      <c r="F188" s="171"/>
      <c r="G188" s="171"/>
      <c r="H188" s="171" t="s">
        <v>140</v>
      </c>
      <c r="I188" s="171"/>
      <c r="J188" s="220">
        <v>350000</v>
      </c>
    </row>
    <row r="189" spans="1:15" x14ac:dyDescent="0.25">
      <c r="A189" s="171"/>
      <c r="B189" s="171"/>
      <c r="C189" s="171"/>
      <c r="D189" s="171"/>
      <c r="E189" s="171"/>
      <c r="F189" s="171"/>
      <c r="G189" s="171" t="s">
        <v>469</v>
      </c>
      <c r="H189" s="171"/>
      <c r="I189" s="171"/>
      <c r="J189" s="176">
        <f>ROUND(SUM(J185:J188),5)</f>
        <v>380000</v>
      </c>
      <c r="L189" s="20"/>
    </row>
    <row r="190" spans="1:15" x14ac:dyDescent="0.25">
      <c r="A190" s="171"/>
      <c r="B190" s="171"/>
      <c r="C190" s="171"/>
      <c r="D190" s="171"/>
      <c r="E190" s="171"/>
      <c r="F190" s="171"/>
      <c r="G190" s="171" t="s">
        <v>141</v>
      </c>
      <c r="H190" s="171"/>
      <c r="I190" s="171"/>
      <c r="J190" s="176"/>
    </row>
    <row r="191" spans="1:15" x14ac:dyDescent="0.25">
      <c r="A191" s="171"/>
      <c r="B191" s="171"/>
      <c r="C191" s="171"/>
      <c r="D191" s="171"/>
      <c r="E191" s="171"/>
      <c r="F191" s="171"/>
      <c r="G191" s="171"/>
      <c r="H191" s="171" t="s">
        <v>142</v>
      </c>
      <c r="I191" s="171"/>
      <c r="J191" s="176">
        <v>8000</v>
      </c>
    </row>
    <row r="192" spans="1:15" x14ac:dyDescent="0.25">
      <c r="A192" s="171"/>
      <c r="B192" s="171"/>
      <c r="C192" s="171"/>
      <c r="D192" s="171"/>
      <c r="E192" s="171"/>
      <c r="F192" s="171"/>
      <c r="G192" s="171"/>
      <c r="H192" s="171" t="s">
        <v>580</v>
      </c>
      <c r="I192" s="171"/>
      <c r="J192" s="176">
        <v>60000</v>
      </c>
    </row>
    <row r="193" spans="1:10" x14ac:dyDescent="0.25">
      <c r="A193" s="171"/>
      <c r="B193" s="171"/>
      <c r="C193" s="171"/>
      <c r="D193" s="171"/>
      <c r="E193" s="171"/>
      <c r="F193" s="171"/>
      <c r="G193" s="171"/>
      <c r="H193" s="171" t="s">
        <v>582</v>
      </c>
      <c r="I193" s="171"/>
      <c r="J193" s="176">
        <v>0</v>
      </c>
    </row>
    <row r="194" spans="1:10" ht="15.75" thickBot="1" x14ac:dyDescent="0.3">
      <c r="A194" s="171"/>
      <c r="B194" s="171"/>
      <c r="C194" s="171"/>
      <c r="D194" s="171"/>
      <c r="E194" s="171"/>
      <c r="F194" s="171"/>
      <c r="G194" s="171"/>
      <c r="H194" s="171" t="s">
        <v>147</v>
      </c>
      <c r="I194" s="171"/>
      <c r="J194" s="220">
        <v>50000</v>
      </c>
    </row>
    <row r="195" spans="1:10" x14ac:dyDescent="0.25">
      <c r="A195" s="171"/>
      <c r="B195" s="171"/>
      <c r="C195" s="171"/>
      <c r="D195" s="171"/>
      <c r="E195" s="171"/>
      <c r="F195" s="171"/>
      <c r="G195" s="171" t="s">
        <v>148</v>
      </c>
      <c r="H195" s="171"/>
      <c r="I195" s="171"/>
      <c r="J195" s="176">
        <f>ROUND(SUM(J190:J191)+SUM(J192:J194),5)</f>
        <v>118000</v>
      </c>
    </row>
    <row r="196" spans="1:10" x14ac:dyDescent="0.25">
      <c r="A196" s="171"/>
      <c r="B196" s="171"/>
      <c r="C196" s="171"/>
      <c r="D196" s="171"/>
      <c r="E196" s="171"/>
      <c r="F196" s="171"/>
      <c r="G196" s="171" t="s">
        <v>167</v>
      </c>
      <c r="H196" s="171"/>
      <c r="I196" s="171"/>
      <c r="J196" s="176"/>
    </row>
    <row r="197" spans="1:10" x14ac:dyDescent="0.25">
      <c r="A197" s="171"/>
      <c r="B197" s="171"/>
      <c r="C197" s="171"/>
      <c r="D197" s="171"/>
      <c r="E197" s="171"/>
      <c r="F197" s="171"/>
      <c r="G197" s="171"/>
      <c r="H197" s="171" t="s">
        <v>168</v>
      </c>
      <c r="I197" s="171"/>
      <c r="J197" s="176">
        <v>53980.22</v>
      </c>
    </row>
    <row r="198" spans="1:10" x14ac:dyDescent="0.25">
      <c r="A198" s="171"/>
      <c r="B198" s="171"/>
      <c r="C198" s="171"/>
      <c r="D198" s="171"/>
      <c r="E198" s="171"/>
      <c r="F198" s="171"/>
      <c r="G198" s="171"/>
      <c r="H198" s="171" t="s">
        <v>473</v>
      </c>
      <c r="I198" s="171"/>
      <c r="J198" s="176">
        <v>290275.71000000002</v>
      </c>
    </row>
    <row r="199" spans="1:10" x14ac:dyDescent="0.25">
      <c r="A199" s="171"/>
      <c r="B199" s="171"/>
      <c r="C199" s="171"/>
      <c r="D199" s="171"/>
      <c r="E199" s="171"/>
      <c r="F199" s="171"/>
      <c r="G199" s="171"/>
      <c r="H199" s="171" t="s">
        <v>169</v>
      </c>
      <c r="I199" s="171"/>
      <c r="J199" s="176">
        <v>431067.66</v>
      </c>
    </row>
    <row r="200" spans="1:10" ht="15.75" thickBot="1" x14ac:dyDescent="0.3">
      <c r="A200" s="171"/>
      <c r="B200" s="171"/>
      <c r="C200" s="171"/>
      <c r="D200" s="171"/>
      <c r="E200" s="171"/>
      <c r="F200" s="171"/>
      <c r="G200" s="171"/>
      <c r="H200" s="171" t="s">
        <v>171</v>
      </c>
      <c r="I200" s="171"/>
      <c r="J200" s="8">
        <v>436159.48</v>
      </c>
    </row>
    <row r="201" spans="1:10" ht="15.75" thickBot="1" x14ac:dyDescent="0.3">
      <c r="A201" s="171"/>
      <c r="B201" s="171"/>
      <c r="C201" s="171"/>
      <c r="D201" s="171"/>
      <c r="E201" s="171"/>
      <c r="F201" s="171"/>
      <c r="G201" s="171" t="s">
        <v>172</v>
      </c>
      <c r="H201" s="171"/>
      <c r="I201" s="171"/>
      <c r="J201" s="11">
        <f>ROUND(SUM(J196:J200),5)</f>
        <v>1211483.07</v>
      </c>
    </row>
    <row r="202" spans="1:10" ht="15.75" thickBot="1" x14ac:dyDescent="0.3">
      <c r="A202" s="171"/>
      <c r="B202" s="171"/>
      <c r="C202" s="171"/>
      <c r="D202" s="171"/>
      <c r="E202" s="171"/>
      <c r="F202" s="171" t="s">
        <v>173</v>
      </c>
      <c r="G202" s="171"/>
      <c r="H202" s="171"/>
      <c r="I202" s="171"/>
      <c r="J202" s="11">
        <f>ROUND(J184+J189+J195+J201,5)</f>
        <v>1709483.07</v>
      </c>
    </row>
    <row r="203" spans="1:10" ht="15.75" thickBot="1" x14ac:dyDescent="0.3">
      <c r="A203" s="171"/>
      <c r="B203" s="171"/>
      <c r="C203" s="171"/>
      <c r="D203" s="171"/>
      <c r="E203" s="171" t="s">
        <v>174</v>
      </c>
      <c r="F203" s="171"/>
      <c r="G203" s="171"/>
      <c r="H203" s="171"/>
      <c r="I203" s="171"/>
      <c r="J203" s="11">
        <f>ROUND(J55+J108+J147+J159+J179+J183+J202,5)</f>
        <v>4317565.18</v>
      </c>
    </row>
    <row r="204" spans="1:10" ht="15.75" thickBot="1" x14ac:dyDescent="0.3">
      <c r="A204" s="171"/>
      <c r="B204" s="171"/>
      <c r="C204" s="171"/>
      <c r="D204" s="171" t="s">
        <v>175</v>
      </c>
      <c r="E204" s="171"/>
      <c r="F204" s="171"/>
      <c r="G204" s="171"/>
      <c r="H204" s="171"/>
      <c r="I204" s="171"/>
      <c r="J204" s="10">
        <f>ROUND(J54+J203,5)</f>
        <v>4317565.18</v>
      </c>
    </row>
    <row r="205" spans="1:10" x14ac:dyDescent="0.25">
      <c r="A205" s="171"/>
      <c r="B205" s="171" t="s">
        <v>176</v>
      </c>
      <c r="C205" s="171"/>
      <c r="D205" s="171"/>
      <c r="E205" s="171"/>
      <c r="F205" s="171"/>
      <c r="G205" s="171"/>
      <c r="H205" s="171"/>
      <c r="I205" s="171"/>
      <c r="J205" s="176">
        <f>ROUND(J2+J53-J204,5)</f>
        <v>4283903.9800000004</v>
      </c>
    </row>
    <row r="206" spans="1:10" x14ac:dyDescent="0.25">
      <c r="A206" s="171"/>
      <c r="B206" s="171" t="s">
        <v>632</v>
      </c>
      <c r="C206" s="171"/>
      <c r="D206" s="171"/>
      <c r="E206" s="171"/>
      <c r="F206" s="171"/>
      <c r="G206" s="171"/>
      <c r="H206" s="171"/>
      <c r="I206" s="171"/>
      <c r="J206" s="176"/>
    </row>
    <row r="207" spans="1:10" x14ac:dyDescent="0.25">
      <c r="A207" s="171"/>
      <c r="B207" s="171"/>
      <c r="C207" s="171" t="s">
        <v>633</v>
      </c>
      <c r="D207" s="171"/>
      <c r="E207" s="171"/>
      <c r="F207" s="171"/>
      <c r="G207" s="171"/>
      <c r="H207" s="171"/>
      <c r="I207" s="171"/>
      <c r="J207" s="176"/>
    </row>
    <row r="208" spans="1:10" x14ac:dyDescent="0.25">
      <c r="A208" s="171"/>
      <c r="B208" s="171"/>
      <c r="C208" s="171"/>
      <c r="D208" s="171" t="s">
        <v>634</v>
      </c>
      <c r="E208" s="171"/>
      <c r="F208" s="171"/>
      <c r="G208" s="171"/>
      <c r="H208" s="171"/>
      <c r="I208" s="171"/>
      <c r="J208" s="176"/>
    </row>
    <row r="209" spans="1:10" x14ac:dyDescent="0.25">
      <c r="A209" s="171"/>
      <c r="B209" s="171"/>
      <c r="C209" s="171"/>
      <c r="D209" s="171"/>
      <c r="E209" s="171" t="s">
        <v>635</v>
      </c>
      <c r="F209" s="171"/>
      <c r="G209" s="171"/>
      <c r="H209" s="171"/>
      <c r="I209" s="171"/>
      <c r="J209" s="176">
        <v>4700</v>
      </c>
    </row>
    <row r="210" spans="1:10" ht="15.75" thickBot="1" x14ac:dyDescent="0.3">
      <c r="A210" s="171"/>
      <c r="B210" s="171"/>
      <c r="C210" s="171"/>
      <c r="D210" s="171"/>
      <c r="E210" s="171" t="s">
        <v>658</v>
      </c>
      <c r="F210" s="171"/>
      <c r="G210" s="171"/>
      <c r="H210" s="171"/>
      <c r="I210" s="171"/>
      <c r="J210" s="8">
        <v>32500</v>
      </c>
    </row>
    <row r="211" spans="1:10" ht="15.75" thickBot="1" x14ac:dyDescent="0.3">
      <c r="A211" s="171"/>
      <c r="B211" s="171"/>
      <c r="C211" s="171"/>
      <c r="D211" s="171" t="s">
        <v>637</v>
      </c>
      <c r="E211" s="171"/>
      <c r="F211" s="171"/>
      <c r="G211" s="171"/>
      <c r="H211" s="171"/>
      <c r="I211" s="171"/>
      <c r="J211" s="10">
        <f>ROUND(SUM(J208:J210),5)</f>
        <v>37200</v>
      </c>
    </row>
    <row r="212" spans="1:10" ht="15.75" thickBot="1" x14ac:dyDescent="0.3">
      <c r="A212" s="171"/>
      <c r="B212" s="171"/>
      <c r="C212" s="171" t="s">
        <v>638</v>
      </c>
      <c r="D212" s="171"/>
      <c r="E212" s="171"/>
      <c r="F212" s="171"/>
      <c r="G212" s="171"/>
      <c r="H212" s="171"/>
      <c r="I212" s="171"/>
      <c r="J212" s="176">
        <f>ROUND(J207+J211,5)</f>
        <v>37200</v>
      </c>
    </row>
    <row r="213" spans="1:10" ht="15.75" thickBot="1" x14ac:dyDescent="0.3">
      <c r="A213" s="171"/>
      <c r="B213" s="171" t="s">
        <v>642</v>
      </c>
      <c r="C213" s="171"/>
      <c r="D213" s="171"/>
      <c r="E213" s="171"/>
      <c r="F213" s="171"/>
      <c r="G213" s="171"/>
      <c r="H213" s="171"/>
      <c r="I213" s="171"/>
      <c r="J213" s="11">
        <f>ROUND(J206+J212,5)</f>
        <v>37200</v>
      </c>
    </row>
    <row r="214" spans="1:10" ht="15.75" thickBot="1" x14ac:dyDescent="0.3">
      <c r="A214" s="171" t="s">
        <v>177</v>
      </c>
      <c r="B214" s="171"/>
      <c r="C214" s="171"/>
      <c r="D214" s="171"/>
      <c r="E214" s="171"/>
      <c r="F214" s="171"/>
      <c r="G214" s="171"/>
      <c r="H214" s="171"/>
      <c r="I214" s="171"/>
      <c r="J214" s="12">
        <f>ROUND(J205+J213,5)</f>
        <v>4321103.9800000004</v>
      </c>
    </row>
    <row r="215" spans="1:10" ht="15.75" thickTop="1" x14ac:dyDescent="0.25"/>
    <row r="216" spans="1:10" x14ac:dyDescent="0.25">
      <c r="J216" s="23">
        <f>+'KPM  - TFI '!H26*'KPM  - TFI '!H4*1000-'P3'!J214</f>
        <v>0</v>
      </c>
    </row>
    <row r="238" spans="12:12" x14ac:dyDescent="0.25">
      <c r="L238" s="20"/>
    </row>
    <row r="239" spans="12:12" x14ac:dyDescent="0.25">
      <c r="L239" s="21"/>
    </row>
    <row r="264" spans="1:15" x14ac:dyDescent="0.25">
      <c r="K264" s="156"/>
    </row>
    <row r="265" spans="1:15" s="156" customFormat="1" x14ac:dyDescent="0.25">
      <c r="A265" s="159"/>
      <c r="B265" s="159"/>
      <c r="C265" s="159"/>
      <c r="D265" s="159"/>
      <c r="E265" s="159"/>
      <c r="F265" s="159"/>
      <c r="G265" s="159"/>
      <c r="H265" s="159"/>
      <c r="I265" s="159"/>
      <c r="J265" s="5"/>
      <c r="K265" s="154"/>
      <c r="L265" s="154"/>
      <c r="M265" s="167"/>
      <c r="N265" s="154"/>
      <c r="O265" s="154"/>
    </row>
    <row r="304" spans="12:12" x14ac:dyDescent="0.25">
      <c r="L304" s="23"/>
    </row>
    <row r="305" spans="12:12" x14ac:dyDescent="0.25">
      <c r="L305" s="20"/>
    </row>
    <row r="306" spans="12:12" x14ac:dyDescent="0.25">
      <c r="L306" s="21"/>
    </row>
    <row r="307" spans="12:12" x14ac:dyDescent="0.25">
      <c r="L307" s="21"/>
    </row>
    <row r="323" spans="14:14" x14ac:dyDescent="0.25">
      <c r="N323" s="21"/>
    </row>
    <row r="324" spans="14:14" x14ac:dyDescent="0.25">
      <c r="N324" s="21"/>
    </row>
    <row r="325" spans="14:14" x14ac:dyDescent="0.25">
      <c r="N325" s="21"/>
    </row>
    <row r="343" spans="12:15" x14ac:dyDescent="0.25">
      <c r="N343" s="156"/>
      <c r="O343" s="156"/>
    </row>
    <row r="344" spans="12:15" x14ac:dyDescent="0.25">
      <c r="L344" s="156"/>
      <c r="M344" s="206"/>
    </row>
    <row r="352" spans="12:15" x14ac:dyDescent="0.25">
      <c r="L352" s="104"/>
    </row>
    <row r="353" spans="12:15" x14ac:dyDescent="0.25">
      <c r="L353" s="104"/>
    </row>
    <row r="354" spans="12:15" x14ac:dyDescent="0.25">
      <c r="L354" s="104"/>
      <c r="N354" s="158"/>
      <c r="O354" s="158"/>
    </row>
    <row r="355" spans="12:15" x14ac:dyDescent="0.25">
      <c r="L355" s="158"/>
      <c r="M355" s="205"/>
    </row>
    <row r="375" spans="12:15" x14ac:dyDescent="0.25">
      <c r="N375" s="21"/>
    </row>
    <row r="376" spans="12:15" x14ac:dyDescent="0.25">
      <c r="N376" s="21"/>
    </row>
    <row r="377" spans="12:15" x14ac:dyDescent="0.25">
      <c r="N377" s="21"/>
    </row>
    <row r="383" spans="12:15" x14ac:dyDescent="0.25">
      <c r="N383" s="158"/>
      <c r="O383" s="158"/>
    </row>
    <row r="384" spans="12:15" x14ac:dyDescent="0.25">
      <c r="L384" s="158"/>
      <c r="M384" s="205"/>
    </row>
    <row r="390" spans="12:15" x14ac:dyDescent="0.25">
      <c r="N390" s="156"/>
      <c r="O390" s="156"/>
    </row>
    <row r="391" spans="12:15" x14ac:dyDescent="0.25">
      <c r="L391" s="156"/>
      <c r="M391" s="206"/>
    </row>
    <row r="397" spans="12:15" x14ac:dyDescent="0.25">
      <c r="N397" s="156"/>
      <c r="O397" s="156"/>
    </row>
    <row r="398" spans="12:15" x14ac:dyDescent="0.25">
      <c r="L398" s="156"/>
      <c r="M398" s="206"/>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rgb="FF00B0F0"/>
  </sheetPr>
  <dimension ref="A1:O398"/>
  <sheetViews>
    <sheetView workbookViewId="0">
      <pane ySplit="1" topLeftCell="A2" activePane="bottomLeft" state="frozen"/>
      <selection pane="bottomLeft" activeCell="P13" sqref="P13"/>
    </sheetView>
  </sheetViews>
  <sheetFormatPr defaultRowHeight="15" x14ac:dyDescent="0.25"/>
  <cols>
    <col min="1" max="8" width="3" style="159" customWidth="1"/>
    <col min="9" max="9" width="38.140625" style="159" customWidth="1"/>
    <col min="10" max="10" width="15" style="23" bestFit="1" customWidth="1"/>
    <col min="11" max="11" width="9.140625" style="154"/>
    <col min="12" max="12" width="30.7109375" style="154" bestFit="1" customWidth="1"/>
    <col min="13" max="13" width="13.85546875" style="167" bestFit="1" customWidth="1"/>
    <col min="14" max="14" width="9.42578125" style="154" hidden="1" customWidth="1"/>
    <col min="15" max="15" width="34.28515625" style="154" hidden="1" customWidth="1"/>
    <col min="16" max="16384" width="9.140625" style="154"/>
  </cols>
  <sheetData>
    <row r="1" spans="1:15" s="158" customFormat="1" ht="15.75" thickBot="1" x14ac:dyDescent="0.3">
      <c r="A1" s="157"/>
      <c r="B1" s="157"/>
      <c r="C1" s="157"/>
      <c r="D1" s="157"/>
      <c r="E1" s="157"/>
      <c r="F1" s="157"/>
      <c r="G1" s="157"/>
      <c r="H1" s="157"/>
      <c r="I1" s="157"/>
      <c r="J1" s="137" t="s">
        <v>617</v>
      </c>
      <c r="L1" s="154"/>
      <c r="M1" s="167"/>
      <c r="N1" s="154"/>
      <c r="O1" s="154"/>
    </row>
    <row r="2" spans="1:15" ht="30.75" thickTop="1" x14ac:dyDescent="0.25">
      <c r="A2" s="171"/>
      <c r="B2" s="171" t="s">
        <v>20</v>
      </c>
      <c r="C2" s="171"/>
      <c r="D2" s="171"/>
      <c r="E2" s="171"/>
      <c r="F2" s="171"/>
      <c r="G2" s="171"/>
      <c r="H2" s="171"/>
      <c r="I2" s="171"/>
      <c r="J2" s="138"/>
      <c r="L2" s="108" t="s">
        <v>381</v>
      </c>
      <c r="M2" s="200" t="s">
        <v>380</v>
      </c>
      <c r="N2" s="110" t="s">
        <v>433</v>
      </c>
      <c r="O2" s="109" t="s">
        <v>382</v>
      </c>
    </row>
    <row r="3" spans="1:15" x14ac:dyDescent="0.25">
      <c r="A3" s="171"/>
      <c r="B3" s="171"/>
      <c r="C3" s="171"/>
      <c r="D3" s="171" t="s">
        <v>21</v>
      </c>
      <c r="E3" s="171"/>
      <c r="F3" s="171"/>
      <c r="G3" s="171"/>
      <c r="H3" s="171"/>
      <c r="I3" s="171"/>
      <c r="J3" s="138"/>
      <c r="L3" s="46" t="s">
        <v>269</v>
      </c>
      <c r="M3" s="184">
        <f>J80</f>
        <v>528600</v>
      </c>
      <c r="N3" s="59"/>
      <c r="O3" s="46" t="s">
        <v>442</v>
      </c>
    </row>
    <row r="4" spans="1:15" x14ac:dyDescent="0.25">
      <c r="A4" s="171"/>
      <c r="B4" s="171"/>
      <c r="C4" s="171"/>
      <c r="D4" s="171"/>
      <c r="E4" s="171" t="s">
        <v>22</v>
      </c>
      <c r="F4" s="171"/>
      <c r="G4" s="171"/>
      <c r="H4" s="171"/>
      <c r="I4" s="171"/>
      <c r="J4" s="138"/>
      <c r="L4" s="46" t="s">
        <v>270</v>
      </c>
      <c r="M4" s="184">
        <f>J128</f>
        <v>124458.33</v>
      </c>
      <c r="N4" s="59"/>
      <c r="O4" s="46" t="s">
        <v>442</v>
      </c>
    </row>
    <row r="5" spans="1:15" x14ac:dyDescent="0.25">
      <c r="A5" s="171"/>
      <c r="B5" s="171"/>
      <c r="C5" s="171"/>
      <c r="D5" s="171"/>
      <c r="E5" s="171"/>
      <c r="F5" s="171" t="s">
        <v>23</v>
      </c>
      <c r="G5" s="171"/>
      <c r="H5" s="171"/>
      <c r="I5" s="171"/>
      <c r="J5" s="138">
        <f>7397668.04+30695.94</f>
        <v>7428363.9800000004</v>
      </c>
      <c r="L5" s="46" t="s">
        <v>597</v>
      </c>
      <c r="M5" s="184">
        <f>J176</f>
        <v>59666.67</v>
      </c>
      <c r="N5" s="59"/>
      <c r="O5" s="46" t="s">
        <v>442</v>
      </c>
    </row>
    <row r="6" spans="1:15" x14ac:dyDescent="0.25">
      <c r="A6" s="171"/>
      <c r="B6" s="171"/>
      <c r="C6" s="171"/>
      <c r="D6" s="171"/>
      <c r="E6" s="171"/>
      <c r="F6" s="171" t="s">
        <v>25</v>
      </c>
      <c r="G6" s="171"/>
      <c r="H6" s="171"/>
      <c r="I6" s="171"/>
      <c r="J6" s="138">
        <v>945471.54</v>
      </c>
      <c r="L6" s="119" t="s">
        <v>606</v>
      </c>
      <c r="M6" s="184"/>
      <c r="N6" s="59"/>
      <c r="O6" s="46"/>
    </row>
    <row r="7" spans="1:15" x14ac:dyDescent="0.25">
      <c r="A7" s="171"/>
      <c r="B7" s="171"/>
      <c r="C7" s="171"/>
      <c r="D7" s="171"/>
      <c r="E7" s="171"/>
      <c r="F7" s="171" t="s">
        <v>26</v>
      </c>
      <c r="G7" s="171"/>
      <c r="H7" s="171"/>
      <c r="I7" s="171"/>
      <c r="J7" s="138">
        <v>354216.96000000002</v>
      </c>
      <c r="K7" s="171"/>
      <c r="L7" s="67" t="s">
        <v>598</v>
      </c>
      <c r="M7" s="184">
        <f>J192</f>
        <v>380000</v>
      </c>
      <c r="N7" s="185">
        <v>0.5</v>
      </c>
      <c r="O7" s="46" t="s">
        <v>595</v>
      </c>
    </row>
    <row r="8" spans="1:15" x14ac:dyDescent="0.25">
      <c r="A8" s="171"/>
      <c r="B8" s="171"/>
      <c r="C8" s="171"/>
      <c r="D8" s="171"/>
      <c r="E8" s="171"/>
      <c r="F8" s="171" t="s">
        <v>27</v>
      </c>
      <c r="G8" s="171"/>
      <c r="H8" s="171"/>
      <c r="I8" s="171"/>
      <c r="J8" s="138">
        <v>4913923.12</v>
      </c>
      <c r="K8" s="171"/>
      <c r="L8" s="106" t="s">
        <v>12</v>
      </c>
      <c r="M8" s="201">
        <f>SUM(M3:M7)</f>
        <v>1092725</v>
      </c>
      <c r="N8" s="186"/>
      <c r="O8" s="46"/>
    </row>
    <row r="9" spans="1:15" ht="15.75" thickBot="1" x14ac:dyDescent="0.3">
      <c r="A9" s="171"/>
      <c r="B9" s="171"/>
      <c r="C9" s="171"/>
      <c r="D9" s="171"/>
      <c r="E9" s="171"/>
      <c r="F9" s="171" t="s">
        <v>28</v>
      </c>
      <c r="G9" s="171"/>
      <c r="H9" s="171"/>
      <c r="I9" s="171"/>
      <c r="J9" s="138">
        <v>122096.33</v>
      </c>
      <c r="K9" s="171"/>
      <c r="L9" s="46"/>
      <c r="M9" s="190"/>
      <c r="N9" s="111"/>
      <c r="O9" s="46"/>
    </row>
    <row r="10" spans="1:15" ht="15.75" thickBot="1" x14ac:dyDescent="0.3">
      <c r="A10" s="171"/>
      <c r="B10" s="171"/>
      <c r="C10" s="171"/>
      <c r="D10" s="171"/>
      <c r="E10" s="171" t="s">
        <v>39</v>
      </c>
      <c r="F10" s="171"/>
      <c r="G10" s="171"/>
      <c r="H10" s="171"/>
      <c r="I10" s="171"/>
      <c r="J10" s="141">
        <f>ROUND(SUM(J4:J9),5)</f>
        <v>13764071.93</v>
      </c>
      <c r="K10" s="171"/>
      <c r="L10" s="104"/>
      <c r="M10" s="202"/>
      <c r="N10" s="135"/>
      <c r="O10" s="104"/>
    </row>
    <row r="11" spans="1:15" ht="30" x14ac:dyDescent="0.25">
      <c r="A11" s="171"/>
      <c r="B11" s="171"/>
      <c r="C11" s="171"/>
      <c r="D11" s="171" t="s">
        <v>40</v>
      </c>
      <c r="E11" s="171"/>
      <c r="F11" s="171"/>
      <c r="G11" s="171"/>
      <c r="H11" s="171"/>
      <c r="I11" s="171"/>
      <c r="J11" s="138">
        <f>ROUND(J3+J10,5)</f>
        <v>13764071.93</v>
      </c>
      <c r="K11" s="171"/>
      <c r="L11" s="65" t="s">
        <v>397</v>
      </c>
      <c r="M11" s="203" t="s">
        <v>380</v>
      </c>
      <c r="N11" s="112" t="s">
        <v>433</v>
      </c>
      <c r="O11" s="58" t="s">
        <v>382</v>
      </c>
    </row>
    <row r="12" spans="1:15" x14ac:dyDescent="0.25">
      <c r="A12" s="171"/>
      <c r="B12" s="171"/>
      <c r="C12" s="171"/>
      <c r="D12" s="171" t="s">
        <v>41</v>
      </c>
      <c r="E12" s="171"/>
      <c r="F12" s="171"/>
      <c r="G12" s="171"/>
      <c r="H12" s="171"/>
      <c r="I12" s="171"/>
      <c r="J12" s="138"/>
      <c r="K12" s="171"/>
      <c r="L12" s="46" t="s">
        <v>269</v>
      </c>
      <c r="M12" s="190">
        <f>J109-J80</f>
        <v>1142933.25</v>
      </c>
      <c r="N12" s="187"/>
      <c r="O12" s="46" t="s">
        <v>442</v>
      </c>
    </row>
    <row r="13" spans="1:15" x14ac:dyDescent="0.25">
      <c r="A13" s="171"/>
      <c r="B13" s="171"/>
      <c r="C13" s="171"/>
      <c r="D13" s="171"/>
      <c r="E13" s="171" t="s">
        <v>42</v>
      </c>
      <c r="F13" s="171"/>
      <c r="G13" s="171"/>
      <c r="H13" s="171"/>
      <c r="I13" s="171"/>
      <c r="J13" s="138"/>
      <c r="K13" s="171"/>
      <c r="L13" s="46" t="s">
        <v>270</v>
      </c>
      <c r="M13" s="190">
        <f>J149-J128</f>
        <v>605471.28</v>
      </c>
      <c r="N13" s="187"/>
      <c r="O13" s="46" t="s">
        <v>442</v>
      </c>
    </row>
    <row r="14" spans="1:15" x14ac:dyDescent="0.25">
      <c r="A14" s="171"/>
      <c r="B14" s="171"/>
      <c r="C14" s="171"/>
      <c r="D14" s="171"/>
      <c r="E14" s="171"/>
      <c r="F14" s="171" t="s">
        <v>43</v>
      </c>
      <c r="G14" s="171"/>
      <c r="H14" s="171"/>
      <c r="I14" s="171"/>
      <c r="J14" s="138"/>
      <c r="K14" s="171"/>
      <c r="L14" s="194" t="s">
        <v>609</v>
      </c>
      <c r="M14" s="190">
        <f>J161</f>
        <v>98205.61</v>
      </c>
      <c r="N14" s="187"/>
      <c r="O14" s="46" t="s">
        <v>442</v>
      </c>
    </row>
    <row r="15" spans="1:15" x14ac:dyDescent="0.25">
      <c r="A15" s="171"/>
      <c r="B15" s="171"/>
      <c r="C15" s="171"/>
      <c r="D15" s="171"/>
      <c r="E15" s="171"/>
      <c r="F15" s="171"/>
      <c r="G15" s="171" t="s">
        <v>44</v>
      </c>
      <c r="H15" s="171"/>
      <c r="I15" s="171"/>
      <c r="J15" s="138">
        <f>2623905.23+5541.67+7484.99-699020</f>
        <v>1937911.8900000001</v>
      </c>
      <c r="K15" s="171"/>
      <c r="L15" s="194" t="s">
        <v>610</v>
      </c>
      <c r="M15" s="190">
        <f>J182-J176</f>
        <v>138896.16999999998</v>
      </c>
      <c r="N15" s="188"/>
      <c r="O15" s="46" t="s">
        <v>442</v>
      </c>
    </row>
    <row r="16" spans="1:15" x14ac:dyDescent="0.25">
      <c r="A16" s="171"/>
      <c r="B16" s="171"/>
      <c r="C16" s="171"/>
      <c r="D16" s="171"/>
      <c r="E16" s="171"/>
      <c r="F16" s="171"/>
      <c r="G16" s="171" t="s">
        <v>45</v>
      </c>
      <c r="H16" s="171"/>
      <c r="I16" s="171"/>
      <c r="J16" s="138">
        <v>529486</v>
      </c>
      <c r="K16" s="171"/>
      <c r="L16" s="66" t="s">
        <v>611</v>
      </c>
      <c r="M16" s="190">
        <f>J186</f>
        <v>238573.67</v>
      </c>
      <c r="N16" s="187"/>
      <c r="O16" s="46" t="s">
        <v>442</v>
      </c>
    </row>
    <row r="17" spans="1:15" x14ac:dyDescent="0.25">
      <c r="A17" s="171"/>
      <c r="B17" s="171"/>
      <c r="C17" s="171"/>
      <c r="D17" s="171"/>
      <c r="E17" s="171"/>
      <c r="F17" s="171"/>
      <c r="G17" s="171" t="s">
        <v>46</v>
      </c>
      <c r="H17" s="171"/>
      <c r="I17" s="171"/>
      <c r="J17" s="138">
        <v>40600</v>
      </c>
      <c r="K17" s="171"/>
      <c r="L17" s="193" t="s">
        <v>612</v>
      </c>
      <c r="M17" s="190"/>
      <c r="N17" s="189">
        <v>0.35</v>
      </c>
      <c r="O17" s="46"/>
    </row>
    <row r="18" spans="1:15" ht="15.75" thickBot="1" x14ac:dyDescent="0.3">
      <c r="A18" s="171"/>
      <c r="B18" s="171"/>
      <c r="C18" s="171"/>
      <c r="D18" s="171"/>
      <c r="E18" s="171"/>
      <c r="F18" s="171"/>
      <c r="G18" s="171" t="s">
        <v>47</v>
      </c>
      <c r="H18" s="171"/>
      <c r="I18" s="171"/>
      <c r="J18" s="143">
        <v>383829</v>
      </c>
      <c r="L18" s="67" t="s">
        <v>383</v>
      </c>
      <c r="M18" s="190">
        <f>J197</f>
        <v>69230.710000000006</v>
      </c>
      <c r="N18" s="191">
        <v>0.3</v>
      </c>
      <c r="O18" s="46" t="s">
        <v>442</v>
      </c>
    </row>
    <row r="19" spans="1:15" x14ac:dyDescent="0.25">
      <c r="A19" s="171"/>
      <c r="B19" s="171"/>
      <c r="C19" s="171"/>
      <c r="D19" s="171"/>
      <c r="E19" s="171"/>
      <c r="F19" s="171" t="s">
        <v>48</v>
      </c>
      <c r="G19" s="171"/>
      <c r="H19" s="171"/>
      <c r="I19" s="171"/>
      <c r="J19" s="138">
        <f>ROUND(SUM(J14:J18),5)</f>
        <v>2891826.89</v>
      </c>
      <c r="L19" s="67" t="s">
        <v>386</v>
      </c>
      <c r="M19" s="190">
        <f>J204</f>
        <v>708376.19</v>
      </c>
      <c r="N19" s="191"/>
      <c r="O19" s="46" t="s">
        <v>442</v>
      </c>
    </row>
    <row r="20" spans="1:15" x14ac:dyDescent="0.25">
      <c r="A20" s="171"/>
      <c r="B20" s="171"/>
      <c r="C20" s="171"/>
      <c r="D20" s="171"/>
      <c r="E20" s="171"/>
      <c r="F20" s="171" t="s">
        <v>49</v>
      </c>
      <c r="G20" s="171"/>
      <c r="H20" s="171"/>
      <c r="I20" s="171"/>
      <c r="J20" s="138"/>
      <c r="L20" s="46"/>
      <c r="M20" s="190"/>
      <c r="N20" s="191">
        <v>0.3</v>
      </c>
      <c r="O20" s="46"/>
    </row>
    <row r="21" spans="1:15" x14ac:dyDescent="0.25">
      <c r="A21" s="171"/>
      <c r="B21" s="171"/>
      <c r="C21" s="171"/>
      <c r="D21" s="171"/>
      <c r="E21" s="171"/>
      <c r="F21" s="171"/>
      <c r="G21" s="171" t="s">
        <v>446</v>
      </c>
      <c r="H21" s="171"/>
      <c r="I21" s="171"/>
      <c r="J21" s="138">
        <v>48800</v>
      </c>
      <c r="L21" s="61" t="s">
        <v>12</v>
      </c>
      <c r="M21" s="204">
        <f>SUM(M12:M19)</f>
        <v>3001686.88</v>
      </c>
    </row>
    <row r="22" spans="1:15" x14ac:dyDescent="0.25">
      <c r="A22" s="171"/>
      <c r="B22" s="171"/>
      <c r="C22" s="171"/>
      <c r="D22" s="171"/>
      <c r="E22" s="171"/>
      <c r="F22" s="171"/>
      <c r="G22" s="171" t="s">
        <v>50</v>
      </c>
      <c r="H22" s="171"/>
      <c r="I22" s="171"/>
      <c r="J22" s="138">
        <v>27000</v>
      </c>
    </row>
    <row r="23" spans="1:15" x14ac:dyDescent="0.25">
      <c r="A23" s="171"/>
      <c r="B23" s="171"/>
      <c r="C23" s="171"/>
      <c r="D23" s="171"/>
      <c r="E23" s="171"/>
      <c r="F23" s="171"/>
      <c r="G23" s="171" t="s">
        <v>447</v>
      </c>
      <c r="H23" s="171"/>
      <c r="I23" s="171"/>
      <c r="J23" s="138">
        <v>36599</v>
      </c>
      <c r="L23" s="21"/>
    </row>
    <row r="24" spans="1:15" x14ac:dyDescent="0.25">
      <c r="A24" s="171"/>
      <c r="B24" s="171"/>
      <c r="C24" s="171"/>
      <c r="D24" s="171"/>
      <c r="E24" s="171"/>
      <c r="F24" s="171"/>
      <c r="G24" s="171" t="s">
        <v>448</v>
      </c>
      <c r="H24" s="171"/>
      <c r="I24" s="171"/>
      <c r="J24" s="138">
        <v>6355</v>
      </c>
      <c r="L24" s="21"/>
    </row>
    <row r="25" spans="1:15" x14ac:dyDescent="0.25">
      <c r="A25" s="171"/>
      <c r="B25" s="171"/>
      <c r="C25" s="171"/>
      <c r="D25" s="171"/>
      <c r="E25" s="171"/>
      <c r="F25" s="171"/>
      <c r="G25" s="171" t="s">
        <v>449</v>
      </c>
      <c r="H25" s="171"/>
      <c r="I25" s="171"/>
      <c r="J25" s="138">
        <v>34145</v>
      </c>
    </row>
    <row r="26" spans="1:15" x14ac:dyDescent="0.25">
      <c r="A26" s="171"/>
      <c r="B26" s="171"/>
      <c r="C26" s="171"/>
      <c r="D26" s="171"/>
      <c r="E26" s="171"/>
      <c r="F26" s="171"/>
      <c r="G26" s="171" t="s">
        <v>451</v>
      </c>
      <c r="H26" s="171"/>
      <c r="I26" s="171"/>
      <c r="J26" s="226">
        <v>160650</v>
      </c>
    </row>
    <row r="27" spans="1:15" x14ac:dyDescent="0.25">
      <c r="A27" s="171"/>
      <c r="B27" s="171"/>
      <c r="C27" s="171"/>
      <c r="D27" s="171"/>
      <c r="E27" s="171"/>
      <c r="F27" s="171" t="s">
        <v>54</v>
      </c>
      <c r="G27" s="171"/>
      <c r="H27" s="171"/>
      <c r="I27" s="171"/>
      <c r="J27" s="138">
        <f>SUM(J21:J26)</f>
        <v>313549</v>
      </c>
      <c r="M27" s="23"/>
    </row>
    <row r="28" spans="1:15" x14ac:dyDescent="0.25">
      <c r="A28" s="171"/>
      <c r="B28" s="171"/>
      <c r="C28" s="171"/>
      <c r="D28" s="171"/>
      <c r="E28" s="171"/>
      <c r="F28" s="171" t="s">
        <v>55</v>
      </c>
      <c r="G28" s="171"/>
      <c r="H28" s="171"/>
      <c r="I28" s="171"/>
      <c r="J28" s="138"/>
      <c r="M28" s="23"/>
    </row>
    <row r="29" spans="1:15" x14ac:dyDescent="0.25">
      <c r="A29" s="171"/>
      <c r="B29" s="171"/>
      <c r="C29" s="171"/>
      <c r="D29" s="171"/>
      <c r="E29" s="171"/>
      <c r="F29" s="171"/>
      <c r="G29" s="171" t="s">
        <v>56</v>
      </c>
      <c r="H29" s="171"/>
      <c r="I29" s="171"/>
      <c r="J29" s="138">
        <v>4004937.07</v>
      </c>
    </row>
    <row r="30" spans="1:15" x14ac:dyDescent="0.25">
      <c r="A30" s="171"/>
      <c r="B30" s="171"/>
      <c r="C30" s="171"/>
      <c r="D30" s="171"/>
      <c r="E30" s="171"/>
      <c r="F30" s="171"/>
      <c r="G30" s="171" t="s">
        <v>620</v>
      </c>
      <c r="H30" s="171"/>
      <c r="I30" s="171"/>
      <c r="J30" s="138">
        <v>243108.52</v>
      </c>
    </row>
    <row r="31" spans="1:15" x14ac:dyDescent="0.25">
      <c r="A31" s="171"/>
      <c r="B31" s="171"/>
      <c r="C31" s="171"/>
      <c r="D31" s="171"/>
      <c r="E31" s="171"/>
      <c r="F31" s="171"/>
      <c r="G31" s="171" t="s">
        <v>59</v>
      </c>
      <c r="H31" s="171"/>
      <c r="I31" s="171"/>
      <c r="J31" s="138">
        <v>138033.5</v>
      </c>
    </row>
    <row r="32" spans="1:15" ht="15.75" thickBot="1" x14ac:dyDescent="0.3">
      <c r="A32" s="171"/>
      <c r="B32" s="171"/>
      <c r="C32" s="171"/>
      <c r="D32" s="171"/>
      <c r="E32" s="171"/>
      <c r="F32" s="171"/>
      <c r="G32" s="171" t="s">
        <v>60</v>
      </c>
      <c r="H32" s="171"/>
      <c r="I32" s="171"/>
      <c r="J32" s="143">
        <v>7609.44</v>
      </c>
    </row>
    <row r="33" spans="1:13" x14ac:dyDescent="0.25">
      <c r="A33" s="171"/>
      <c r="B33" s="171"/>
      <c r="C33" s="171"/>
      <c r="D33" s="171"/>
      <c r="E33" s="171"/>
      <c r="F33" s="171" t="s">
        <v>61</v>
      </c>
      <c r="G33" s="171"/>
      <c r="H33" s="171"/>
      <c r="I33" s="171"/>
      <c r="J33" s="138">
        <f>ROUND(SUM(J28:J32),5)</f>
        <v>4393688.53</v>
      </c>
    </row>
    <row r="34" spans="1:13" x14ac:dyDescent="0.25">
      <c r="A34" s="171"/>
      <c r="B34" s="171"/>
      <c r="C34" s="171"/>
      <c r="D34" s="171"/>
      <c r="E34" s="171"/>
      <c r="F34" s="171" t="s">
        <v>62</v>
      </c>
      <c r="G34" s="171"/>
      <c r="H34" s="171"/>
      <c r="I34" s="171"/>
      <c r="J34" s="138"/>
    </row>
    <row r="35" spans="1:13" x14ac:dyDescent="0.25">
      <c r="A35" s="171"/>
      <c r="B35" s="171"/>
      <c r="C35" s="171"/>
      <c r="D35" s="171"/>
      <c r="E35" s="171"/>
      <c r="F35" s="171"/>
      <c r="G35" s="171" t="s">
        <v>63</v>
      </c>
      <c r="H35" s="171"/>
      <c r="I35" s="171"/>
      <c r="J35" s="138">
        <v>969455</v>
      </c>
    </row>
    <row r="36" spans="1:13" x14ac:dyDescent="0.25">
      <c r="A36" s="171"/>
      <c r="B36" s="171"/>
      <c r="C36" s="171"/>
      <c r="D36" s="171"/>
      <c r="E36" s="171"/>
      <c r="F36" s="171"/>
      <c r="G36" s="171" t="s">
        <v>512</v>
      </c>
      <c r="H36" s="171"/>
      <c r="I36" s="171"/>
      <c r="J36" s="138">
        <v>116814.6</v>
      </c>
    </row>
    <row r="37" spans="1:13" x14ac:dyDescent="0.25">
      <c r="A37" s="171"/>
      <c r="B37" s="171"/>
      <c r="C37" s="171"/>
      <c r="D37" s="171"/>
      <c r="E37" s="171"/>
      <c r="F37" s="171"/>
      <c r="G37" s="171" t="s">
        <v>513</v>
      </c>
      <c r="H37" s="171"/>
      <c r="I37" s="171"/>
      <c r="J37" s="138">
        <v>29203.65</v>
      </c>
    </row>
    <row r="38" spans="1:13" x14ac:dyDescent="0.25">
      <c r="A38" s="171"/>
      <c r="B38" s="171"/>
      <c r="C38" s="171"/>
      <c r="D38" s="171"/>
      <c r="E38" s="171"/>
      <c r="F38" s="171"/>
      <c r="G38" s="171" t="s">
        <v>64</v>
      </c>
      <c r="H38" s="171"/>
      <c r="I38" s="171"/>
      <c r="J38" s="138">
        <v>407107.56</v>
      </c>
    </row>
    <row r="39" spans="1:13" x14ac:dyDescent="0.25">
      <c r="A39" s="171"/>
      <c r="B39" s="171"/>
      <c r="C39" s="171"/>
      <c r="D39" s="171"/>
      <c r="E39" s="171"/>
      <c r="F39" s="171"/>
      <c r="G39" s="171" t="s">
        <v>65</v>
      </c>
      <c r="H39" s="171"/>
      <c r="I39" s="171"/>
      <c r="J39" s="138">
        <v>98234.83</v>
      </c>
    </row>
    <row r="40" spans="1:13" x14ac:dyDescent="0.25">
      <c r="A40" s="171"/>
      <c r="B40" s="171"/>
      <c r="C40" s="171"/>
      <c r="D40" s="171"/>
      <c r="E40" s="171"/>
      <c r="F40" s="171"/>
      <c r="G40" s="171" t="s">
        <v>66</v>
      </c>
      <c r="H40" s="171"/>
      <c r="I40" s="171"/>
      <c r="J40" s="138">
        <v>30949.38</v>
      </c>
    </row>
    <row r="41" spans="1:13" ht="15.75" thickBot="1" x14ac:dyDescent="0.3">
      <c r="A41" s="171"/>
      <c r="B41" s="171"/>
      <c r="C41" s="171"/>
      <c r="D41" s="171"/>
      <c r="E41" s="171"/>
      <c r="F41" s="171"/>
      <c r="G41" s="171" t="s">
        <v>645</v>
      </c>
      <c r="H41" s="171"/>
      <c r="I41" s="171"/>
      <c r="J41" s="143">
        <v>89027.13</v>
      </c>
    </row>
    <row r="42" spans="1:13" x14ac:dyDescent="0.25">
      <c r="A42" s="171"/>
      <c r="B42" s="171"/>
      <c r="C42" s="171"/>
      <c r="D42" s="171"/>
      <c r="E42" s="171"/>
      <c r="F42" s="171" t="s">
        <v>67</v>
      </c>
      <c r="G42" s="171"/>
      <c r="H42" s="171"/>
      <c r="I42" s="171"/>
      <c r="J42" s="138">
        <f>ROUND(SUM(J34:J41),5)</f>
        <v>1740792.15</v>
      </c>
    </row>
    <row r="43" spans="1:13" x14ac:dyDescent="0.25">
      <c r="A43" s="171"/>
      <c r="B43" s="171"/>
      <c r="C43" s="171"/>
      <c r="D43" s="171"/>
      <c r="E43" s="171"/>
      <c r="F43" s="171" t="s">
        <v>514</v>
      </c>
      <c r="G43" s="171"/>
      <c r="H43" s="171"/>
      <c r="I43" s="171"/>
      <c r="J43" s="138"/>
    </row>
    <row r="44" spans="1:13" x14ac:dyDescent="0.25">
      <c r="A44" s="171"/>
      <c r="B44" s="171"/>
      <c r="C44" s="171"/>
      <c r="D44" s="171"/>
      <c r="E44" s="171"/>
      <c r="F44" s="171"/>
      <c r="G44" s="171" t="s">
        <v>53</v>
      </c>
      <c r="H44" s="171"/>
      <c r="I44" s="171"/>
      <c r="J44" s="139">
        <f>338675</f>
        <v>338675</v>
      </c>
    </row>
    <row r="45" spans="1:13" x14ac:dyDescent="0.25">
      <c r="A45" s="171"/>
      <c r="B45" s="171"/>
      <c r="C45" s="171"/>
      <c r="D45" s="171"/>
      <c r="E45" s="171"/>
      <c r="F45" s="171"/>
      <c r="G45" s="171" t="s">
        <v>621</v>
      </c>
      <c r="H45" s="171"/>
      <c r="I45" s="171"/>
      <c r="J45" s="138">
        <v>2385</v>
      </c>
    </row>
    <row r="46" spans="1:13" x14ac:dyDescent="0.25">
      <c r="A46" s="171"/>
      <c r="B46" s="171"/>
      <c r="C46" s="171"/>
      <c r="D46" s="171"/>
      <c r="E46" s="171"/>
      <c r="F46" s="171"/>
      <c r="G46" s="171" t="s">
        <v>622</v>
      </c>
      <c r="H46" s="171"/>
      <c r="I46" s="171"/>
      <c r="J46" s="138">
        <v>64300</v>
      </c>
    </row>
    <row r="47" spans="1:13" x14ac:dyDescent="0.25">
      <c r="A47" s="171"/>
      <c r="B47" s="171"/>
      <c r="C47" s="171"/>
      <c r="D47" s="171"/>
      <c r="E47" s="171"/>
      <c r="F47" s="171"/>
      <c r="G47" s="171" t="s">
        <v>515</v>
      </c>
      <c r="H47" s="171"/>
      <c r="I47" s="171"/>
      <c r="J47" s="226">
        <v>151418</v>
      </c>
    </row>
    <row r="48" spans="1:13" ht="15.75" thickBot="1" x14ac:dyDescent="0.3">
      <c r="A48" s="171"/>
      <c r="B48" s="171"/>
      <c r="C48" s="171"/>
      <c r="D48" s="171"/>
      <c r="E48" s="171"/>
      <c r="F48" s="171" t="s">
        <v>516</v>
      </c>
      <c r="G48" s="171"/>
      <c r="H48" s="171"/>
      <c r="I48" s="171"/>
      <c r="J48" s="214">
        <f>ROUND(SUM(J43:J47),5)</f>
        <v>556778</v>
      </c>
      <c r="L48" s="20"/>
      <c r="M48" s="21"/>
    </row>
    <row r="49" spans="1:10" ht="15.75" thickBot="1" x14ac:dyDescent="0.3">
      <c r="A49" s="171"/>
      <c r="B49" s="171"/>
      <c r="C49" s="171"/>
      <c r="D49" s="171"/>
      <c r="E49" s="171" t="s">
        <v>71</v>
      </c>
      <c r="F49" s="171"/>
      <c r="G49" s="171"/>
      <c r="H49" s="171"/>
      <c r="I49" s="171"/>
      <c r="J49" s="140">
        <f>ROUND(J13+J19+J27+J33+J42+SUM(J48:J48),5)</f>
        <v>9896634.5700000003</v>
      </c>
    </row>
    <row r="50" spans="1:10" ht="15.75" thickBot="1" x14ac:dyDescent="0.3">
      <c r="A50" s="171"/>
      <c r="B50" s="171"/>
      <c r="C50" s="171"/>
      <c r="D50" s="171" t="s">
        <v>72</v>
      </c>
      <c r="E50" s="171"/>
      <c r="F50" s="171"/>
      <c r="G50" s="171"/>
      <c r="H50" s="171"/>
      <c r="I50" s="171"/>
      <c r="J50" s="141">
        <f>ROUND(SUM(J12:J12)+J49,5)</f>
        <v>9896634.5700000003</v>
      </c>
    </row>
    <row r="51" spans="1:10" x14ac:dyDescent="0.25">
      <c r="A51" s="171"/>
      <c r="B51" s="171"/>
      <c r="C51" s="171" t="s">
        <v>73</v>
      </c>
      <c r="D51" s="171"/>
      <c r="E51" s="171"/>
      <c r="F51" s="171"/>
      <c r="G51" s="171"/>
      <c r="H51" s="171"/>
      <c r="I51" s="171"/>
      <c r="J51" s="138">
        <f>ROUND(J11-J50,5)</f>
        <v>3867437.36</v>
      </c>
    </row>
    <row r="52" spans="1:10" x14ac:dyDescent="0.25">
      <c r="A52" s="171"/>
      <c r="B52" s="171"/>
      <c r="C52" s="171"/>
      <c r="D52" s="171" t="s">
        <v>74</v>
      </c>
      <c r="E52" s="171"/>
      <c r="F52" s="171"/>
      <c r="G52" s="171"/>
      <c r="H52" s="171"/>
      <c r="I52" s="171"/>
      <c r="J52" s="138"/>
    </row>
    <row r="53" spans="1:10" x14ac:dyDescent="0.25">
      <c r="A53" s="171"/>
      <c r="B53" s="171"/>
      <c r="C53" s="171"/>
      <c r="D53" s="171"/>
      <c r="E53" s="171" t="s">
        <v>75</v>
      </c>
      <c r="F53" s="171"/>
      <c r="G53" s="171"/>
      <c r="H53" s="171"/>
      <c r="I53" s="171"/>
      <c r="J53" s="138"/>
    </row>
    <row r="54" spans="1:10" x14ac:dyDescent="0.25">
      <c r="A54" s="171"/>
      <c r="B54" s="171"/>
      <c r="C54" s="171"/>
      <c r="D54" s="171"/>
      <c r="E54" s="171"/>
      <c r="F54" s="171" t="s">
        <v>189</v>
      </c>
      <c r="G54" s="171"/>
      <c r="H54" s="171"/>
      <c r="I54" s="171"/>
      <c r="J54" s="138"/>
    </row>
    <row r="55" spans="1:10" x14ac:dyDescent="0.25">
      <c r="A55" s="171"/>
      <c r="B55" s="171"/>
      <c r="C55" s="171"/>
      <c r="D55" s="171"/>
      <c r="E55" s="171"/>
      <c r="F55" s="171"/>
      <c r="G55" s="171" t="s">
        <v>76</v>
      </c>
      <c r="H55" s="171"/>
      <c r="I55" s="171"/>
      <c r="J55" s="138"/>
    </row>
    <row r="56" spans="1:10" x14ac:dyDescent="0.25">
      <c r="A56" s="171"/>
      <c r="B56" s="171"/>
      <c r="C56" s="171"/>
      <c r="D56" s="171"/>
      <c r="E56" s="171"/>
      <c r="F56" s="171"/>
      <c r="G56" s="171"/>
      <c r="H56" s="171" t="s">
        <v>77</v>
      </c>
      <c r="I56" s="171"/>
      <c r="J56" s="138">
        <v>6000</v>
      </c>
    </row>
    <row r="57" spans="1:10" x14ac:dyDescent="0.25">
      <c r="A57" s="171"/>
      <c r="B57" s="171"/>
      <c r="C57" s="171"/>
      <c r="D57" s="171"/>
      <c r="E57" s="171"/>
      <c r="F57" s="171"/>
      <c r="G57" s="171"/>
      <c r="H57" s="171" t="s">
        <v>78</v>
      </c>
      <c r="I57" s="171"/>
      <c r="J57" s="138">
        <v>40213.4</v>
      </c>
    </row>
    <row r="58" spans="1:10" x14ac:dyDescent="0.25">
      <c r="A58" s="171"/>
      <c r="B58" s="171"/>
      <c r="C58" s="171"/>
      <c r="D58" s="171"/>
      <c r="E58" s="171"/>
      <c r="F58" s="171"/>
      <c r="G58" s="171"/>
      <c r="H58" s="171" t="s">
        <v>79</v>
      </c>
      <c r="I58" s="171"/>
      <c r="J58" s="138">
        <v>1500</v>
      </c>
    </row>
    <row r="59" spans="1:10" x14ac:dyDescent="0.25">
      <c r="A59" s="171"/>
      <c r="B59" s="171"/>
      <c r="C59" s="171"/>
      <c r="D59" s="171"/>
      <c r="E59" s="171"/>
      <c r="F59" s="171"/>
      <c r="G59" s="171"/>
      <c r="H59" s="171" t="s">
        <v>80</v>
      </c>
      <c r="I59" s="171"/>
      <c r="J59" s="138">
        <v>3100</v>
      </c>
    </row>
    <row r="60" spans="1:10" x14ac:dyDescent="0.25">
      <c r="A60" s="171"/>
      <c r="B60" s="171"/>
      <c r="C60" s="171"/>
      <c r="D60" s="171"/>
      <c r="E60" s="171"/>
      <c r="F60" s="171"/>
      <c r="G60" s="171"/>
      <c r="H60" s="171" t="s">
        <v>453</v>
      </c>
      <c r="I60" s="171"/>
      <c r="J60" s="138">
        <v>2570.4</v>
      </c>
    </row>
    <row r="61" spans="1:10" x14ac:dyDescent="0.25">
      <c r="A61" s="171"/>
      <c r="B61" s="171"/>
      <c r="C61" s="171"/>
      <c r="D61" s="171"/>
      <c r="E61" s="171"/>
      <c r="F61" s="171"/>
      <c r="G61" s="171"/>
      <c r="H61" s="171" t="s">
        <v>81</v>
      </c>
      <c r="I61" s="171"/>
      <c r="J61" s="138"/>
    </row>
    <row r="62" spans="1:10" ht="15.75" thickBot="1" x14ac:dyDescent="0.3">
      <c r="A62" s="171"/>
      <c r="B62" s="171"/>
      <c r="C62" s="171"/>
      <c r="D62" s="171"/>
      <c r="E62" s="171"/>
      <c r="F62" s="171"/>
      <c r="G62" s="171"/>
      <c r="H62" s="171"/>
      <c r="I62" s="171" t="s">
        <v>82</v>
      </c>
      <c r="J62" s="143">
        <v>18102</v>
      </c>
    </row>
    <row r="63" spans="1:10" x14ac:dyDescent="0.25">
      <c r="A63" s="171"/>
      <c r="B63" s="171"/>
      <c r="C63" s="171"/>
      <c r="D63" s="171"/>
      <c r="E63" s="171"/>
      <c r="F63" s="171"/>
      <c r="G63" s="171"/>
      <c r="H63" s="171" t="s">
        <v>83</v>
      </c>
      <c r="I63" s="171"/>
      <c r="J63" s="138">
        <f>ROUND(SUM(J61:J62),5)</f>
        <v>18102</v>
      </c>
    </row>
    <row r="64" spans="1:10" x14ac:dyDescent="0.25">
      <c r="A64" s="171"/>
      <c r="B64" s="171"/>
      <c r="C64" s="171"/>
      <c r="D64" s="171"/>
      <c r="E64" s="171"/>
      <c r="F64" s="171"/>
      <c r="G64" s="171"/>
      <c r="H64" s="171" t="s">
        <v>190</v>
      </c>
      <c r="I64" s="171"/>
      <c r="J64" s="138">
        <v>73645</v>
      </c>
    </row>
    <row r="65" spans="1:10" x14ac:dyDescent="0.25">
      <c r="A65" s="171"/>
      <c r="B65" s="171"/>
      <c r="C65" s="171"/>
      <c r="D65" s="171"/>
      <c r="E65" s="171"/>
      <c r="F65" s="171"/>
      <c r="G65" s="171"/>
      <c r="H65" s="171" t="s">
        <v>84</v>
      </c>
      <c r="I65" s="171"/>
      <c r="J65" s="138">
        <v>48675</v>
      </c>
    </row>
    <row r="66" spans="1:10" x14ac:dyDescent="0.25">
      <c r="A66" s="171"/>
      <c r="B66" s="171"/>
      <c r="C66" s="171"/>
      <c r="D66" s="171"/>
      <c r="E66" s="171"/>
      <c r="F66" s="171"/>
      <c r="G66" s="171"/>
      <c r="H66" s="171" t="s">
        <v>517</v>
      </c>
      <c r="I66" s="171"/>
      <c r="J66" s="138"/>
    </row>
    <row r="67" spans="1:10" x14ac:dyDescent="0.25">
      <c r="A67" s="171"/>
      <c r="B67" s="171"/>
      <c r="C67" s="171"/>
      <c r="D67" s="171"/>
      <c r="E67" s="171"/>
      <c r="F67" s="171"/>
      <c r="G67" s="171"/>
      <c r="H67" s="171"/>
      <c r="I67" s="171" t="s">
        <v>518</v>
      </c>
      <c r="J67" s="138">
        <v>7101.61</v>
      </c>
    </row>
    <row r="68" spans="1:10" ht="15.75" thickBot="1" x14ac:dyDescent="0.3">
      <c r="A68" s="171"/>
      <c r="B68" s="171"/>
      <c r="C68" s="171"/>
      <c r="D68" s="171"/>
      <c r="E68" s="171"/>
      <c r="F68" s="171"/>
      <c r="G68" s="171"/>
      <c r="H68" s="171"/>
      <c r="I68" s="171" t="s">
        <v>519</v>
      </c>
      <c r="J68" s="143">
        <v>8465.0400000000009</v>
      </c>
    </row>
    <row r="69" spans="1:10" x14ac:dyDescent="0.25">
      <c r="A69" s="171"/>
      <c r="B69" s="171"/>
      <c r="C69" s="171"/>
      <c r="D69" s="171"/>
      <c r="E69" s="171"/>
      <c r="F69" s="171"/>
      <c r="G69" s="171"/>
      <c r="H69" s="171" t="s">
        <v>520</v>
      </c>
      <c r="I69" s="171"/>
      <c r="J69" s="138">
        <f>ROUND(SUM(J66:J68),5)</f>
        <v>15566.65</v>
      </c>
    </row>
    <row r="70" spans="1:10" ht="15.75" thickBot="1" x14ac:dyDescent="0.3">
      <c r="A70" s="171"/>
      <c r="B70" s="171"/>
      <c r="C70" s="171"/>
      <c r="D70" s="171"/>
      <c r="E70" s="171"/>
      <c r="F70" s="171"/>
      <c r="G70" s="171"/>
      <c r="H70" s="171" t="s">
        <v>521</v>
      </c>
      <c r="I70" s="171"/>
      <c r="J70" s="143">
        <v>20813</v>
      </c>
    </row>
    <row r="71" spans="1:10" x14ac:dyDescent="0.25">
      <c r="A71" s="171"/>
      <c r="B71" s="171"/>
      <c r="C71" s="171"/>
      <c r="D71" s="171"/>
      <c r="E71" s="171"/>
      <c r="F71" s="171"/>
      <c r="G71" s="171" t="s">
        <v>85</v>
      </c>
      <c r="H71" s="171"/>
      <c r="I71" s="171"/>
      <c r="J71" s="138">
        <f>ROUND(SUM(J55:J60)+SUM(J63:J65)+SUM(J69:J70),5)</f>
        <v>230185.45</v>
      </c>
    </row>
    <row r="72" spans="1:10" x14ac:dyDescent="0.25">
      <c r="A72" s="171"/>
      <c r="B72" s="171"/>
      <c r="C72" s="171"/>
      <c r="D72" s="171"/>
      <c r="E72" s="171"/>
      <c r="F72" s="171"/>
      <c r="G72" s="171" t="s">
        <v>86</v>
      </c>
      <c r="H72" s="171"/>
      <c r="I72" s="171"/>
      <c r="J72" s="138"/>
    </row>
    <row r="73" spans="1:10" x14ac:dyDescent="0.25">
      <c r="A73" s="171"/>
      <c r="B73" s="171"/>
      <c r="C73" s="171"/>
      <c r="D73" s="171"/>
      <c r="E73" s="171"/>
      <c r="F73" s="171"/>
      <c r="G73" s="171"/>
      <c r="H73" s="171" t="s">
        <v>87</v>
      </c>
      <c r="I73" s="171"/>
      <c r="J73" s="138">
        <v>346000</v>
      </c>
    </row>
    <row r="74" spans="1:10" x14ac:dyDescent="0.25">
      <c r="A74" s="171"/>
      <c r="B74" s="171"/>
      <c r="C74" s="171"/>
      <c r="D74" s="171"/>
      <c r="E74" s="171"/>
      <c r="F74" s="171"/>
      <c r="G74" s="171"/>
      <c r="H74" s="171" t="s">
        <v>522</v>
      </c>
      <c r="I74" s="171"/>
      <c r="J74" s="138">
        <v>41520</v>
      </c>
    </row>
    <row r="75" spans="1:10" x14ac:dyDescent="0.25">
      <c r="A75" s="171"/>
      <c r="B75" s="171"/>
      <c r="C75" s="171"/>
      <c r="D75" s="171"/>
      <c r="E75" s="171"/>
      <c r="F75" s="171"/>
      <c r="G75" s="171"/>
      <c r="H75" s="171" t="s">
        <v>523</v>
      </c>
      <c r="I75" s="171"/>
      <c r="J75" s="138">
        <v>10380</v>
      </c>
    </row>
    <row r="76" spans="1:10" x14ac:dyDescent="0.25">
      <c r="A76" s="171"/>
      <c r="B76" s="171"/>
      <c r="C76" s="171"/>
      <c r="D76" s="171"/>
      <c r="E76" s="171"/>
      <c r="F76" s="171"/>
      <c r="G76" s="171"/>
      <c r="H76" s="171" t="s">
        <v>524</v>
      </c>
      <c r="I76" s="171"/>
      <c r="J76" s="138">
        <v>73000</v>
      </c>
    </row>
    <row r="77" spans="1:10" x14ac:dyDescent="0.25">
      <c r="A77" s="171"/>
      <c r="B77" s="171"/>
      <c r="C77" s="171"/>
      <c r="D77" s="171"/>
      <c r="E77" s="171"/>
      <c r="F77" s="171"/>
      <c r="G77" s="171"/>
      <c r="H77" s="171" t="s">
        <v>88</v>
      </c>
      <c r="I77" s="171"/>
      <c r="J77" s="138">
        <v>5500</v>
      </c>
    </row>
    <row r="78" spans="1:10" x14ac:dyDescent="0.25">
      <c r="A78" s="171"/>
      <c r="B78" s="171"/>
      <c r="C78" s="171"/>
      <c r="D78" s="171"/>
      <c r="E78" s="171"/>
      <c r="F78" s="171"/>
      <c r="G78" s="171"/>
      <c r="H78" s="171" t="s">
        <v>89</v>
      </c>
      <c r="I78" s="171"/>
      <c r="J78" s="138">
        <v>28000</v>
      </c>
    </row>
    <row r="79" spans="1:10" ht="15.75" thickBot="1" x14ac:dyDescent="0.3">
      <c r="A79" s="171"/>
      <c r="B79" s="171"/>
      <c r="C79" s="171"/>
      <c r="D79" s="171"/>
      <c r="E79" s="171"/>
      <c r="F79" s="171"/>
      <c r="G79" s="171"/>
      <c r="H79" s="171" t="s">
        <v>646</v>
      </c>
      <c r="I79" s="171"/>
      <c r="J79" s="143">
        <v>24200</v>
      </c>
    </row>
    <row r="80" spans="1:10" x14ac:dyDescent="0.25">
      <c r="A80" s="171"/>
      <c r="B80" s="171"/>
      <c r="C80" s="171"/>
      <c r="D80" s="171"/>
      <c r="E80" s="171"/>
      <c r="F80" s="171"/>
      <c r="G80" s="171" t="s">
        <v>91</v>
      </c>
      <c r="H80" s="171"/>
      <c r="I80" s="171"/>
      <c r="J80" s="138">
        <f>ROUND(SUM(J72:J79),5)</f>
        <v>528600</v>
      </c>
    </row>
    <row r="81" spans="1:10" x14ac:dyDescent="0.25">
      <c r="A81" s="171"/>
      <c r="B81" s="171"/>
      <c r="C81" s="171"/>
      <c r="D81" s="171"/>
      <c r="E81" s="171"/>
      <c r="F81" s="171"/>
      <c r="G81" s="171" t="s">
        <v>92</v>
      </c>
      <c r="H81" s="171"/>
      <c r="I81" s="171"/>
      <c r="J81" s="138"/>
    </row>
    <row r="82" spans="1:10" x14ac:dyDescent="0.25">
      <c r="A82" s="171"/>
      <c r="B82" s="171"/>
      <c r="C82" s="171"/>
      <c r="D82" s="171"/>
      <c r="E82" s="171"/>
      <c r="F82" s="171"/>
      <c r="G82" s="171"/>
      <c r="H82" s="171" t="s">
        <v>93</v>
      </c>
      <c r="I82" s="171"/>
      <c r="J82" s="138">
        <v>839.36</v>
      </c>
    </row>
    <row r="83" spans="1:10" x14ac:dyDescent="0.25">
      <c r="A83" s="171"/>
      <c r="B83" s="171"/>
      <c r="C83" s="171"/>
      <c r="D83" s="171"/>
      <c r="E83" s="171"/>
      <c r="F83" s="171"/>
      <c r="G83" s="171"/>
      <c r="H83" s="171" t="s">
        <v>525</v>
      </c>
      <c r="I83" s="171"/>
      <c r="J83" s="138">
        <v>6700.27</v>
      </c>
    </row>
    <row r="84" spans="1:10" x14ac:dyDescent="0.25">
      <c r="A84" s="171"/>
      <c r="B84" s="171"/>
      <c r="C84" s="171"/>
      <c r="D84" s="171"/>
      <c r="E84" s="171"/>
      <c r="F84" s="171"/>
      <c r="G84" s="171"/>
      <c r="H84" s="171" t="s">
        <v>94</v>
      </c>
      <c r="I84" s="171"/>
      <c r="J84" s="138">
        <v>10475.75</v>
      </c>
    </row>
    <row r="85" spans="1:10" x14ac:dyDescent="0.25">
      <c r="A85" s="171"/>
      <c r="B85" s="171"/>
      <c r="C85" s="171"/>
      <c r="D85" s="171"/>
      <c r="E85" s="171"/>
      <c r="F85" s="171"/>
      <c r="G85" s="171"/>
      <c r="H85" s="171" t="s">
        <v>95</v>
      </c>
      <c r="I85" s="171"/>
      <c r="J85" s="138">
        <v>12730.43</v>
      </c>
    </row>
    <row r="86" spans="1:10" ht="15.75" thickBot="1" x14ac:dyDescent="0.3">
      <c r="A86" s="171"/>
      <c r="B86" s="171"/>
      <c r="C86" s="171"/>
      <c r="D86" s="171"/>
      <c r="E86" s="171"/>
      <c r="F86" s="171"/>
      <c r="G86" s="171"/>
      <c r="H86" s="171" t="s">
        <v>526</v>
      </c>
      <c r="I86" s="171"/>
      <c r="J86" s="143">
        <v>43301.88</v>
      </c>
    </row>
    <row r="87" spans="1:10" x14ac:dyDescent="0.25">
      <c r="A87" s="171"/>
      <c r="B87" s="171"/>
      <c r="C87" s="171"/>
      <c r="D87" s="171"/>
      <c r="E87" s="171"/>
      <c r="F87" s="171"/>
      <c r="G87" s="171" t="s">
        <v>96</v>
      </c>
      <c r="H87" s="171"/>
      <c r="I87" s="171"/>
      <c r="J87" s="138">
        <f>ROUND(SUM(J81:J86),5)</f>
        <v>74047.69</v>
      </c>
    </row>
    <row r="88" spans="1:10" x14ac:dyDescent="0.25">
      <c r="A88" s="171"/>
      <c r="B88" s="171"/>
      <c r="C88" s="171"/>
      <c r="D88" s="171"/>
      <c r="E88" s="171"/>
      <c r="F88" s="171"/>
      <c r="G88" s="171" t="s">
        <v>97</v>
      </c>
      <c r="H88" s="171"/>
      <c r="I88" s="171"/>
      <c r="J88" s="138"/>
    </row>
    <row r="89" spans="1:10" x14ac:dyDescent="0.25">
      <c r="A89" s="171"/>
      <c r="B89" s="171"/>
      <c r="C89" s="171"/>
      <c r="D89" s="171"/>
      <c r="E89" s="171"/>
      <c r="F89" s="171"/>
      <c r="G89" s="171"/>
      <c r="H89" s="171" t="s">
        <v>98</v>
      </c>
      <c r="I89" s="171"/>
      <c r="J89" s="138">
        <v>12100</v>
      </c>
    </row>
    <row r="90" spans="1:10" x14ac:dyDescent="0.25">
      <c r="A90" s="171"/>
      <c r="B90" s="171"/>
      <c r="C90" s="171"/>
      <c r="D90" s="171"/>
      <c r="E90" s="171"/>
      <c r="F90" s="171"/>
      <c r="G90" s="171"/>
      <c r="H90" s="171" t="s">
        <v>625</v>
      </c>
      <c r="I90" s="171"/>
      <c r="J90" s="138">
        <v>35710</v>
      </c>
    </row>
    <row r="91" spans="1:10" ht="15.75" thickBot="1" x14ac:dyDescent="0.3">
      <c r="A91" s="171"/>
      <c r="B91" s="171"/>
      <c r="C91" s="171"/>
      <c r="D91" s="171"/>
      <c r="E91" s="171"/>
      <c r="F91" s="171"/>
      <c r="G91" s="171"/>
      <c r="H91" s="171" t="s">
        <v>527</v>
      </c>
      <c r="I91" s="171"/>
      <c r="J91" s="143">
        <v>11000</v>
      </c>
    </row>
    <row r="92" spans="1:10" x14ac:dyDescent="0.25">
      <c r="A92" s="171"/>
      <c r="B92" s="171"/>
      <c r="C92" s="171"/>
      <c r="D92" s="171"/>
      <c r="E92" s="171"/>
      <c r="F92" s="171"/>
      <c r="G92" s="171" t="s">
        <v>102</v>
      </c>
      <c r="H92" s="171"/>
      <c r="I92" s="171"/>
      <c r="J92" s="138">
        <f>ROUND(SUM(J88:J91),5)</f>
        <v>58810</v>
      </c>
    </row>
    <row r="93" spans="1:10" x14ac:dyDescent="0.25">
      <c r="A93" s="171"/>
      <c r="B93" s="171"/>
      <c r="C93" s="171"/>
      <c r="D93" s="171"/>
      <c r="E93" s="171"/>
      <c r="F93" s="171"/>
      <c r="G93" s="171" t="s">
        <v>103</v>
      </c>
      <c r="H93" s="171"/>
      <c r="I93" s="171"/>
      <c r="J93" s="138"/>
    </row>
    <row r="94" spans="1:10" x14ac:dyDescent="0.25">
      <c r="A94" s="171"/>
      <c r="B94" s="171"/>
      <c r="C94" s="171"/>
      <c r="D94" s="171"/>
      <c r="E94" s="171"/>
      <c r="F94" s="171"/>
      <c r="G94" s="171"/>
      <c r="H94" s="171" t="s">
        <v>104</v>
      </c>
      <c r="I94" s="171"/>
      <c r="J94" s="138">
        <v>30530</v>
      </c>
    </row>
    <row r="95" spans="1:10" x14ac:dyDescent="0.25">
      <c r="A95" s="171"/>
      <c r="B95" s="171"/>
      <c r="C95" s="171"/>
      <c r="D95" s="171"/>
      <c r="E95" s="171"/>
      <c r="F95" s="171"/>
      <c r="G95" s="171"/>
      <c r="H95" s="171" t="s">
        <v>105</v>
      </c>
      <c r="I95" s="171"/>
      <c r="J95" s="138">
        <v>44650</v>
      </c>
    </row>
    <row r="96" spans="1:10" x14ac:dyDescent="0.25">
      <c r="A96" s="171"/>
      <c r="B96" s="171"/>
      <c r="C96" s="171"/>
      <c r="D96" s="171"/>
      <c r="E96" s="171"/>
      <c r="F96" s="171"/>
      <c r="G96" s="171"/>
      <c r="H96" s="171" t="s">
        <v>455</v>
      </c>
      <c r="I96" s="171"/>
      <c r="J96" s="138">
        <v>84303</v>
      </c>
    </row>
    <row r="97" spans="1:10" x14ac:dyDescent="0.25">
      <c r="A97" s="171"/>
      <c r="B97" s="171"/>
      <c r="C97" s="171"/>
      <c r="D97" s="171"/>
      <c r="E97" s="171"/>
      <c r="F97" s="171"/>
      <c r="G97" s="171"/>
      <c r="H97" s="171" t="s">
        <v>107</v>
      </c>
      <c r="I97" s="171"/>
      <c r="J97" s="138">
        <v>3420</v>
      </c>
    </row>
    <row r="98" spans="1:10" x14ac:dyDescent="0.25">
      <c r="A98" s="171"/>
      <c r="B98" s="171"/>
      <c r="C98" s="171"/>
      <c r="D98" s="171"/>
      <c r="E98" s="171"/>
      <c r="F98" s="171"/>
      <c r="G98" s="171"/>
      <c r="H98" s="171" t="s">
        <v>528</v>
      </c>
      <c r="I98" s="171"/>
      <c r="J98" s="138">
        <v>136850.54</v>
      </c>
    </row>
    <row r="99" spans="1:10" x14ac:dyDescent="0.25">
      <c r="A99" s="171"/>
      <c r="B99" s="171"/>
      <c r="C99" s="171"/>
      <c r="D99" s="171"/>
      <c r="E99" s="171"/>
      <c r="F99" s="171"/>
      <c r="G99" s="171"/>
      <c r="H99" s="171" t="s">
        <v>529</v>
      </c>
      <c r="I99" s="171"/>
      <c r="J99" s="138">
        <v>134366.23000000001</v>
      </c>
    </row>
    <row r="100" spans="1:10" x14ac:dyDescent="0.25">
      <c r="A100" s="171"/>
      <c r="B100" s="171"/>
      <c r="C100" s="171"/>
      <c r="D100" s="171"/>
      <c r="E100" s="171"/>
      <c r="F100" s="171"/>
      <c r="G100" s="171"/>
      <c r="H100" s="171" t="s">
        <v>530</v>
      </c>
      <c r="I100" s="171"/>
      <c r="J100" s="138">
        <v>85420.41</v>
      </c>
    </row>
    <row r="101" spans="1:10" ht="15.75" thickBot="1" x14ac:dyDescent="0.3">
      <c r="A101" s="171"/>
      <c r="B101" s="171"/>
      <c r="C101" s="171"/>
      <c r="D101" s="171"/>
      <c r="E101" s="171"/>
      <c r="F101" s="171"/>
      <c r="G101" s="171"/>
      <c r="H101" s="171" t="s">
        <v>475</v>
      </c>
      <c r="I101" s="171"/>
      <c r="J101" s="143">
        <v>11800</v>
      </c>
    </row>
    <row r="102" spans="1:10" x14ac:dyDescent="0.25">
      <c r="A102" s="171"/>
      <c r="B102" s="171"/>
      <c r="C102" s="171"/>
      <c r="D102" s="171"/>
      <c r="E102" s="171"/>
      <c r="F102" s="171"/>
      <c r="G102" s="171" t="s">
        <v>108</v>
      </c>
      <c r="H102" s="171"/>
      <c r="I102" s="171"/>
      <c r="J102" s="138">
        <f>ROUND(SUM(J93:J101),5)</f>
        <v>531340.18000000005</v>
      </c>
    </row>
    <row r="103" spans="1:10" x14ac:dyDescent="0.25">
      <c r="A103" s="171"/>
      <c r="B103" s="171"/>
      <c r="C103" s="171"/>
      <c r="D103" s="171"/>
      <c r="E103" s="171"/>
      <c r="F103" s="171"/>
      <c r="G103" s="171" t="s">
        <v>456</v>
      </c>
      <c r="H103" s="171"/>
      <c r="I103" s="171"/>
      <c r="J103" s="138"/>
    </row>
    <row r="104" spans="1:10" x14ac:dyDescent="0.25">
      <c r="A104" s="171"/>
      <c r="B104" s="171"/>
      <c r="C104" s="171"/>
      <c r="D104" s="171"/>
      <c r="E104" s="171"/>
      <c r="F104" s="171"/>
      <c r="G104" s="171"/>
      <c r="H104" s="171" t="s">
        <v>531</v>
      </c>
      <c r="I104" s="171"/>
      <c r="J104" s="138">
        <v>238333.34</v>
      </c>
    </row>
    <row r="105" spans="1:10" x14ac:dyDescent="0.25">
      <c r="A105" s="171"/>
      <c r="B105" s="171"/>
      <c r="C105" s="171"/>
      <c r="D105" s="171"/>
      <c r="E105" s="171"/>
      <c r="F105" s="171"/>
      <c r="G105" s="171"/>
      <c r="H105" s="171" t="s">
        <v>476</v>
      </c>
      <c r="I105" s="171"/>
      <c r="J105" s="138">
        <v>7141.59</v>
      </c>
    </row>
    <row r="106" spans="1:10" x14ac:dyDescent="0.25">
      <c r="A106" s="171"/>
      <c r="B106" s="171"/>
      <c r="C106" s="171"/>
      <c r="D106" s="171"/>
      <c r="E106" s="171"/>
      <c r="F106" s="171"/>
      <c r="G106" s="171"/>
      <c r="H106" s="171" t="s">
        <v>626</v>
      </c>
      <c r="I106" s="171"/>
      <c r="J106" s="138">
        <v>2850</v>
      </c>
    </row>
    <row r="107" spans="1:10" ht="15.75" thickBot="1" x14ac:dyDescent="0.3">
      <c r="A107" s="171"/>
      <c r="B107" s="171"/>
      <c r="C107" s="171"/>
      <c r="D107" s="171"/>
      <c r="E107" s="171"/>
      <c r="F107" s="171"/>
      <c r="G107" s="171"/>
      <c r="H107" s="171" t="s">
        <v>627</v>
      </c>
      <c r="I107" s="171"/>
      <c r="J107" s="139">
        <v>225</v>
      </c>
    </row>
    <row r="108" spans="1:10" ht="15.75" thickBot="1" x14ac:dyDescent="0.3">
      <c r="A108" s="171"/>
      <c r="B108" s="171"/>
      <c r="C108" s="171"/>
      <c r="D108" s="171"/>
      <c r="E108" s="171"/>
      <c r="F108" s="171"/>
      <c r="G108" s="171" t="s">
        <v>458</v>
      </c>
      <c r="H108" s="171"/>
      <c r="I108" s="171"/>
      <c r="J108" s="141">
        <f>ROUND(SUM(J103:J107),5)</f>
        <v>248549.93</v>
      </c>
    </row>
    <row r="109" spans="1:10" x14ac:dyDescent="0.25">
      <c r="A109" s="171"/>
      <c r="B109" s="171"/>
      <c r="C109" s="171"/>
      <c r="D109" s="171"/>
      <c r="E109" s="171"/>
      <c r="F109" s="171" t="s">
        <v>191</v>
      </c>
      <c r="G109" s="171"/>
      <c r="H109" s="171"/>
      <c r="I109" s="171"/>
      <c r="J109" s="138">
        <f>ROUND(J54+J71+J80+J87+J92+J102+J108,5)</f>
        <v>1671533.25</v>
      </c>
    </row>
    <row r="110" spans="1:10" x14ac:dyDescent="0.25">
      <c r="A110" s="171"/>
      <c r="B110" s="171"/>
      <c r="C110" s="171"/>
      <c r="D110" s="171"/>
      <c r="E110" s="171"/>
      <c r="F110" s="171" t="s">
        <v>109</v>
      </c>
      <c r="G110" s="171"/>
      <c r="H110" s="171"/>
      <c r="I110" s="171"/>
      <c r="J110" s="138"/>
    </row>
    <row r="111" spans="1:10" x14ac:dyDescent="0.25">
      <c r="A111" s="171"/>
      <c r="B111" s="171"/>
      <c r="C111" s="171"/>
      <c r="D111" s="171"/>
      <c r="E111" s="171"/>
      <c r="F111" s="171"/>
      <c r="G111" s="171" t="s">
        <v>110</v>
      </c>
      <c r="H111" s="171"/>
      <c r="I111" s="171"/>
      <c r="J111" s="138"/>
    </row>
    <row r="112" spans="1:10" x14ac:dyDescent="0.25">
      <c r="A112" s="171"/>
      <c r="B112" s="171"/>
      <c r="C112" s="171"/>
      <c r="D112" s="171"/>
      <c r="E112" s="171"/>
      <c r="F112" s="171"/>
      <c r="G112" s="171"/>
      <c r="H112" s="171" t="s">
        <v>112</v>
      </c>
      <c r="I112" s="171"/>
      <c r="J112" s="138">
        <v>191973.8</v>
      </c>
    </row>
    <row r="113" spans="1:10" x14ac:dyDescent="0.25">
      <c r="A113" s="171"/>
      <c r="B113" s="171"/>
      <c r="C113" s="171"/>
      <c r="D113" s="171"/>
      <c r="E113" s="171"/>
      <c r="F113" s="171"/>
      <c r="G113" s="171"/>
      <c r="H113" s="171" t="s">
        <v>113</v>
      </c>
      <c r="I113" s="171"/>
      <c r="J113" s="138">
        <v>51330</v>
      </c>
    </row>
    <row r="114" spans="1:10" x14ac:dyDescent="0.25">
      <c r="A114" s="171"/>
      <c r="B114" s="171"/>
      <c r="C114" s="171"/>
      <c r="D114" s="171"/>
      <c r="E114" s="171"/>
      <c r="F114" s="171"/>
      <c r="G114" s="171"/>
      <c r="H114" s="171" t="s">
        <v>532</v>
      </c>
      <c r="I114" s="171"/>
      <c r="J114" s="138">
        <v>37698</v>
      </c>
    </row>
    <row r="115" spans="1:10" x14ac:dyDescent="0.25">
      <c r="A115" s="171"/>
      <c r="B115" s="171"/>
      <c r="C115" s="171"/>
      <c r="D115" s="171"/>
      <c r="E115" s="171"/>
      <c r="F115" s="171"/>
      <c r="G115" s="171"/>
      <c r="H115" s="171" t="s">
        <v>114</v>
      </c>
      <c r="I115" s="171"/>
      <c r="J115" s="138">
        <v>6057.77</v>
      </c>
    </row>
    <row r="116" spans="1:10" x14ac:dyDescent="0.25">
      <c r="A116" s="171"/>
      <c r="B116" s="171"/>
      <c r="C116" s="171"/>
      <c r="D116" s="171"/>
      <c r="E116" s="171"/>
      <c r="F116" s="171"/>
      <c r="G116" s="171"/>
      <c r="H116" s="171" t="s">
        <v>459</v>
      </c>
      <c r="I116" s="171"/>
      <c r="J116" s="138">
        <v>9639</v>
      </c>
    </row>
    <row r="117" spans="1:10" x14ac:dyDescent="0.25">
      <c r="A117" s="171"/>
      <c r="B117" s="171"/>
      <c r="C117" s="171"/>
      <c r="D117" s="171"/>
      <c r="E117" s="171"/>
      <c r="F117" s="171"/>
      <c r="G117" s="171"/>
      <c r="H117" s="171" t="s">
        <v>533</v>
      </c>
      <c r="I117" s="171"/>
      <c r="J117" s="138">
        <v>460.79</v>
      </c>
    </row>
    <row r="118" spans="1:10" x14ac:dyDescent="0.25">
      <c r="A118" s="171"/>
      <c r="B118" s="171"/>
      <c r="C118" s="171"/>
      <c r="D118" s="171"/>
      <c r="E118" s="171"/>
      <c r="F118" s="171"/>
      <c r="G118" s="171"/>
      <c r="H118" s="171" t="s">
        <v>534</v>
      </c>
      <c r="I118" s="171"/>
      <c r="J118" s="138">
        <v>11310</v>
      </c>
    </row>
    <row r="119" spans="1:10" x14ac:dyDescent="0.25">
      <c r="A119" s="171"/>
      <c r="B119" s="171"/>
      <c r="C119" s="171"/>
      <c r="D119" s="171"/>
      <c r="E119" s="171"/>
      <c r="F119" s="171"/>
      <c r="G119" s="171"/>
      <c r="H119" s="171" t="s">
        <v>115</v>
      </c>
      <c r="I119" s="171"/>
      <c r="J119" s="138">
        <v>15410</v>
      </c>
    </row>
    <row r="120" spans="1:10" ht="15.75" thickBot="1" x14ac:dyDescent="0.3">
      <c r="A120" s="171"/>
      <c r="B120" s="171"/>
      <c r="C120" s="171"/>
      <c r="D120" s="171"/>
      <c r="E120" s="171"/>
      <c r="F120" s="171"/>
      <c r="G120" s="171"/>
      <c r="H120" s="171" t="s">
        <v>535</v>
      </c>
      <c r="I120" s="171"/>
      <c r="J120" s="143">
        <v>20590</v>
      </c>
    </row>
    <row r="121" spans="1:10" x14ac:dyDescent="0.25">
      <c r="A121" s="171"/>
      <c r="B121" s="171"/>
      <c r="C121" s="171"/>
      <c r="D121" s="171"/>
      <c r="E121" s="171"/>
      <c r="F121" s="171"/>
      <c r="G121" s="171" t="s">
        <v>116</v>
      </c>
      <c r="H121" s="171"/>
      <c r="I121" s="171"/>
      <c r="J121" s="138">
        <f>ROUND(SUM(J111:J120),5)</f>
        <v>344469.36</v>
      </c>
    </row>
    <row r="122" spans="1:10" x14ac:dyDescent="0.25">
      <c r="A122" s="171"/>
      <c r="B122" s="171"/>
      <c r="C122" s="171"/>
      <c r="D122" s="171"/>
      <c r="E122" s="171"/>
      <c r="F122" s="171"/>
      <c r="G122" s="171" t="s">
        <v>117</v>
      </c>
      <c r="H122" s="171"/>
      <c r="I122" s="171"/>
      <c r="J122" s="138"/>
    </row>
    <row r="123" spans="1:10" x14ac:dyDescent="0.25">
      <c r="A123" s="171"/>
      <c r="B123" s="171"/>
      <c r="C123" s="171"/>
      <c r="D123" s="171"/>
      <c r="E123" s="171"/>
      <c r="F123" s="171"/>
      <c r="G123" s="171"/>
      <c r="H123" s="171" t="s">
        <v>118</v>
      </c>
      <c r="I123" s="171"/>
      <c r="J123" s="138">
        <v>75000</v>
      </c>
    </row>
    <row r="124" spans="1:10" x14ac:dyDescent="0.25">
      <c r="A124" s="171"/>
      <c r="B124" s="171"/>
      <c r="C124" s="171"/>
      <c r="D124" s="171"/>
      <c r="E124" s="171"/>
      <c r="F124" s="171"/>
      <c r="G124" s="171"/>
      <c r="H124" s="171" t="s">
        <v>536</v>
      </c>
      <c r="I124" s="171"/>
      <c r="J124" s="138">
        <v>9000</v>
      </c>
    </row>
    <row r="125" spans="1:10" x14ac:dyDescent="0.25">
      <c r="A125" s="171"/>
      <c r="B125" s="171"/>
      <c r="C125" s="171"/>
      <c r="D125" s="171"/>
      <c r="E125" s="171"/>
      <c r="F125" s="171"/>
      <c r="G125" s="171"/>
      <c r="H125" s="171" t="s">
        <v>537</v>
      </c>
      <c r="I125" s="171"/>
      <c r="J125" s="138">
        <v>2250</v>
      </c>
    </row>
    <row r="126" spans="1:10" x14ac:dyDescent="0.25">
      <c r="A126" s="171"/>
      <c r="B126" s="171"/>
      <c r="C126" s="171"/>
      <c r="D126" s="171"/>
      <c r="E126" s="171"/>
      <c r="F126" s="171"/>
      <c r="G126" s="171"/>
      <c r="H126" s="171" t="s">
        <v>119</v>
      </c>
      <c r="I126" s="171"/>
      <c r="J126" s="138">
        <v>35000</v>
      </c>
    </row>
    <row r="127" spans="1:10" ht="15.75" thickBot="1" x14ac:dyDescent="0.3">
      <c r="A127" s="171"/>
      <c r="B127" s="171"/>
      <c r="C127" s="171"/>
      <c r="D127" s="171"/>
      <c r="E127" s="171"/>
      <c r="F127" s="171"/>
      <c r="G127" s="171"/>
      <c r="H127" s="171" t="s">
        <v>647</v>
      </c>
      <c r="I127" s="171"/>
      <c r="J127" s="143">
        <v>3208.33</v>
      </c>
    </row>
    <row r="128" spans="1:10" x14ac:dyDescent="0.25">
      <c r="A128" s="171"/>
      <c r="B128" s="171"/>
      <c r="C128" s="171"/>
      <c r="D128" s="171"/>
      <c r="E128" s="171"/>
      <c r="F128" s="171"/>
      <c r="G128" s="171" t="s">
        <v>120</v>
      </c>
      <c r="H128" s="171"/>
      <c r="I128" s="171"/>
      <c r="J128" s="138">
        <f>ROUND(SUM(J122:J127),5)</f>
        <v>124458.33</v>
      </c>
    </row>
    <row r="129" spans="1:10" x14ac:dyDescent="0.25">
      <c r="A129" s="171"/>
      <c r="B129" s="171"/>
      <c r="C129" s="171"/>
      <c r="D129" s="171"/>
      <c r="E129" s="171"/>
      <c r="F129" s="171"/>
      <c r="G129" s="171" t="s">
        <v>121</v>
      </c>
      <c r="H129" s="171"/>
      <c r="I129" s="171"/>
      <c r="J129" s="138"/>
    </row>
    <row r="130" spans="1:10" x14ac:dyDescent="0.25">
      <c r="A130" s="171"/>
      <c r="B130" s="171"/>
      <c r="C130" s="171"/>
      <c r="D130" s="171"/>
      <c r="E130" s="171"/>
      <c r="F130" s="171"/>
      <c r="G130" s="171"/>
      <c r="H130" s="171" t="s">
        <v>538</v>
      </c>
      <c r="I130" s="171"/>
      <c r="J130" s="138">
        <v>18283.93</v>
      </c>
    </row>
    <row r="131" spans="1:10" x14ac:dyDescent="0.25">
      <c r="A131" s="171"/>
      <c r="B131" s="171"/>
      <c r="C131" s="171"/>
      <c r="D131" s="171"/>
      <c r="E131" s="171"/>
      <c r="F131" s="171"/>
      <c r="G131" s="171"/>
      <c r="H131" s="171" t="s">
        <v>539</v>
      </c>
      <c r="I131" s="171"/>
      <c r="J131" s="138">
        <v>10703.49</v>
      </c>
    </row>
    <row r="132" spans="1:10" ht="15.75" thickBot="1" x14ac:dyDescent="0.3">
      <c r="A132" s="171"/>
      <c r="B132" s="171"/>
      <c r="C132" s="171"/>
      <c r="D132" s="171"/>
      <c r="E132" s="171"/>
      <c r="F132" s="171"/>
      <c r="G132" s="171"/>
      <c r="H132" s="171" t="s">
        <v>460</v>
      </c>
      <c r="I132" s="171"/>
      <c r="J132" s="143">
        <v>3433.89</v>
      </c>
    </row>
    <row r="133" spans="1:10" x14ac:dyDescent="0.25">
      <c r="A133" s="171"/>
      <c r="B133" s="171"/>
      <c r="C133" s="171"/>
      <c r="D133" s="171"/>
      <c r="E133" s="171"/>
      <c r="F133" s="171"/>
      <c r="G133" s="171" t="s">
        <v>122</v>
      </c>
      <c r="H133" s="171"/>
      <c r="I133" s="171"/>
      <c r="J133" s="138">
        <f>ROUND(SUM(J129:J132),5)</f>
        <v>32421.31</v>
      </c>
    </row>
    <row r="134" spans="1:10" x14ac:dyDescent="0.25">
      <c r="A134" s="171"/>
      <c r="B134" s="171"/>
      <c r="C134" s="171"/>
      <c r="D134" s="171"/>
      <c r="E134" s="171"/>
      <c r="F134" s="171"/>
      <c r="G134" s="171" t="s">
        <v>123</v>
      </c>
      <c r="H134" s="171"/>
      <c r="I134" s="171"/>
      <c r="J134" s="138"/>
    </row>
    <row r="135" spans="1:10" x14ac:dyDescent="0.25">
      <c r="A135" s="171"/>
      <c r="B135" s="171"/>
      <c r="C135" s="171"/>
      <c r="D135" s="171"/>
      <c r="E135" s="171"/>
      <c r="F135" s="171"/>
      <c r="G135" s="171"/>
      <c r="H135" s="171" t="s">
        <v>540</v>
      </c>
      <c r="I135" s="171"/>
      <c r="J135" s="138">
        <v>70675</v>
      </c>
    </row>
    <row r="136" spans="1:10" x14ac:dyDescent="0.25">
      <c r="A136" s="171"/>
      <c r="B136" s="171"/>
      <c r="C136" s="171"/>
      <c r="D136" s="171"/>
      <c r="E136" s="171"/>
      <c r="F136" s="171"/>
      <c r="G136" s="171"/>
      <c r="H136" s="171" t="s">
        <v>463</v>
      </c>
      <c r="I136" s="171"/>
      <c r="J136" s="138">
        <v>3727.69</v>
      </c>
    </row>
    <row r="137" spans="1:10" x14ac:dyDescent="0.25">
      <c r="A137" s="171"/>
      <c r="B137" s="171"/>
      <c r="C137" s="171"/>
      <c r="D137" s="171"/>
      <c r="E137" s="171"/>
      <c r="F137" s="171"/>
      <c r="G137" s="171" t="s">
        <v>125</v>
      </c>
      <c r="H137" s="171"/>
      <c r="I137" s="171"/>
      <c r="J137" s="138">
        <f>ROUND(SUM(J134:J136),5)</f>
        <v>74402.69</v>
      </c>
    </row>
    <row r="138" spans="1:10" x14ac:dyDescent="0.25">
      <c r="A138" s="171"/>
      <c r="B138" s="171"/>
      <c r="C138" s="171"/>
      <c r="D138" s="171"/>
      <c r="E138" s="171"/>
      <c r="F138" s="171"/>
      <c r="G138" s="171" t="s">
        <v>126</v>
      </c>
      <c r="H138" s="171"/>
      <c r="I138" s="171"/>
      <c r="J138" s="138"/>
    </row>
    <row r="139" spans="1:10" x14ac:dyDescent="0.25">
      <c r="A139" s="171"/>
      <c r="B139" s="171"/>
      <c r="C139" s="171"/>
      <c r="D139" s="171"/>
      <c r="E139" s="171"/>
      <c r="F139" s="171"/>
      <c r="G139" s="171"/>
      <c r="H139" s="171" t="s">
        <v>127</v>
      </c>
      <c r="I139" s="171"/>
      <c r="J139" s="138">
        <v>4650</v>
      </c>
    </row>
    <row r="140" spans="1:10" x14ac:dyDescent="0.25">
      <c r="A140" s="171"/>
      <c r="B140" s="171"/>
      <c r="C140" s="171"/>
      <c r="D140" s="171"/>
      <c r="E140" s="171"/>
      <c r="F140" s="171"/>
      <c r="G140" s="171"/>
      <c r="H140" s="171" t="s">
        <v>128</v>
      </c>
      <c r="I140" s="171"/>
      <c r="J140" s="138">
        <v>41677</v>
      </c>
    </row>
    <row r="141" spans="1:10" x14ac:dyDescent="0.25">
      <c r="A141" s="171"/>
      <c r="B141" s="171"/>
      <c r="C141" s="171"/>
      <c r="D141" s="171"/>
      <c r="E141" s="171"/>
      <c r="F141" s="171"/>
      <c r="G141" s="171"/>
      <c r="H141" s="171" t="s">
        <v>129</v>
      </c>
      <c r="I141" s="171"/>
      <c r="J141" s="138">
        <v>1434</v>
      </c>
    </row>
    <row r="142" spans="1:10" x14ac:dyDescent="0.25">
      <c r="A142" s="171"/>
      <c r="B142" s="171"/>
      <c r="C142" s="171"/>
      <c r="D142" s="171"/>
      <c r="E142" s="171"/>
      <c r="F142" s="171"/>
      <c r="G142" s="171"/>
      <c r="H142" s="171" t="s">
        <v>541</v>
      </c>
      <c r="I142" s="171"/>
      <c r="J142" s="138">
        <v>4000</v>
      </c>
    </row>
    <row r="143" spans="1:10" x14ac:dyDescent="0.25">
      <c r="A143" s="171"/>
      <c r="B143" s="171"/>
      <c r="C143" s="171"/>
      <c r="D143" s="171"/>
      <c r="E143" s="171"/>
      <c r="F143" s="171"/>
      <c r="G143" s="171"/>
      <c r="H143" s="171" t="s">
        <v>542</v>
      </c>
      <c r="I143" s="171"/>
      <c r="J143" s="138">
        <v>46831.96</v>
      </c>
    </row>
    <row r="144" spans="1:10" ht="15.75" thickBot="1" x14ac:dyDescent="0.3">
      <c r="A144" s="171"/>
      <c r="B144" s="171"/>
      <c r="C144" s="171"/>
      <c r="D144" s="171"/>
      <c r="E144" s="171"/>
      <c r="F144" s="171"/>
      <c r="G144" s="171"/>
      <c r="H144" s="171" t="s">
        <v>543</v>
      </c>
      <c r="I144" s="171"/>
      <c r="J144" s="143">
        <v>53882.96</v>
      </c>
    </row>
    <row r="145" spans="1:15" x14ac:dyDescent="0.25">
      <c r="A145" s="171"/>
      <c r="B145" s="171"/>
      <c r="C145" s="171"/>
      <c r="D145" s="171"/>
      <c r="E145" s="171"/>
      <c r="F145" s="171"/>
      <c r="G145" s="171" t="s">
        <v>130</v>
      </c>
      <c r="H145" s="171"/>
      <c r="I145" s="171"/>
      <c r="J145" s="138">
        <f>ROUND(SUM(J138:J144),5)</f>
        <v>152475.92000000001</v>
      </c>
    </row>
    <row r="146" spans="1:15" x14ac:dyDescent="0.25">
      <c r="A146" s="171"/>
      <c r="B146" s="171"/>
      <c r="C146" s="171"/>
      <c r="D146" s="171"/>
      <c r="E146" s="171"/>
      <c r="F146" s="171"/>
      <c r="G146" s="171" t="s">
        <v>131</v>
      </c>
      <c r="H146" s="171"/>
      <c r="I146" s="171"/>
      <c r="J146" s="138"/>
      <c r="L146" s="104"/>
      <c r="N146" s="158"/>
      <c r="O146" s="158"/>
    </row>
    <row r="147" spans="1:15" ht="15.75" thickBot="1" x14ac:dyDescent="0.3">
      <c r="A147" s="171"/>
      <c r="B147" s="171"/>
      <c r="C147" s="171"/>
      <c r="D147" s="171"/>
      <c r="E147" s="171"/>
      <c r="F147" s="171"/>
      <c r="G147" s="171"/>
      <c r="H147" s="171" t="s">
        <v>132</v>
      </c>
      <c r="I147" s="171"/>
      <c r="J147" s="139">
        <v>1702</v>
      </c>
      <c r="L147" s="158"/>
      <c r="M147" s="205"/>
    </row>
    <row r="148" spans="1:15" ht="15.75" thickBot="1" x14ac:dyDescent="0.3">
      <c r="A148" s="171"/>
      <c r="B148" s="171"/>
      <c r="C148" s="171"/>
      <c r="D148" s="171"/>
      <c r="E148" s="171"/>
      <c r="F148" s="171"/>
      <c r="G148" s="171" t="s">
        <v>133</v>
      </c>
      <c r="H148" s="171"/>
      <c r="I148" s="171"/>
      <c r="J148" s="141">
        <f>ROUND(SUM(J146:J147),5)</f>
        <v>1702</v>
      </c>
    </row>
    <row r="149" spans="1:15" x14ac:dyDescent="0.25">
      <c r="A149" s="171"/>
      <c r="B149" s="171"/>
      <c r="C149" s="171"/>
      <c r="D149" s="171"/>
      <c r="E149" s="171"/>
      <c r="F149" s="171" t="s">
        <v>134</v>
      </c>
      <c r="G149" s="171"/>
      <c r="H149" s="171"/>
      <c r="I149" s="171"/>
      <c r="J149" s="138">
        <f>ROUND(J110+J121+J128+J133+J137+J145+J148,5)</f>
        <v>729929.61</v>
      </c>
    </row>
    <row r="150" spans="1:15" x14ac:dyDescent="0.25">
      <c r="A150" s="171"/>
      <c r="B150" s="171"/>
      <c r="C150" s="171"/>
      <c r="D150" s="171"/>
      <c r="E150" s="171"/>
      <c r="F150" s="171" t="s">
        <v>135</v>
      </c>
      <c r="G150" s="171"/>
      <c r="H150" s="171"/>
      <c r="I150" s="171"/>
      <c r="J150" s="138"/>
    </row>
    <row r="151" spans="1:15" x14ac:dyDescent="0.25">
      <c r="A151" s="171"/>
      <c r="B151" s="171"/>
      <c r="C151" s="171"/>
      <c r="D151" s="171"/>
      <c r="E151" s="171"/>
      <c r="F151" s="171"/>
      <c r="G151" s="171" t="s">
        <v>192</v>
      </c>
      <c r="H151" s="171"/>
      <c r="I151" s="171"/>
      <c r="J151" s="138"/>
    </row>
    <row r="152" spans="1:15" x14ac:dyDescent="0.25">
      <c r="A152" s="171"/>
      <c r="B152" s="171"/>
      <c r="C152" s="171"/>
      <c r="D152" s="171"/>
      <c r="E152" s="171"/>
      <c r="F152" s="171"/>
      <c r="G152" s="171"/>
      <c r="H152" s="171" t="s">
        <v>544</v>
      </c>
      <c r="I152" s="171"/>
      <c r="J152" s="138">
        <v>2080</v>
      </c>
    </row>
    <row r="153" spans="1:15" x14ac:dyDescent="0.25">
      <c r="A153" s="171"/>
      <c r="B153" s="171"/>
      <c r="C153" s="171"/>
      <c r="D153" s="171"/>
      <c r="E153" s="171"/>
      <c r="F153" s="171"/>
      <c r="G153" s="171"/>
      <c r="H153" s="171" t="s">
        <v>545</v>
      </c>
      <c r="I153" s="171"/>
      <c r="J153" s="138">
        <v>1894.21</v>
      </c>
    </row>
    <row r="154" spans="1:15" ht="15.75" thickBot="1" x14ac:dyDescent="0.3">
      <c r="A154" s="171"/>
      <c r="B154" s="171"/>
      <c r="C154" s="171"/>
      <c r="D154" s="171"/>
      <c r="E154" s="171"/>
      <c r="F154" s="171"/>
      <c r="G154" s="171"/>
      <c r="H154" s="171" t="s">
        <v>547</v>
      </c>
      <c r="I154" s="171"/>
      <c r="J154" s="143">
        <v>40000</v>
      </c>
    </row>
    <row r="155" spans="1:15" x14ac:dyDescent="0.25">
      <c r="A155" s="171"/>
      <c r="B155" s="171"/>
      <c r="C155" s="171"/>
      <c r="D155" s="171"/>
      <c r="E155" s="171"/>
      <c r="F155" s="171"/>
      <c r="G155" s="171" t="s">
        <v>194</v>
      </c>
      <c r="H155" s="171"/>
      <c r="I155" s="171"/>
      <c r="J155" s="138">
        <f>ROUND(SUM(J151:J154),5)</f>
        <v>43974.21</v>
      </c>
    </row>
    <row r="156" spans="1:15" x14ac:dyDescent="0.25">
      <c r="A156" s="171"/>
      <c r="B156" s="171"/>
      <c r="C156" s="171"/>
      <c r="D156" s="171"/>
      <c r="E156" s="171"/>
      <c r="F156" s="171"/>
      <c r="G156" s="171" t="s">
        <v>195</v>
      </c>
      <c r="H156" s="171"/>
      <c r="I156" s="171"/>
      <c r="J156" s="138"/>
    </row>
    <row r="157" spans="1:15" x14ac:dyDescent="0.25">
      <c r="A157" s="171"/>
      <c r="B157" s="171"/>
      <c r="C157" s="171"/>
      <c r="D157" s="171"/>
      <c r="E157" s="171"/>
      <c r="F157" s="171"/>
      <c r="G157" s="171"/>
      <c r="H157" s="171" t="s">
        <v>136</v>
      </c>
      <c r="I157" s="171"/>
      <c r="J157" s="138">
        <v>1720</v>
      </c>
    </row>
    <row r="158" spans="1:15" x14ac:dyDescent="0.25">
      <c r="A158" s="171"/>
      <c r="B158" s="171"/>
      <c r="C158" s="171"/>
      <c r="D158" s="171"/>
      <c r="E158" s="171"/>
      <c r="F158" s="171"/>
      <c r="G158" s="171"/>
      <c r="H158" s="171" t="s">
        <v>137</v>
      </c>
      <c r="I158" s="171"/>
      <c r="J158" s="138">
        <v>43059</v>
      </c>
      <c r="L158" s="104"/>
    </row>
    <row r="159" spans="1:15" ht="15.75" thickBot="1" x14ac:dyDescent="0.3">
      <c r="A159" s="171"/>
      <c r="B159" s="171"/>
      <c r="C159" s="171"/>
      <c r="D159" s="171"/>
      <c r="E159" s="171"/>
      <c r="F159" s="171"/>
      <c r="G159" s="171"/>
      <c r="H159" s="171" t="s">
        <v>548</v>
      </c>
      <c r="I159" s="171"/>
      <c r="J159" s="139">
        <v>9452.4</v>
      </c>
      <c r="L159" s="104"/>
    </row>
    <row r="160" spans="1:15" ht="15.75" thickBot="1" x14ac:dyDescent="0.3">
      <c r="A160" s="171"/>
      <c r="B160" s="171"/>
      <c r="C160" s="171"/>
      <c r="D160" s="171"/>
      <c r="E160" s="171"/>
      <c r="F160" s="171"/>
      <c r="G160" s="171" t="s">
        <v>196</v>
      </c>
      <c r="H160" s="171"/>
      <c r="I160" s="171"/>
      <c r="J160" s="141">
        <f>ROUND(SUM(J156:J159),5)</f>
        <v>54231.4</v>
      </c>
      <c r="L160" s="104"/>
      <c r="N160" s="158"/>
      <c r="O160" s="158"/>
    </row>
    <row r="161" spans="1:13" x14ac:dyDescent="0.25">
      <c r="A161" s="171"/>
      <c r="B161" s="171"/>
      <c r="C161" s="171"/>
      <c r="D161" s="171"/>
      <c r="E161" s="171"/>
      <c r="F161" s="171" t="s">
        <v>138</v>
      </c>
      <c r="G161" s="171"/>
      <c r="H161" s="171"/>
      <c r="I161" s="171"/>
      <c r="J161" s="138">
        <f>ROUND(J150+J155+J160,5)</f>
        <v>98205.61</v>
      </c>
      <c r="L161" s="192"/>
      <c r="M161" s="205"/>
    </row>
    <row r="162" spans="1:13" x14ac:dyDescent="0.25">
      <c r="A162" s="171"/>
      <c r="B162" s="171"/>
      <c r="C162" s="171"/>
      <c r="D162" s="171"/>
      <c r="E162" s="171"/>
      <c r="F162" s="171" t="s">
        <v>206</v>
      </c>
      <c r="G162" s="171"/>
      <c r="H162" s="171"/>
      <c r="I162" s="171"/>
      <c r="J162" s="138"/>
      <c r="L162" s="23"/>
    </row>
    <row r="163" spans="1:13" x14ac:dyDescent="0.25">
      <c r="A163" s="171"/>
      <c r="B163" s="171"/>
      <c r="C163" s="171"/>
      <c r="D163" s="171"/>
      <c r="E163" s="171"/>
      <c r="F163" s="171"/>
      <c r="G163" s="171" t="s">
        <v>184</v>
      </c>
      <c r="H163" s="171"/>
      <c r="I163" s="171"/>
      <c r="J163" s="138"/>
      <c r="L163" s="20"/>
    </row>
    <row r="164" spans="1:13" x14ac:dyDescent="0.25">
      <c r="A164" s="171"/>
      <c r="B164" s="171"/>
      <c r="C164" s="171"/>
      <c r="D164" s="171"/>
      <c r="E164" s="171"/>
      <c r="F164" s="171"/>
      <c r="G164" s="171"/>
      <c r="H164" s="171" t="s">
        <v>464</v>
      </c>
      <c r="I164" s="171"/>
      <c r="J164" s="138">
        <v>56202</v>
      </c>
      <c r="L164" s="21"/>
    </row>
    <row r="165" spans="1:13" x14ac:dyDescent="0.25">
      <c r="A165" s="171"/>
      <c r="B165" s="171"/>
      <c r="C165" s="171"/>
      <c r="D165" s="171"/>
      <c r="E165" s="171"/>
      <c r="F165" s="171"/>
      <c r="G165" s="171"/>
      <c r="H165" s="171" t="s">
        <v>185</v>
      </c>
      <c r="I165" s="171"/>
      <c r="J165" s="138"/>
    </row>
    <row r="166" spans="1:13" x14ac:dyDescent="0.25">
      <c r="A166" s="171"/>
      <c r="B166" s="171"/>
      <c r="C166" s="171"/>
      <c r="D166" s="171"/>
      <c r="E166" s="171"/>
      <c r="F166" s="171"/>
      <c r="G166" s="171"/>
      <c r="H166" s="171"/>
      <c r="I166" s="171" t="s">
        <v>262</v>
      </c>
      <c r="J166" s="138">
        <v>28596</v>
      </c>
    </row>
    <row r="167" spans="1:13" ht="15.75" thickBot="1" x14ac:dyDescent="0.3">
      <c r="A167" s="171"/>
      <c r="B167" s="171"/>
      <c r="C167" s="171"/>
      <c r="D167" s="171"/>
      <c r="E167" s="171"/>
      <c r="F167" s="171"/>
      <c r="G167" s="171"/>
      <c r="H167" s="171"/>
      <c r="I167" s="171" t="s">
        <v>552</v>
      </c>
      <c r="J167" s="143">
        <v>400</v>
      </c>
    </row>
    <row r="168" spans="1:13" x14ac:dyDescent="0.25">
      <c r="A168" s="171"/>
      <c r="B168" s="171"/>
      <c r="C168" s="171"/>
      <c r="D168" s="171"/>
      <c r="E168" s="171"/>
      <c r="F168" s="171"/>
      <c r="G168" s="171"/>
      <c r="H168" s="171" t="s">
        <v>263</v>
      </c>
      <c r="I168" s="171"/>
      <c r="J168" s="138">
        <f>ROUND(SUM(J165:J167),5)</f>
        <v>28996</v>
      </c>
    </row>
    <row r="169" spans="1:13" ht="15.75" thickBot="1" x14ac:dyDescent="0.3">
      <c r="A169" s="171"/>
      <c r="B169" s="171"/>
      <c r="C169" s="171"/>
      <c r="D169" s="171"/>
      <c r="E169" s="171"/>
      <c r="F169" s="171"/>
      <c r="G169" s="171"/>
      <c r="H169" s="171" t="s">
        <v>553</v>
      </c>
      <c r="I169" s="171"/>
      <c r="J169" s="143">
        <v>3914.17</v>
      </c>
    </row>
    <row r="170" spans="1:13" x14ac:dyDescent="0.25">
      <c r="A170" s="171"/>
      <c r="B170" s="171"/>
      <c r="C170" s="171"/>
      <c r="D170" s="171"/>
      <c r="E170" s="171"/>
      <c r="F170" s="171"/>
      <c r="G170" s="171" t="s">
        <v>186</v>
      </c>
      <c r="H170" s="171"/>
      <c r="I170" s="171"/>
      <c r="J170" s="138">
        <f>ROUND(SUM(J163:J164)+SUM(J168:J169),5)</f>
        <v>89112.17</v>
      </c>
    </row>
    <row r="171" spans="1:13" x14ac:dyDescent="0.25">
      <c r="A171" s="171"/>
      <c r="B171" s="171"/>
      <c r="C171" s="171"/>
      <c r="D171" s="171"/>
      <c r="E171" s="171"/>
      <c r="F171" s="171"/>
      <c r="G171" s="171" t="s">
        <v>207</v>
      </c>
      <c r="H171" s="171"/>
      <c r="I171" s="171"/>
      <c r="J171" s="138"/>
    </row>
    <row r="172" spans="1:13" x14ac:dyDescent="0.25">
      <c r="A172" s="171"/>
      <c r="B172" s="171"/>
      <c r="C172" s="171"/>
      <c r="D172" s="171"/>
      <c r="E172" s="171"/>
      <c r="F172" s="171"/>
      <c r="G172" s="171"/>
      <c r="H172" s="171" t="s">
        <v>211</v>
      </c>
      <c r="I172" s="171"/>
      <c r="J172" s="138">
        <v>50000</v>
      </c>
    </row>
    <row r="173" spans="1:13" x14ac:dyDescent="0.25">
      <c r="A173" s="171"/>
      <c r="B173" s="171"/>
      <c r="C173" s="171"/>
      <c r="D173" s="171"/>
      <c r="E173" s="171"/>
      <c r="F173" s="171"/>
      <c r="G173" s="171"/>
      <c r="H173" s="171" t="s">
        <v>554</v>
      </c>
      <c r="I173" s="171"/>
      <c r="J173" s="138">
        <v>4800</v>
      </c>
    </row>
    <row r="174" spans="1:13" x14ac:dyDescent="0.25">
      <c r="A174" s="171"/>
      <c r="B174" s="171"/>
      <c r="C174" s="171"/>
      <c r="D174" s="171"/>
      <c r="E174" s="171"/>
      <c r="F174" s="171"/>
      <c r="G174" s="171"/>
      <c r="H174" s="171" t="s">
        <v>555</v>
      </c>
      <c r="I174" s="171"/>
      <c r="J174" s="138">
        <v>1200</v>
      </c>
    </row>
    <row r="175" spans="1:13" ht="15.75" thickBot="1" x14ac:dyDescent="0.3">
      <c r="A175" s="171"/>
      <c r="B175" s="171"/>
      <c r="C175" s="171"/>
      <c r="D175" s="171"/>
      <c r="E175" s="171"/>
      <c r="F175" s="171"/>
      <c r="G175" s="171"/>
      <c r="H175" s="171" t="s">
        <v>648</v>
      </c>
      <c r="I175" s="171"/>
      <c r="J175" s="143">
        <v>3666.67</v>
      </c>
    </row>
    <row r="176" spans="1:13" x14ac:dyDescent="0.25">
      <c r="A176" s="171"/>
      <c r="B176" s="171"/>
      <c r="C176" s="171"/>
      <c r="D176" s="171"/>
      <c r="E176" s="171"/>
      <c r="F176" s="171"/>
      <c r="G176" s="171" t="s">
        <v>208</v>
      </c>
      <c r="H176" s="171"/>
      <c r="I176" s="171"/>
      <c r="J176" s="138">
        <f>ROUND(SUM(J171:J175),5)</f>
        <v>59666.67</v>
      </c>
    </row>
    <row r="177" spans="1:15" x14ac:dyDescent="0.25">
      <c r="A177" s="171"/>
      <c r="B177" s="171"/>
      <c r="C177" s="171"/>
      <c r="D177" s="171"/>
      <c r="E177" s="171"/>
      <c r="F177" s="171"/>
      <c r="G177" s="171" t="s">
        <v>187</v>
      </c>
      <c r="H177" s="171"/>
      <c r="I177" s="171"/>
      <c r="J177" s="138"/>
    </row>
    <row r="178" spans="1:15" x14ac:dyDescent="0.25">
      <c r="A178" s="171"/>
      <c r="B178" s="171"/>
      <c r="C178" s="171"/>
      <c r="D178" s="171"/>
      <c r="E178" s="171"/>
      <c r="F178" s="171"/>
      <c r="G178" s="171"/>
      <c r="H178" s="171" t="s">
        <v>651</v>
      </c>
      <c r="I178" s="171"/>
      <c r="J178" s="138">
        <v>4258</v>
      </c>
    </row>
    <row r="179" spans="1:15" x14ac:dyDescent="0.25">
      <c r="A179" s="171"/>
      <c r="B179" s="171"/>
      <c r="C179" s="171"/>
      <c r="D179" s="171"/>
      <c r="E179" s="171"/>
      <c r="F179" s="171"/>
      <c r="G179" s="171"/>
      <c r="H179" s="171" t="s">
        <v>556</v>
      </c>
      <c r="I179" s="171"/>
      <c r="J179" s="138">
        <v>526</v>
      </c>
    </row>
    <row r="180" spans="1:15" ht="15.75" thickBot="1" x14ac:dyDescent="0.3">
      <c r="A180" s="171"/>
      <c r="B180" s="171"/>
      <c r="C180" s="171"/>
      <c r="D180" s="171"/>
      <c r="E180" s="171"/>
      <c r="F180" s="171"/>
      <c r="G180" s="171"/>
      <c r="H180" s="171" t="s">
        <v>209</v>
      </c>
      <c r="I180" s="171"/>
      <c r="J180" s="139">
        <v>45000</v>
      </c>
      <c r="N180" s="21"/>
    </row>
    <row r="181" spans="1:15" ht="15.75" thickBot="1" x14ac:dyDescent="0.3">
      <c r="A181" s="171"/>
      <c r="B181" s="171"/>
      <c r="C181" s="171"/>
      <c r="D181" s="171"/>
      <c r="E181" s="171"/>
      <c r="F181" s="171"/>
      <c r="G181" s="171" t="s">
        <v>188</v>
      </c>
      <c r="H181" s="171"/>
      <c r="I181" s="171"/>
      <c r="J181" s="141">
        <f>ROUND(SUM(J177:J180),5)</f>
        <v>49784</v>
      </c>
      <c r="N181" s="21"/>
    </row>
    <row r="182" spans="1:15" x14ac:dyDescent="0.25">
      <c r="A182" s="171"/>
      <c r="B182" s="171"/>
      <c r="C182" s="171"/>
      <c r="D182" s="171"/>
      <c r="E182" s="171"/>
      <c r="F182" s="171" t="s">
        <v>210</v>
      </c>
      <c r="G182" s="171"/>
      <c r="H182" s="171"/>
      <c r="I182" s="171"/>
      <c r="J182" s="138">
        <f>ROUND(J162+J170+J176+J181,5)</f>
        <v>198562.84</v>
      </c>
      <c r="N182" s="21"/>
    </row>
    <row r="183" spans="1:15" x14ac:dyDescent="0.25">
      <c r="A183" s="171"/>
      <c r="B183" s="171"/>
      <c r="C183" s="171"/>
      <c r="D183" s="171"/>
      <c r="E183" s="171"/>
      <c r="F183" s="171" t="s">
        <v>465</v>
      </c>
      <c r="G183" s="171"/>
      <c r="H183" s="171"/>
      <c r="I183" s="171"/>
      <c r="J183" s="138"/>
    </row>
    <row r="184" spans="1:15" x14ac:dyDescent="0.25">
      <c r="A184" s="171"/>
      <c r="B184" s="171"/>
      <c r="C184" s="171"/>
      <c r="D184" s="171"/>
      <c r="E184" s="171"/>
      <c r="F184" s="171"/>
      <c r="G184" s="171" t="s">
        <v>557</v>
      </c>
      <c r="H184" s="171"/>
      <c r="I184" s="171"/>
      <c r="J184" s="138">
        <v>182371.67</v>
      </c>
    </row>
    <row r="185" spans="1:15" ht="15.75" thickBot="1" x14ac:dyDescent="0.3">
      <c r="A185" s="171"/>
      <c r="B185" s="171"/>
      <c r="C185" s="171"/>
      <c r="D185" s="171"/>
      <c r="E185" s="171"/>
      <c r="F185" s="171"/>
      <c r="G185" s="171" t="s">
        <v>466</v>
      </c>
      <c r="H185" s="171"/>
      <c r="I185" s="171"/>
      <c r="J185" s="143">
        <v>56202</v>
      </c>
    </row>
    <row r="186" spans="1:15" x14ac:dyDescent="0.25">
      <c r="A186" s="171"/>
      <c r="B186" s="171"/>
      <c r="C186" s="171"/>
      <c r="D186" s="171"/>
      <c r="E186" s="171"/>
      <c r="F186" s="171" t="s">
        <v>467</v>
      </c>
      <c r="G186" s="171"/>
      <c r="H186" s="171"/>
      <c r="I186" s="171"/>
      <c r="J186" s="138">
        <f>ROUND(SUM(J183:J185),5)</f>
        <v>238573.67</v>
      </c>
    </row>
    <row r="187" spans="1:15" x14ac:dyDescent="0.25">
      <c r="A187" s="171"/>
      <c r="B187" s="171"/>
      <c r="C187" s="171"/>
      <c r="D187" s="171"/>
      <c r="E187" s="171"/>
      <c r="F187" s="171" t="s">
        <v>139</v>
      </c>
      <c r="G187" s="171"/>
      <c r="H187" s="171"/>
      <c r="I187" s="171"/>
      <c r="J187" s="138"/>
      <c r="O187" s="20"/>
    </row>
    <row r="188" spans="1:15" x14ac:dyDescent="0.25">
      <c r="A188" s="171"/>
      <c r="B188" s="171"/>
      <c r="C188" s="171"/>
      <c r="D188" s="171"/>
      <c r="E188" s="171"/>
      <c r="F188" s="171"/>
      <c r="G188" s="171" t="s">
        <v>468</v>
      </c>
      <c r="H188" s="171"/>
      <c r="I188" s="171"/>
      <c r="J188" s="138"/>
    </row>
    <row r="189" spans="1:15" x14ac:dyDescent="0.25">
      <c r="A189" s="171"/>
      <c r="B189" s="171"/>
      <c r="C189" s="171"/>
      <c r="D189" s="171"/>
      <c r="E189" s="171"/>
      <c r="F189" s="171"/>
      <c r="G189" s="171"/>
      <c r="H189" s="171" t="s">
        <v>649</v>
      </c>
      <c r="I189" s="171"/>
      <c r="J189" s="138">
        <v>24000</v>
      </c>
      <c r="L189" s="20"/>
    </row>
    <row r="190" spans="1:15" x14ac:dyDescent="0.25">
      <c r="A190" s="171"/>
      <c r="B190" s="171"/>
      <c r="C190" s="171"/>
      <c r="D190" s="171"/>
      <c r="E190" s="171"/>
      <c r="F190" s="171"/>
      <c r="G190" s="171"/>
      <c r="H190" s="171" t="s">
        <v>650</v>
      </c>
      <c r="I190" s="171"/>
      <c r="J190" s="138">
        <v>6000</v>
      </c>
    </row>
    <row r="191" spans="1:15" ht="15.75" thickBot="1" x14ac:dyDescent="0.3">
      <c r="A191" s="171"/>
      <c r="B191" s="171"/>
      <c r="C191" s="171"/>
      <c r="D191" s="171"/>
      <c r="E191" s="171"/>
      <c r="F191" s="171"/>
      <c r="G191" s="171"/>
      <c r="H191" s="171" t="s">
        <v>140</v>
      </c>
      <c r="I191" s="171"/>
      <c r="J191" s="143">
        <v>350000</v>
      </c>
    </row>
    <row r="192" spans="1:15" x14ac:dyDescent="0.25">
      <c r="A192" s="171"/>
      <c r="B192" s="171"/>
      <c r="C192" s="171"/>
      <c r="D192" s="171"/>
      <c r="E192" s="171"/>
      <c r="F192" s="171"/>
      <c r="G192" s="171" t="s">
        <v>469</v>
      </c>
      <c r="H192" s="171"/>
      <c r="I192" s="171"/>
      <c r="J192" s="138">
        <f>ROUND(SUM(J188:J191),5)</f>
        <v>380000</v>
      </c>
    </row>
    <row r="193" spans="1:10" x14ac:dyDescent="0.25">
      <c r="A193" s="171"/>
      <c r="B193" s="171"/>
      <c r="C193" s="171"/>
      <c r="D193" s="171"/>
      <c r="E193" s="171"/>
      <c r="F193" s="171"/>
      <c r="G193" s="171" t="s">
        <v>141</v>
      </c>
      <c r="H193" s="171"/>
      <c r="I193" s="171"/>
      <c r="J193" s="138"/>
    </row>
    <row r="194" spans="1:10" x14ac:dyDescent="0.25">
      <c r="A194" s="171"/>
      <c r="B194" s="171"/>
      <c r="C194" s="171"/>
      <c r="D194" s="171"/>
      <c r="E194" s="171"/>
      <c r="F194" s="171"/>
      <c r="G194" s="171"/>
      <c r="H194" s="171" t="s">
        <v>628</v>
      </c>
      <c r="I194" s="171"/>
      <c r="J194" s="138">
        <v>11458.33</v>
      </c>
    </row>
    <row r="195" spans="1:10" x14ac:dyDescent="0.25">
      <c r="A195" s="171"/>
      <c r="B195" s="171"/>
      <c r="C195" s="171"/>
      <c r="D195" s="171"/>
      <c r="E195" s="171"/>
      <c r="F195" s="171"/>
      <c r="G195" s="171"/>
      <c r="H195" s="171" t="s">
        <v>579</v>
      </c>
      <c r="I195" s="171"/>
      <c r="J195" s="138">
        <v>7772.38</v>
      </c>
    </row>
    <row r="196" spans="1:10" ht="15.75" thickBot="1" x14ac:dyDescent="0.3">
      <c r="A196" s="171"/>
      <c r="B196" s="171"/>
      <c r="C196" s="171"/>
      <c r="D196" s="171"/>
      <c r="E196" s="171"/>
      <c r="F196" s="171"/>
      <c r="G196" s="171"/>
      <c r="H196" s="171" t="s">
        <v>147</v>
      </c>
      <c r="I196" s="171"/>
      <c r="J196" s="143">
        <v>50000</v>
      </c>
    </row>
    <row r="197" spans="1:10" x14ac:dyDescent="0.25">
      <c r="A197" s="171"/>
      <c r="B197" s="171"/>
      <c r="C197" s="171"/>
      <c r="D197" s="171"/>
      <c r="E197" s="171"/>
      <c r="F197" s="171"/>
      <c r="G197" s="171" t="s">
        <v>148</v>
      </c>
      <c r="H197" s="171"/>
      <c r="I197" s="171"/>
      <c r="J197" s="138">
        <f>ROUND(SUM(J193:J194)+SUM(J195:J196),5)</f>
        <v>69230.710000000006</v>
      </c>
    </row>
    <row r="198" spans="1:10" x14ac:dyDescent="0.25">
      <c r="A198" s="171"/>
      <c r="B198" s="171"/>
      <c r="C198" s="171"/>
      <c r="D198" s="171"/>
      <c r="E198" s="171"/>
      <c r="F198" s="171"/>
      <c r="G198" s="171" t="s">
        <v>167</v>
      </c>
      <c r="H198" s="171"/>
      <c r="I198" s="171"/>
      <c r="J198" s="138"/>
    </row>
    <row r="199" spans="1:10" x14ac:dyDescent="0.25">
      <c r="A199" s="171"/>
      <c r="B199" s="171"/>
      <c r="C199" s="171"/>
      <c r="D199" s="171"/>
      <c r="E199" s="171"/>
      <c r="F199" s="171"/>
      <c r="G199" s="171"/>
      <c r="H199" s="171" t="s">
        <v>168</v>
      </c>
      <c r="I199" s="171"/>
      <c r="J199" s="138">
        <v>100344.01</v>
      </c>
    </row>
    <row r="200" spans="1:10" x14ac:dyDescent="0.25">
      <c r="A200" s="171"/>
      <c r="B200" s="171"/>
      <c r="C200" s="171"/>
      <c r="D200" s="171"/>
      <c r="E200" s="171"/>
      <c r="F200" s="171"/>
      <c r="G200" s="171"/>
      <c r="H200" s="171" t="s">
        <v>473</v>
      </c>
      <c r="I200" s="171"/>
      <c r="J200" s="138">
        <v>127924.94</v>
      </c>
    </row>
    <row r="201" spans="1:10" x14ac:dyDescent="0.25">
      <c r="A201" s="171"/>
      <c r="B201" s="171"/>
      <c r="C201" s="171"/>
      <c r="D201" s="171"/>
      <c r="E201" s="171"/>
      <c r="F201" s="171"/>
      <c r="G201" s="171"/>
      <c r="H201" s="171" t="s">
        <v>169</v>
      </c>
      <c r="I201" s="171"/>
      <c r="J201" s="138">
        <v>460405.28</v>
      </c>
    </row>
    <row r="202" spans="1:10" x14ac:dyDescent="0.25">
      <c r="A202" s="171"/>
      <c r="B202" s="171"/>
      <c r="C202" s="171"/>
      <c r="D202" s="171"/>
      <c r="E202" s="171"/>
      <c r="F202" s="171"/>
      <c r="G202" s="171"/>
      <c r="H202" s="171" t="s">
        <v>170</v>
      </c>
      <c r="I202" s="171"/>
      <c r="J202" s="138">
        <v>4500</v>
      </c>
    </row>
    <row r="203" spans="1:10" ht="15.75" thickBot="1" x14ac:dyDescent="0.3">
      <c r="A203" s="171"/>
      <c r="B203" s="171"/>
      <c r="C203" s="171"/>
      <c r="D203" s="171"/>
      <c r="E203" s="171"/>
      <c r="F203" s="171"/>
      <c r="G203" s="171"/>
      <c r="H203" s="171" t="s">
        <v>171</v>
      </c>
      <c r="I203" s="171"/>
      <c r="J203" s="139">
        <v>15201.96</v>
      </c>
    </row>
    <row r="204" spans="1:10" ht="15.75" thickBot="1" x14ac:dyDescent="0.3">
      <c r="A204" s="171"/>
      <c r="B204" s="171"/>
      <c r="C204" s="171"/>
      <c r="D204" s="171"/>
      <c r="E204" s="171"/>
      <c r="F204" s="171"/>
      <c r="G204" s="171" t="s">
        <v>172</v>
      </c>
      <c r="H204" s="171"/>
      <c r="I204" s="171"/>
      <c r="J204" s="140">
        <f>ROUND(SUM(J198:J203),5)</f>
        <v>708376.19</v>
      </c>
    </row>
    <row r="205" spans="1:10" ht="15.75" thickBot="1" x14ac:dyDescent="0.3">
      <c r="A205" s="171"/>
      <c r="B205" s="171"/>
      <c r="C205" s="171"/>
      <c r="D205" s="171"/>
      <c r="E205" s="171"/>
      <c r="F205" s="171" t="s">
        <v>173</v>
      </c>
      <c r="G205" s="171"/>
      <c r="H205" s="171"/>
      <c r="I205" s="171"/>
      <c r="J205" s="140">
        <f>ROUND(J187+J192+J197+J204,5)</f>
        <v>1157606.8999999999</v>
      </c>
    </row>
    <row r="206" spans="1:10" ht="15.75" thickBot="1" x14ac:dyDescent="0.3">
      <c r="A206" s="171"/>
      <c r="B206" s="171"/>
      <c r="C206" s="171"/>
      <c r="D206" s="171"/>
      <c r="E206" s="171" t="s">
        <v>174</v>
      </c>
      <c r="F206" s="171"/>
      <c r="G206" s="171"/>
      <c r="H206" s="171"/>
      <c r="I206" s="171"/>
      <c r="J206" s="140">
        <f>ROUND(J53+J109+J149+J161+J182+J186+J205,5)</f>
        <v>4094411.88</v>
      </c>
    </row>
    <row r="207" spans="1:10" ht="15.75" thickBot="1" x14ac:dyDescent="0.3">
      <c r="A207" s="171"/>
      <c r="B207" s="171"/>
      <c r="C207" s="171"/>
      <c r="D207" s="171" t="s">
        <v>175</v>
      </c>
      <c r="E207" s="171"/>
      <c r="F207" s="171"/>
      <c r="G207" s="171"/>
      <c r="H207" s="171"/>
      <c r="I207" s="171"/>
      <c r="J207" s="141">
        <f>ROUND(J52+J206,5)</f>
        <v>4094411.88</v>
      </c>
    </row>
    <row r="208" spans="1:10" x14ac:dyDescent="0.25">
      <c r="A208" s="171"/>
      <c r="B208" s="171" t="s">
        <v>176</v>
      </c>
      <c r="C208" s="171"/>
      <c r="D208" s="171"/>
      <c r="E208" s="171"/>
      <c r="F208" s="171"/>
      <c r="G208" s="171"/>
      <c r="H208" s="171"/>
      <c r="I208" s="171"/>
      <c r="J208" s="138">
        <f>ROUND(J2+J51-J207,5)</f>
        <v>-226974.52</v>
      </c>
    </row>
    <row r="209" spans="1:10" x14ac:dyDescent="0.25">
      <c r="A209" s="171"/>
      <c r="B209" s="171" t="s">
        <v>632</v>
      </c>
      <c r="C209" s="171"/>
      <c r="D209" s="171"/>
      <c r="E209" s="171"/>
      <c r="F209" s="171"/>
      <c r="G209" s="171"/>
      <c r="H209" s="171"/>
      <c r="I209" s="171"/>
      <c r="J209" s="138"/>
    </row>
    <row r="210" spans="1:10" x14ac:dyDescent="0.25">
      <c r="A210" s="171"/>
      <c r="B210" s="171"/>
      <c r="C210" s="171" t="s">
        <v>633</v>
      </c>
      <c r="D210" s="171"/>
      <c r="E210" s="171"/>
      <c r="F210" s="171"/>
      <c r="G210" s="171"/>
      <c r="H210" s="171"/>
      <c r="I210" s="171"/>
      <c r="J210" s="138"/>
    </row>
    <row r="211" spans="1:10" x14ac:dyDescent="0.25">
      <c r="A211" s="171"/>
      <c r="B211" s="171"/>
      <c r="C211" s="171"/>
      <c r="D211" s="171" t="s">
        <v>634</v>
      </c>
      <c r="E211" s="171"/>
      <c r="F211" s="171"/>
      <c r="G211" s="171"/>
      <c r="H211" s="171"/>
      <c r="I211" s="171"/>
      <c r="J211" s="138"/>
    </row>
    <row r="212" spans="1:10" x14ac:dyDescent="0.25">
      <c r="A212" s="171"/>
      <c r="B212" s="171"/>
      <c r="C212" s="171"/>
      <c r="D212" s="171"/>
      <c r="E212" s="171" t="s">
        <v>635</v>
      </c>
      <c r="F212" s="171"/>
      <c r="G212" s="171"/>
      <c r="H212" s="171"/>
      <c r="I212" s="171"/>
      <c r="J212" s="138">
        <v>1800</v>
      </c>
    </row>
    <row r="213" spans="1:10" ht="15.75" thickBot="1" x14ac:dyDescent="0.3">
      <c r="A213" s="171"/>
      <c r="B213" s="171"/>
      <c r="C213" s="171"/>
      <c r="D213" s="171"/>
      <c r="E213" s="171" t="s">
        <v>636</v>
      </c>
      <c r="F213" s="171"/>
      <c r="G213" s="171"/>
      <c r="H213" s="171"/>
      <c r="I213" s="171"/>
      <c r="J213" s="139">
        <v>5700</v>
      </c>
    </row>
    <row r="214" spans="1:10" ht="15.75" thickBot="1" x14ac:dyDescent="0.3">
      <c r="A214" s="171"/>
      <c r="B214" s="171"/>
      <c r="C214" s="171"/>
      <c r="D214" s="171" t="s">
        <v>637</v>
      </c>
      <c r="E214" s="171"/>
      <c r="F214" s="171"/>
      <c r="G214" s="171"/>
      <c r="H214" s="171"/>
      <c r="I214" s="171"/>
      <c r="J214" s="141">
        <f>ROUND(SUM(J211:J213),5)</f>
        <v>7500</v>
      </c>
    </row>
    <row r="215" spans="1:10" ht="15.75" thickBot="1" x14ac:dyDescent="0.3">
      <c r="A215" s="171"/>
      <c r="B215" s="171"/>
      <c r="C215" s="171" t="s">
        <v>638</v>
      </c>
      <c r="D215" s="171"/>
      <c r="E215" s="171"/>
      <c r="F215" s="171"/>
      <c r="G215" s="171"/>
      <c r="H215" s="171"/>
      <c r="I215" s="171"/>
      <c r="J215" s="138">
        <f>ROUND(J210+J214,5)</f>
        <v>7500</v>
      </c>
    </row>
    <row r="216" spans="1:10" ht="15.75" thickBot="1" x14ac:dyDescent="0.3">
      <c r="A216" s="171"/>
      <c r="B216" s="171" t="s">
        <v>642</v>
      </c>
      <c r="C216" s="171"/>
      <c r="D216" s="171"/>
      <c r="E216" s="171"/>
      <c r="F216" s="171"/>
      <c r="G216" s="171"/>
      <c r="H216" s="171"/>
      <c r="I216" s="171"/>
      <c r="J216" s="140">
        <f>ROUND(J209+J215,5)</f>
        <v>7500</v>
      </c>
    </row>
    <row r="217" spans="1:10" ht="15.75" thickBot="1" x14ac:dyDescent="0.3">
      <c r="A217" s="171" t="s">
        <v>177</v>
      </c>
      <c r="B217" s="171"/>
      <c r="C217" s="171"/>
      <c r="D217" s="171"/>
      <c r="E217" s="171"/>
      <c r="F217" s="171"/>
      <c r="G217" s="171"/>
      <c r="H217" s="171"/>
      <c r="I217" s="171"/>
      <c r="J217" s="147">
        <f>ROUND(J208+J216,5)</f>
        <v>-219474.52</v>
      </c>
    </row>
    <row r="218" spans="1:10" ht="15.75" thickTop="1" x14ac:dyDescent="0.25"/>
    <row r="219" spans="1:10" x14ac:dyDescent="0.25">
      <c r="J219" s="23">
        <f>+'KPM  - TFI '!G26*1000*'KPM  - TFI '!G4-J217</f>
        <v>-1.0186340659856796E-9</v>
      </c>
    </row>
    <row r="238" spans="12:12" x14ac:dyDescent="0.25">
      <c r="L238" s="20"/>
    </row>
    <row r="239" spans="12:12" x14ac:dyDescent="0.25">
      <c r="L239" s="21"/>
    </row>
    <row r="264" spans="1:15" x14ac:dyDescent="0.25">
      <c r="K264" s="156"/>
    </row>
    <row r="265" spans="1:15" s="156" customFormat="1" x14ac:dyDescent="0.25">
      <c r="A265" s="159"/>
      <c r="B265" s="159"/>
      <c r="C265" s="159"/>
      <c r="D265" s="159"/>
      <c r="E265" s="159"/>
      <c r="F265" s="159"/>
      <c r="G265" s="159"/>
      <c r="H265" s="159"/>
      <c r="I265" s="159"/>
      <c r="J265" s="23"/>
      <c r="K265" s="154"/>
      <c r="L265" s="154"/>
      <c r="M265" s="167"/>
      <c r="N265" s="154"/>
      <c r="O265" s="154"/>
    </row>
    <row r="304" spans="12:12" x14ac:dyDescent="0.25">
      <c r="L304" s="23"/>
    </row>
    <row r="305" spans="12:12" x14ac:dyDescent="0.25">
      <c r="L305" s="20"/>
    </row>
    <row r="306" spans="12:12" x14ac:dyDescent="0.25">
      <c r="L306" s="21"/>
    </row>
    <row r="307" spans="12:12" x14ac:dyDescent="0.25">
      <c r="L307" s="21"/>
    </row>
    <row r="323" spans="14:14" x14ac:dyDescent="0.25">
      <c r="N323" s="21"/>
    </row>
    <row r="324" spans="14:14" x14ac:dyDescent="0.25">
      <c r="N324" s="21"/>
    </row>
    <row r="325" spans="14:14" x14ac:dyDescent="0.25">
      <c r="N325" s="21"/>
    </row>
    <row r="343" spans="12:15" x14ac:dyDescent="0.25">
      <c r="N343" s="156"/>
      <c r="O343" s="156"/>
    </row>
    <row r="344" spans="12:15" x14ac:dyDescent="0.25">
      <c r="L344" s="156"/>
      <c r="M344" s="206"/>
    </row>
    <row r="352" spans="12:15" x14ac:dyDescent="0.25">
      <c r="L352" s="104"/>
    </row>
    <row r="353" spans="12:15" x14ac:dyDescent="0.25">
      <c r="L353" s="104"/>
    </row>
    <row r="354" spans="12:15" x14ac:dyDescent="0.25">
      <c r="L354" s="104"/>
      <c r="N354" s="158"/>
      <c r="O354" s="158"/>
    </row>
    <row r="355" spans="12:15" x14ac:dyDescent="0.25">
      <c r="L355" s="158"/>
      <c r="M355" s="205"/>
    </row>
    <row r="375" spans="12:15" x14ac:dyDescent="0.25">
      <c r="N375" s="21"/>
    </row>
    <row r="376" spans="12:15" x14ac:dyDescent="0.25">
      <c r="N376" s="21"/>
    </row>
    <row r="377" spans="12:15" x14ac:dyDescent="0.25">
      <c r="N377" s="21"/>
    </row>
    <row r="383" spans="12:15" x14ac:dyDescent="0.25">
      <c r="N383" s="158"/>
      <c r="O383" s="158"/>
    </row>
    <row r="384" spans="12:15" x14ac:dyDescent="0.25">
      <c r="L384" s="158"/>
      <c r="M384" s="205"/>
    </row>
    <row r="390" spans="12:15" x14ac:dyDescent="0.25">
      <c r="N390" s="156"/>
      <c r="O390" s="156"/>
    </row>
    <row r="391" spans="12:15" x14ac:dyDescent="0.25">
      <c r="L391" s="156"/>
      <c r="M391" s="206"/>
    </row>
    <row r="397" spans="12:15" x14ac:dyDescent="0.25">
      <c r="N397" s="156"/>
      <c r="O397" s="156"/>
    </row>
    <row r="398" spans="12:15" x14ac:dyDescent="0.25">
      <c r="L398" s="156"/>
      <c r="M398" s="206"/>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00B0F0"/>
  </sheetPr>
  <dimension ref="A1:O413"/>
  <sheetViews>
    <sheetView topLeftCell="A52" workbookViewId="0">
      <selection activeCell="J76" sqref="J76"/>
    </sheetView>
  </sheetViews>
  <sheetFormatPr defaultRowHeight="15" x14ac:dyDescent="0.25"/>
  <cols>
    <col min="1" max="8" width="3" style="159" customWidth="1"/>
    <col min="9" max="9" width="38.140625" style="159" customWidth="1"/>
    <col min="10" max="10" width="15" style="23" bestFit="1" customWidth="1"/>
    <col min="11" max="11" width="9.140625" style="154"/>
    <col min="12" max="12" width="30.7109375" style="154" bestFit="1" customWidth="1"/>
    <col min="13" max="13" width="13.85546875" style="167" bestFit="1" customWidth="1"/>
    <col min="14" max="14" width="9.42578125" style="154" bestFit="1" customWidth="1"/>
    <col min="15" max="15" width="34.28515625" style="154" bestFit="1" customWidth="1"/>
    <col min="16" max="16384" width="9.140625" style="154"/>
  </cols>
  <sheetData>
    <row r="1" spans="1:15" s="158" customFormat="1" ht="15.75" thickBot="1" x14ac:dyDescent="0.3">
      <c r="A1" s="157"/>
      <c r="B1" s="157"/>
      <c r="C1" s="157"/>
      <c r="D1" s="157"/>
      <c r="E1" s="157"/>
      <c r="F1" s="157"/>
      <c r="G1" s="157"/>
      <c r="H1" s="157"/>
      <c r="I1" s="157"/>
      <c r="J1" s="137" t="s">
        <v>617</v>
      </c>
      <c r="L1" s="154"/>
      <c r="M1" s="167"/>
      <c r="N1" s="154"/>
      <c r="O1" s="154"/>
    </row>
    <row r="2" spans="1:15" ht="30.75" thickTop="1" x14ac:dyDescent="0.25">
      <c r="A2" s="171"/>
      <c r="B2" s="171" t="s">
        <v>20</v>
      </c>
      <c r="C2" s="171"/>
      <c r="D2" s="171"/>
      <c r="E2" s="171"/>
      <c r="F2" s="171"/>
      <c r="G2" s="171"/>
      <c r="H2" s="171"/>
      <c r="I2" s="171"/>
      <c r="J2" s="138"/>
      <c r="L2" s="108" t="s">
        <v>381</v>
      </c>
      <c r="M2" s="200" t="s">
        <v>380</v>
      </c>
      <c r="N2" s="110" t="s">
        <v>433</v>
      </c>
      <c r="O2" s="109" t="s">
        <v>382</v>
      </c>
    </row>
    <row r="3" spans="1:15" x14ac:dyDescent="0.25">
      <c r="A3" s="171"/>
      <c r="B3" s="171"/>
      <c r="C3" s="171"/>
      <c r="D3" s="171" t="s">
        <v>21</v>
      </c>
      <c r="E3" s="171"/>
      <c r="F3" s="171"/>
      <c r="G3" s="171"/>
      <c r="H3" s="171"/>
      <c r="I3" s="171"/>
      <c r="J3" s="138"/>
      <c r="L3" s="46" t="s">
        <v>269</v>
      </c>
      <c r="M3" s="184">
        <f>J76</f>
        <v>404600</v>
      </c>
      <c r="N3" s="59"/>
      <c r="O3" s="46" t="s">
        <v>442</v>
      </c>
    </row>
    <row r="4" spans="1:15" x14ac:dyDescent="0.25">
      <c r="A4" s="171"/>
      <c r="B4" s="171"/>
      <c r="C4" s="171"/>
      <c r="D4" s="171"/>
      <c r="E4" s="171" t="s">
        <v>22</v>
      </c>
      <c r="F4" s="171"/>
      <c r="G4" s="171"/>
      <c r="H4" s="171"/>
      <c r="I4" s="171"/>
      <c r="J4" s="138"/>
      <c r="L4" s="46" t="s">
        <v>270</v>
      </c>
      <c r="M4" s="184">
        <f>J124</f>
        <v>70250</v>
      </c>
      <c r="N4" s="59"/>
      <c r="O4" s="46" t="s">
        <v>442</v>
      </c>
    </row>
    <row r="5" spans="1:15" x14ac:dyDescent="0.25">
      <c r="A5" s="171"/>
      <c r="B5" s="171"/>
      <c r="C5" s="171"/>
      <c r="D5" s="171"/>
      <c r="E5" s="171"/>
      <c r="F5" s="171" t="s">
        <v>23</v>
      </c>
      <c r="G5" s="171"/>
      <c r="H5" s="171"/>
      <c r="I5" s="171"/>
      <c r="J5" s="138">
        <v>7397668.04</v>
      </c>
      <c r="L5" s="46" t="s">
        <v>597</v>
      </c>
      <c r="M5" s="184">
        <f>J172</f>
        <v>56000</v>
      </c>
      <c r="N5" s="59"/>
      <c r="O5" s="46" t="s">
        <v>442</v>
      </c>
    </row>
    <row r="6" spans="1:15" x14ac:dyDescent="0.25">
      <c r="A6" s="171"/>
      <c r="B6" s="171"/>
      <c r="C6" s="171"/>
      <c r="D6" s="171"/>
      <c r="E6" s="171"/>
      <c r="F6" s="171" t="s">
        <v>25</v>
      </c>
      <c r="G6" s="171"/>
      <c r="H6" s="171"/>
      <c r="I6" s="171"/>
      <c r="J6" s="138">
        <v>945471.54</v>
      </c>
      <c r="L6" s="119" t="s">
        <v>606</v>
      </c>
      <c r="M6" s="184"/>
      <c r="N6" s="59"/>
      <c r="O6" s="46"/>
    </row>
    <row r="7" spans="1:15" x14ac:dyDescent="0.25">
      <c r="A7" s="171"/>
      <c r="B7" s="171"/>
      <c r="C7" s="171"/>
      <c r="D7" s="171"/>
      <c r="E7" s="171"/>
      <c r="F7" s="171" t="s">
        <v>26</v>
      </c>
      <c r="G7" s="171"/>
      <c r="H7" s="171"/>
      <c r="I7" s="171"/>
      <c r="J7" s="138">
        <v>354216.96000000002</v>
      </c>
      <c r="K7" s="171"/>
      <c r="L7" s="67" t="s">
        <v>598</v>
      </c>
      <c r="M7" s="184">
        <v>245268.75</v>
      </c>
      <c r="N7" s="185">
        <v>0.5</v>
      </c>
      <c r="O7" s="46" t="s">
        <v>595</v>
      </c>
    </row>
    <row r="8" spans="1:15" x14ac:dyDescent="0.25">
      <c r="A8" s="171"/>
      <c r="B8" s="171"/>
      <c r="C8" s="171"/>
      <c r="D8" s="171"/>
      <c r="E8" s="171"/>
      <c r="F8" s="171" t="s">
        <v>27</v>
      </c>
      <c r="G8" s="171"/>
      <c r="H8" s="171"/>
      <c r="I8" s="171"/>
      <c r="J8" s="138">
        <v>4913923.12</v>
      </c>
      <c r="K8" s="171"/>
      <c r="L8" s="67" t="s">
        <v>599</v>
      </c>
      <c r="M8" s="184">
        <v>42375</v>
      </c>
      <c r="N8" s="185">
        <v>0.3</v>
      </c>
      <c r="O8" s="46" t="s">
        <v>595</v>
      </c>
    </row>
    <row r="9" spans="1:15" x14ac:dyDescent="0.25">
      <c r="A9" s="171"/>
      <c r="B9" s="171"/>
      <c r="C9" s="171"/>
      <c r="D9" s="171"/>
      <c r="E9" s="171"/>
      <c r="F9" s="171" t="s">
        <v>28</v>
      </c>
      <c r="G9" s="171"/>
      <c r="H9" s="171"/>
      <c r="I9" s="171"/>
      <c r="J9" s="138">
        <v>122096.33</v>
      </c>
      <c r="K9" s="171"/>
      <c r="L9" s="67" t="s">
        <v>600</v>
      </c>
      <c r="M9" s="184">
        <v>14350</v>
      </c>
      <c r="N9" s="185">
        <v>0.45</v>
      </c>
      <c r="O9" s="46" t="s">
        <v>595</v>
      </c>
    </row>
    <row r="10" spans="1:15" ht="15.75" thickBot="1" x14ac:dyDescent="0.3">
      <c r="A10" s="171"/>
      <c r="B10" s="171"/>
      <c r="C10" s="171"/>
      <c r="D10" s="171"/>
      <c r="E10" s="171"/>
      <c r="F10" s="171" t="s">
        <v>618</v>
      </c>
      <c r="G10" s="171"/>
      <c r="H10" s="171"/>
      <c r="I10" s="171"/>
      <c r="J10" s="139">
        <v>30695.94</v>
      </c>
      <c r="K10" s="171"/>
      <c r="L10" s="67" t="s">
        <v>601</v>
      </c>
      <c r="M10" s="184">
        <v>172361.25</v>
      </c>
      <c r="N10" s="185">
        <v>0.45</v>
      </c>
      <c r="O10" s="46" t="s">
        <v>595</v>
      </c>
    </row>
    <row r="11" spans="1:15" ht="15.75" thickBot="1" x14ac:dyDescent="0.3">
      <c r="A11" s="171"/>
      <c r="B11" s="171"/>
      <c r="C11" s="171"/>
      <c r="D11" s="171"/>
      <c r="E11" s="171" t="s">
        <v>39</v>
      </c>
      <c r="F11" s="171"/>
      <c r="G11" s="171"/>
      <c r="H11" s="171"/>
      <c r="I11" s="171"/>
      <c r="J11" s="141">
        <f>ROUND(SUM(J4:J10),5)</f>
        <v>13764071.93</v>
      </c>
      <c r="K11" s="171"/>
      <c r="L11" s="67" t="s">
        <v>602</v>
      </c>
      <c r="M11" s="184">
        <v>65343.75</v>
      </c>
      <c r="N11" s="185">
        <v>0.5</v>
      </c>
      <c r="O11" s="46" t="s">
        <v>595</v>
      </c>
    </row>
    <row r="12" spans="1:15" x14ac:dyDescent="0.25">
      <c r="A12" s="171"/>
      <c r="B12" s="171"/>
      <c r="C12" s="171"/>
      <c r="D12" s="171" t="s">
        <v>40</v>
      </c>
      <c r="E12" s="171"/>
      <c r="F12" s="171"/>
      <c r="G12" s="171"/>
      <c r="H12" s="171"/>
      <c r="I12" s="171"/>
      <c r="J12" s="138">
        <f>ROUND(J3+J11,5)</f>
        <v>13764071.93</v>
      </c>
      <c r="K12" s="171"/>
      <c r="L12" s="67" t="s">
        <v>422</v>
      </c>
      <c r="M12" s="184">
        <v>645465</v>
      </c>
      <c r="N12" s="185">
        <v>0.35</v>
      </c>
      <c r="O12" s="46" t="s">
        <v>595</v>
      </c>
    </row>
    <row r="13" spans="1:15" x14ac:dyDescent="0.25">
      <c r="A13" s="171"/>
      <c r="B13" s="171"/>
      <c r="C13" s="171"/>
      <c r="D13" s="171" t="s">
        <v>41</v>
      </c>
      <c r="E13" s="171"/>
      <c r="F13" s="171"/>
      <c r="G13" s="171"/>
      <c r="H13" s="171"/>
      <c r="I13" s="171"/>
      <c r="J13" s="138"/>
      <c r="K13" s="171"/>
      <c r="L13" s="67" t="s">
        <v>603</v>
      </c>
      <c r="M13" s="184">
        <v>47895.83</v>
      </c>
      <c r="N13" s="185">
        <v>0.15</v>
      </c>
      <c r="O13" s="46" t="s">
        <v>595</v>
      </c>
    </row>
    <row r="14" spans="1:15" x14ac:dyDescent="0.25">
      <c r="A14" s="171"/>
      <c r="B14" s="171"/>
      <c r="C14" s="171"/>
      <c r="D14" s="171"/>
      <c r="E14" s="171" t="s">
        <v>619</v>
      </c>
      <c r="F14" s="171"/>
      <c r="G14" s="171"/>
      <c r="H14" s="171"/>
      <c r="I14" s="171"/>
      <c r="J14" s="138">
        <v>6021.67</v>
      </c>
      <c r="K14" s="171"/>
      <c r="L14" s="67" t="s">
        <v>427</v>
      </c>
      <c r="M14" s="184">
        <v>34460</v>
      </c>
      <c r="N14" s="185">
        <v>0.5</v>
      </c>
      <c r="O14" s="46" t="s">
        <v>595</v>
      </c>
    </row>
    <row r="15" spans="1:15" x14ac:dyDescent="0.25">
      <c r="A15" s="171"/>
      <c r="B15" s="171"/>
      <c r="C15" s="171"/>
      <c r="D15" s="171"/>
      <c r="E15" s="171" t="s">
        <v>42</v>
      </c>
      <c r="F15" s="171"/>
      <c r="G15" s="171"/>
      <c r="H15" s="171"/>
      <c r="I15" s="171"/>
      <c r="J15" s="138"/>
      <c r="K15" s="171"/>
      <c r="L15" s="67" t="s">
        <v>604</v>
      </c>
      <c r="M15" s="184">
        <v>93194.59</v>
      </c>
      <c r="N15" s="185">
        <v>0.5</v>
      </c>
      <c r="O15" s="46" t="s">
        <v>595</v>
      </c>
    </row>
    <row r="16" spans="1:15" x14ac:dyDescent="0.25">
      <c r="A16" s="171"/>
      <c r="B16" s="171"/>
      <c r="C16" s="171"/>
      <c r="D16" s="171"/>
      <c r="E16" s="171"/>
      <c r="F16" s="171" t="s">
        <v>43</v>
      </c>
      <c r="G16" s="171"/>
      <c r="H16" s="171"/>
      <c r="I16" s="171"/>
      <c r="J16" s="138"/>
      <c r="K16" s="171"/>
      <c r="L16" s="67" t="s">
        <v>605</v>
      </c>
      <c r="M16" s="184">
        <v>14870.83</v>
      </c>
      <c r="N16" s="185">
        <v>0.5</v>
      </c>
      <c r="O16" s="46" t="s">
        <v>595</v>
      </c>
    </row>
    <row r="17" spans="1:15" x14ac:dyDescent="0.25">
      <c r="A17" s="171"/>
      <c r="B17" s="171"/>
      <c r="C17" s="171"/>
      <c r="D17" s="171"/>
      <c r="E17" s="171"/>
      <c r="F17" s="171"/>
      <c r="G17" s="171" t="s">
        <v>44</v>
      </c>
      <c r="H17" s="171"/>
      <c r="I17" s="171"/>
      <c r="J17" s="138">
        <v>2482907.0299999998</v>
      </c>
      <c r="K17" s="171"/>
      <c r="L17" s="67" t="s">
        <v>432</v>
      </c>
      <c r="M17" s="184">
        <v>270000</v>
      </c>
      <c r="N17" s="185">
        <v>0.5</v>
      </c>
      <c r="O17" s="46" t="s">
        <v>595</v>
      </c>
    </row>
    <row r="18" spans="1:15" x14ac:dyDescent="0.25">
      <c r="A18" s="171"/>
      <c r="B18" s="171"/>
      <c r="C18" s="171"/>
      <c r="D18" s="171"/>
      <c r="E18" s="171"/>
      <c r="F18" s="171"/>
      <c r="G18" s="171" t="s">
        <v>45</v>
      </c>
      <c r="H18" s="171"/>
      <c r="I18" s="171"/>
      <c r="J18" s="138">
        <v>436986</v>
      </c>
      <c r="L18" s="106" t="s">
        <v>12</v>
      </c>
      <c r="M18" s="201">
        <f>SUM(M3:M17)</f>
        <v>2176435</v>
      </c>
      <c r="N18" s="186"/>
      <c r="O18" s="46"/>
    </row>
    <row r="19" spans="1:15" x14ac:dyDescent="0.25">
      <c r="A19" s="171"/>
      <c r="B19" s="171"/>
      <c r="C19" s="171"/>
      <c r="D19" s="171"/>
      <c r="E19" s="171"/>
      <c r="F19" s="171"/>
      <c r="G19" s="171" t="s">
        <v>46</v>
      </c>
      <c r="H19" s="171"/>
      <c r="I19" s="171"/>
      <c r="J19" s="138">
        <v>40600</v>
      </c>
      <c r="L19" s="46"/>
      <c r="M19" s="190"/>
      <c r="N19" s="111"/>
      <c r="O19" s="46"/>
    </row>
    <row r="20" spans="1:15" ht="15.75" thickBot="1" x14ac:dyDescent="0.3">
      <c r="A20" s="171"/>
      <c r="B20" s="171"/>
      <c r="C20" s="171"/>
      <c r="D20" s="171"/>
      <c r="E20" s="171"/>
      <c r="F20" s="171"/>
      <c r="G20" s="171" t="s">
        <v>47</v>
      </c>
      <c r="H20" s="171"/>
      <c r="I20" s="171"/>
      <c r="J20" s="143">
        <v>383829</v>
      </c>
      <c r="L20" s="104"/>
      <c r="M20" s="202"/>
      <c r="N20" s="135"/>
      <c r="O20" s="104"/>
    </row>
    <row r="21" spans="1:15" ht="30" x14ac:dyDescent="0.25">
      <c r="A21" s="171"/>
      <c r="B21" s="171"/>
      <c r="C21" s="171"/>
      <c r="D21" s="171"/>
      <c r="E21" s="171"/>
      <c r="F21" s="171" t="s">
        <v>48</v>
      </c>
      <c r="G21" s="171"/>
      <c r="H21" s="171"/>
      <c r="I21" s="171"/>
      <c r="J21" s="138">
        <f>ROUND(SUM(J16:J20),5)</f>
        <v>3344322.03</v>
      </c>
      <c r="L21" s="65" t="s">
        <v>397</v>
      </c>
      <c r="M21" s="203" t="s">
        <v>380</v>
      </c>
      <c r="N21" s="112" t="s">
        <v>433</v>
      </c>
      <c r="O21" s="58" t="s">
        <v>382</v>
      </c>
    </row>
    <row r="22" spans="1:15" x14ac:dyDescent="0.25">
      <c r="A22" s="171"/>
      <c r="B22" s="171"/>
      <c r="C22" s="171"/>
      <c r="D22" s="171"/>
      <c r="E22" s="171"/>
      <c r="F22" s="171" t="s">
        <v>49</v>
      </c>
      <c r="G22" s="171"/>
      <c r="H22" s="171"/>
      <c r="I22" s="171"/>
      <c r="J22" s="138"/>
      <c r="L22" s="46" t="s">
        <v>269</v>
      </c>
      <c r="M22" s="190">
        <f>J107-M3</f>
        <v>1171228.28</v>
      </c>
      <c r="N22" s="187"/>
      <c r="O22" s="46" t="s">
        <v>442</v>
      </c>
    </row>
    <row r="23" spans="1:15" ht="15.75" thickBot="1" x14ac:dyDescent="0.3">
      <c r="A23" s="171"/>
      <c r="B23" s="171"/>
      <c r="C23" s="171"/>
      <c r="D23" s="171"/>
      <c r="E23" s="171"/>
      <c r="F23" s="171"/>
      <c r="G23" s="171" t="s">
        <v>53</v>
      </c>
      <c r="H23" s="171"/>
      <c r="I23" s="171"/>
      <c r="J23" s="143">
        <v>635112.5</v>
      </c>
      <c r="L23" s="46" t="s">
        <v>270</v>
      </c>
      <c r="M23" s="190">
        <f>J147-M4</f>
        <v>450632.74</v>
      </c>
      <c r="N23" s="187"/>
      <c r="O23" s="46" t="s">
        <v>442</v>
      </c>
    </row>
    <row r="24" spans="1:15" x14ac:dyDescent="0.25">
      <c r="A24" s="171"/>
      <c r="B24" s="171"/>
      <c r="C24" s="171"/>
      <c r="D24" s="171"/>
      <c r="E24" s="171"/>
      <c r="F24" s="171" t="s">
        <v>54</v>
      </c>
      <c r="G24" s="171"/>
      <c r="H24" s="171"/>
      <c r="I24" s="171"/>
      <c r="J24" s="138">
        <f>ROUND(SUM(J22:J23),5)</f>
        <v>635112.5</v>
      </c>
      <c r="L24" s="194" t="s">
        <v>609</v>
      </c>
      <c r="M24" s="190">
        <f>J158</f>
        <v>59619.95</v>
      </c>
      <c r="N24" s="187"/>
      <c r="O24" s="46" t="s">
        <v>442</v>
      </c>
    </row>
    <row r="25" spans="1:15" x14ac:dyDescent="0.25">
      <c r="A25" s="171"/>
      <c r="B25" s="171"/>
      <c r="C25" s="171"/>
      <c r="D25" s="171"/>
      <c r="E25" s="171"/>
      <c r="F25" s="171" t="s">
        <v>55</v>
      </c>
      <c r="G25" s="171"/>
      <c r="H25" s="171"/>
      <c r="I25" s="171"/>
      <c r="J25" s="138"/>
      <c r="L25" s="194" t="s">
        <v>610</v>
      </c>
      <c r="M25" s="190">
        <f>J177-J172</f>
        <v>111678.07</v>
      </c>
      <c r="N25" s="188"/>
      <c r="O25" s="46" t="s">
        <v>442</v>
      </c>
    </row>
    <row r="26" spans="1:15" x14ac:dyDescent="0.25">
      <c r="A26" s="171"/>
      <c r="B26" s="171"/>
      <c r="C26" s="171"/>
      <c r="D26" s="171"/>
      <c r="E26" s="171"/>
      <c r="F26" s="171"/>
      <c r="G26" s="171" t="s">
        <v>56</v>
      </c>
      <c r="H26" s="171"/>
      <c r="I26" s="171"/>
      <c r="J26" s="138">
        <v>4004937.07</v>
      </c>
      <c r="L26" s="66" t="s">
        <v>611</v>
      </c>
      <c r="M26" s="190">
        <f>J182</f>
        <v>242011.67</v>
      </c>
      <c r="N26" s="187"/>
      <c r="O26" s="46" t="s">
        <v>442</v>
      </c>
    </row>
    <row r="27" spans="1:15" x14ac:dyDescent="0.25">
      <c r="A27" s="171"/>
      <c r="B27" s="171"/>
      <c r="C27" s="171"/>
      <c r="D27" s="171"/>
      <c r="E27" s="171"/>
      <c r="F27" s="171"/>
      <c r="G27" s="171" t="s">
        <v>620</v>
      </c>
      <c r="H27" s="171"/>
      <c r="I27" s="171"/>
      <c r="J27" s="138">
        <v>243108.52</v>
      </c>
      <c r="L27" s="193" t="s">
        <v>612</v>
      </c>
      <c r="M27" s="190"/>
      <c r="N27" s="189">
        <v>0.35</v>
      </c>
      <c r="O27" s="46"/>
    </row>
    <row r="28" spans="1:15" x14ac:dyDescent="0.25">
      <c r="A28" s="171"/>
      <c r="B28" s="171"/>
      <c r="C28" s="171"/>
      <c r="D28" s="171"/>
      <c r="E28" s="171"/>
      <c r="F28" s="171"/>
      <c r="G28" s="171" t="s">
        <v>59</v>
      </c>
      <c r="H28" s="171"/>
      <c r="I28" s="171"/>
      <c r="J28" s="138">
        <v>138033.5</v>
      </c>
      <c r="L28" s="67" t="s">
        <v>383</v>
      </c>
      <c r="M28" s="190">
        <f>J217</f>
        <v>276224.71999999997</v>
      </c>
      <c r="N28" s="191">
        <v>0.3</v>
      </c>
      <c r="O28" s="46" t="s">
        <v>442</v>
      </c>
    </row>
    <row r="29" spans="1:15" ht="15.75" thickBot="1" x14ac:dyDescent="0.3">
      <c r="A29" s="171"/>
      <c r="B29" s="171"/>
      <c r="C29" s="171"/>
      <c r="D29" s="171"/>
      <c r="E29" s="171"/>
      <c r="F29" s="171"/>
      <c r="G29" s="171" t="s">
        <v>60</v>
      </c>
      <c r="H29" s="171"/>
      <c r="I29" s="171"/>
      <c r="J29" s="143">
        <v>7609.44</v>
      </c>
      <c r="L29" s="67" t="s">
        <v>607</v>
      </c>
      <c r="M29" s="190">
        <f>J202</f>
        <v>160735.57999999999</v>
      </c>
      <c r="N29" s="191"/>
      <c r="O29" s="46" t="s">
        <v>442</v>
      </c>
    </row>
    <row r="30" spans="1:15" x14ac:dyDescent="0.25">
      <c r="A30" s="171"/>
      <c r="B30" s="171"/>
      <c r="C30" s="171"/>
      <c r="D30" s="171"/>
      <c r="E30" s="171"/>
      <c r="F30" s="171" t="s">
        <v>61</v>
      </c>
      <c r="G30" s="171"/>
      <c r="H30" s="171"/>
      <c r="I30" s="171"/>
      <c r="J30" s="138">
        <f>ROUND(SUM(J25:J29),5)</f>
        <v>4393688.53</v>
      </c>
      <c r="L30" s="67" t="s">
        <v>384</v>
      </c>
      <c r="M30" s="190">
        <f>J244</f>
        <v>51777</v>
      </c>
      <c r="N30" s="191">
        <v>0.3</v>
      </c>
      <c r="O30" s="46" t="s">
        <v>442</v>
      </c>
    </row>
    <row r="31" spans="1:15" x14ac:dyDescent="0.25">
      <c r="A31" s="171"/>
      <c r="B31" s="171"/>
      <c r="C31" s="171"/>
      <c r="D31" s="171"/>
      <c r="E31" s="171"/>
      <c r="F31" s="171" t="s">
        <v>62</v>
      </c>
      <c r="G31" s="171"/>
      <c r="H31" s="171"/>
      <c r="I31" s="171"/>
      <c r="J31" s="138"/>
      <c r="L31" s="67" t="s">
        <v>438</v>
      </c>
      <c r="M31" s="190">
        <f>J227</f>
        <v>9387.1200000000008</v>
      </c>
      <c r="N31" s="191">
        <v>0.3</v>
      </c>
      <c r="O31" s="46" t="s">
        <v>442</v>
      </c>
    </row>
    <row r="32" spans="1:15" x14ac:dyDescent="0.25">
      <c r="A32" s="171"/>
      <c r="B32" s="171"/>
      <c r="C32" s="171"/>
      <c r="D32" s="171"/>
      <c r="E32" s="171"/>
      <c r="F32" s="171"/>
      <c r="G32" s="171" t="s">
        <v>63</v>
      </c>
      <c r="H32" s="171"/>
      <c r="I32" s="171"/>
      <c r="J32" s="138">
        <v>971155</v>
      </c>
      <c r="L32" s="67" t="s">
        <v>608</v>
      </c>
      <c r="M32" s="190">
        <f>J250</f>
        <v>404780.97</v>
      </c>
      <c r="N32" s="191">
        <v>0.3</v>
      </c>
      <c r="O32" s="46" t="s">
        <v>442</v>
      </c>
    </row>
    <row r="33" spans="1:15" x14ac:dyDescent="0.25">
      <c r="A33" s="171"/>
      <c r="B33" s="171"/>
      <c r="C33" s="171"/>
      <c r="D33" s="171"/>
      <c r="E33" s="171"/>
      <c r="F33" s="171"/>
      <c r="G33" s="171" t="s">
        <v>512</v>
      </c>
      <c r="H33" s="171"/>
      <c r="I33" s="171"/>
      <c r="J33" s="138">
        <v>116544.6</v>
      </c>
      <c r="L33" s="67" t="s">
        <v>596</v>
      </c>
      <c r="M33" s="190">
        <f>J235</f>
        <v>99803.26</v>
      </c>
      <c r="N33" s="191"/>
      <c r="O33" s="46"/>
    </row>
    <row r="34" spans="1:15" x14ac:dyDescent="0.25">
      <c r="A34" s="171"/>
      <c r="B34" s="171"/>
      <c r="C34" s="171"/>
      <c r="D34" s="171"/>
      <c r="E34" s="171"/>
      <c r="F34" s="171"/>
      <c r="G34" s="171" t="s">
        <v>513</v>
      </c>
      <c r="H34" s="171"/>
      <c r="I34" s="171"/>
      <c r="J34" s="138">
        <v>29136.15</v>
      </c>
      <c r="L34" s="67" t="s">
        <v>386</v>
      </c>
      <c r="M34" s="190">
        <f>J258</f>
        <v>1311174.83</v>
      </c>
      <c r="N34" s="191"/>
      <c r="O34" s="46" t="s">
        <v>442</v>
      </c>
    </row>
    <row r="35" spans="1:15" x14ac:dyDescent="0.25">
      <c r="A35" s="171"/>
      <c r="B35" s="171"/>
      <c r="C35" s="171"/>
      <c r="D35" s="171"/>
      <c r="E35" s="171"/>
      <c r="F35" s="171"/>
      <c r="G35" s="171" t="s">
        <v>64</v>
      </c>
      <c r="H35" s="171"/>
      <c r="I35" s="171"/>
      <c r="J35" s="138">
        <v>342345.79</v>
      </c>
      <c r="L35" s="46"/>
      <c r="M35" s="190"/>
      <c r="N35" s="191">
        <v>0.3</v>
      </c>
      <c r="O35" s="46"/>
    </row>
    <row r="36" spans="1:15" x14ac:dyDescent="0.25">
      <c r="A36" s="171"/>
      <c r="B36" s="171"/>
      <c r="C36" s="171"/>
      <c r="D36" s="171"/>
      <c r="E36" s="171"/>
      <c r="F36" s="171"/>
      <c r="G36" s="171" t="s">
        <v>65</v>
      </c>
      <c r="H36" s="171"/>
      <c r="I36" s="171"/>
      <c r="J36" s="138">
        <v>104139.77</v>
      </c>
      <c r="L36" s="61" t="s">
        <v>12</v>
      </c>
      <c r="M36" s="204">
        <f>SUM(M22:M34)</f>
        <v>4349054.1899999995</v>
      </c>
    </row>
    <row r="37" spans="1:15" ht="15.75" thickBot="1" x14ac:dyDescent="0.3">
      <c r="A37" s="171"/>
      <c r="B37" s="171"/>
      <c r="C37" s="171"/>
      <c r="D37" s="171"/>
      <c r="E37" s="171"/>
      <c r="F37" s="171"/>
      <c r="G37" s="171" t="s">
        <v>66</v>
      </c>
      <c r="H37" s="171"/>
      <c r="I37" s="171"/>
      <c r="J37" s="143">
        <v>66539.44</v>
      </c>
    </row>
    <row r="38" spans="1:15" x14ac:dyDescent="0.25">
      <c r="A38" s="171"/>
      <c r="B38" s="171"/>
      <c r="C38" s="171"/>
      <c r="D38" s="171"/>
      <c r="E38" s="171"/>
      <c r="F38" s="171" t="s">
        <v>67</v>
      </c>
      <c r="G38" s="171"/>
      <c r="H38" s="171"/>
      <c r="I38" s="171"/>
      <c r="J38" s="138">
        <f>ROUND(SUM(J31:J37),5)</f>
        <v>1629860.75</v>
      </c>
      <c r="L38" s="21"/>
    </row>
    <row r="39" spans="1:15" x14ac:dyDescent="0.25">
      <c r="A39" s="171"/>
      <c r="B39" s="171"/>
      <c r="C39" s="171"/>
      <c r="D39" s="171"/>
      <c r="E39" s="171"/>
      <c r="F39" s="171" t="s">
        <v>514</v>
      </c>
      <c r="G39" s="171"/>
      <c r="H39" s="171"/>
      <c r="I39" s="171"/>
      <c r="J39" s="138"/>
      <c r="L39" s="21"/>
    </row>
    <row r="40" spans="1:15" x14ac:dyDescent="0.25">
      <c r="A40" s="171"/>
      <c r="B40" s="171"/>
      <c r="C40" s="171"/>
      <c r="D40" s="171"/>
      <c r="E40" s="171"/>
      <c r="F40" s="171"/>
      <c r="G40" s="171" t="s">
        <v>621</v>
      </c>
      <c r="H40" s="171"/>
      <c r="I40" s="171"/>
      <c r="J40" s="138">
        <v>2385</v>
      </c>
    </row>
    <row r="41" spans="1:15" x14ac:dyDescent="0.25">
      <c r="A41" s="171"/>
      <c r="B41" s="171"/>
      <c r="C41" s="171"/>
      <c r="D41" s="171"/>
      <c r="E41" s="171"/>
      <c r="F41" s="171"/>
      <c r="G41" s="171" t="s">
        <v>622</v>
      </c>
      <c r="H41" s="171"/>
      <c r="I41" s="171"/>
      <c r="J41" s="138">
        <v>64300</v>
      </c>
    </row>
    <row r="42" spans="1:15" x14ac:dyDescent="0.25">
      <c r="A42" s="171"/>
      <c r="B42" s="171"/>
      <c r="C42" s="171"/>
      <c r="D42" s="171"/>
      <c r="E42" s="171"/>
      <c r="F42" s="171"/>
      <c r="G42" s="171" t="s">
        <v>515</v>
      </c>
      <c r="H42" s="171"/>
      <c r="I42" s="171"/>
      <c r="J42" s="138">
        <v>151418</v>
      </c>
      <c r="M42" s="23"/>
    </row>
    <row r="43" spans="1:15" ht="15.75" thickBot="1" x14ac:dyDescent="0.3">
      <c r="A43" s="171"/>
      <c r="B43" s="171"/>
      <c r="C43" s="171"/>
      <c r="D43" s="171"/>
      <c r="E43" s="171"/>
      <c r="F43" s="171"/>
      <c r="G43" s="171" t="s">
        <v>623</v>
      </c>
      <c r="H43" s="171"/>
      <c r="I43" s="171"/>
      <c r="J43" s="143">
        <v>338675</v>
      </c>
      <c r="M43" s="23"/>
    </row>
    <row r="44" spans="1:15" x14ac:dyDescent="0.25">
      <c r="A44" s="171"/>
      <c r="B44" s="171"/>
      <c r="C44" s="171"/>
      <c r="D44" s="171"/>
      <c r="E44" s="171"/>
      <c r="F44" s="171" t="s">
        <v>516</v>
      </c>
      <c r="G44" s="171"/>
      <c r="H44" s="171"/>
      <c r="I44" s="171"/>
      <c r="J44" s="138">
        <f>ROUND(SUM(J39:J43),5)</f>
        <v>556778</v>
      </c>
    </row>
    <row r="45" spans="1:15" ht="15.75" thickBot="1" x14ac:dyDescent="0.3">
      <c r="A45" s="171"/>
      <c r="B45" s="171"/>
      <c r="C45" s="171"/>
      <c r="D45" s="171"/>
      <c r="E45" s="171"/>
      <c r="F45" s="171" t="s">
        <v>624</v>
      </c>
      <c r="G45" s="171"/>
      <c r="H45" s="171"/>
      <c r="I45" s="171"/>
      <c r="J45" s="139">
        <v>7559.03</v>
      </c>
    </row>
    <row r="46" spans="1:15" ht="15.75" thickBot="1" x14ac:dyDescent="0.3">
      <c r="A46" s="171"/>
      <c r="B46" s="171"/>
      <c r="C46" s="171"/>
      <c r="D46" s="171"/>
      <c r="E46" s="171" t="s">
        <v>71</v>
      </c>
      <c r="F46" s="171"/>
      <c r="G46" s="171"/>
      <c r="H46" s="171"/>
      <c r="I46" s="171"/>
      <c r="J46" s="140">
        <f>ROUND(J15+J21+J24+J30+J38+SUM(J44:J45),5)</f>
        <v>10567320.84</v>
      </c>
    </row>
    <row r="47" spans="1:15" ht="15.75" thickBot="1" x14ac:dyDescent="0.3">
      <c r="A47" s="171"/>
      <c r="B47" s="171"/>
      <c r="C47" s="171"/>
      <c r="D47" s="171" t="s">
        <v>72</v>
      </c>
      <c r="E47" s="171"/>
      <c r="F47" s="171"/>
      <c r="G47" s="171"/>
      <c r="H47" s="171"/>
      <c r="I47" s="171"/>
      <c r="J47" s="141">
        <f>ROUND(SUM(J13:J14)+J46,5)</f>
        <v>10573342.51</v>
      </c>
    </row>
    <row r="48" spans="1:15" x14ac:dyDescent="0.25">
      <c r="A48" s="171"/>
      <c r="B48" s="171"/>
      <c r="C48" s="171" t="s">
        <v>73</v>
      </c>
      <c r="D48" s="171"/>
      <c r="E48" s="171"/>
      <c r="F48" s="171"/>
      <c r="G48" s="171"/>
      <c r="H48" s="171"/>
      <c r="I48" s="171"/>
      <c r="J48" s="138">
        <f>ROUND(J12-J47,5)</f>
        <v>3190729.42</v>
      </c>
    </row>
    <row r="49" spans="1:10" x14ac:dyDescent="0.25">
      <c r="A49" s="171"/>
      <c r="B49" s="171"/>
      <c r="C49" s="171"/>
      <c r="D49" s="171" t="s">
        <v>74</v>
      </c>
      <c r="E49" s="171"/>
      <c r="F49" s="171"/>
      <c r="G49" s="171"/>
      <c r="H49" s="171"/>
      <c r="I49" s="171"/>
      <c r="J49" s="138"/>
    </row>
    <row r="50" spans="1:10" x14ac:dyDescent="0.25">
      <c r="A50" s="171"/>
      <c r="B50" s="171"/>
      <c r="C50" s="171"/>
      <c r="D50" s="171"/>
      <c r="E50" s="171" t="s">
        <v>75</v>
      </c>
      <c r="F50" s="171"/>
      <c r="G50" s="171"/>
      <c r="H50" s="171"/>
      <c r="I50" s="171"/>
      <c r="J50" s="138"/>
    </row>
    <row r="51" spans="1:10" x14ac:dyDescent="0.25">
      <c r="A51" s="171"/>
      <c r="B51" s="171"/>
      <c r="C51" s="171"/>
      <c r="D51" s="171"/>
      <c r="E51" s="171"/>
      <c r="F51" s="171" t="s">
        <v>189</v>
      </c>
      <c r="G51" s="171"/>
      <c r="H51" s="171"/>
      <c r="I51" s="171"/>
      <c r="J51" s="138"/>
    </row>
    <row r="52" spans="1:10" x14ac:dyDescent="0.25">
      <c r="A52" s="171"/>
      <c r="B52" s="171"/>
      <c r="C52" s="171"/>
      <c r="D52" s="171"/>
      <c r="E52" s="171"/>
      <c r="F52" s="171"/>
      <c r="G52" s="171" t="s">
        <v>76</v>
      </c>
      <c r="H52" s="171"/>
      <c r="I52" s="171"/>
      <c r="J52" s="138"/>
    </row>
    <row r="53" spans="1:10" x14ac:dyDescent="0.25">
      <c r="A53" s="171"/>
      <c r="B53" s="171"/>
      <c r="C53" s="171"/>
      <c r="D53" s="171"/>
      <c r="E53" s="171"/>
      <c r="F53" s="171"/>
      <c r="G53" s="171"/>
      <c r="H53" s="171" t="s">
        <v>77</v>
      </c>
      <c r="I53" s="171"/>
      <c r="J53" s="138">
        <v>6000</v>
      </c>
    </row>
    <row r="54" spans="1:10" x14ac:dyDescent="0.25">
      <c r="A54" s="171"/>
      <c r="B54" s="171"/>
      <c r="C54" s="171"/>
      <c r="D54" s="171"/>
      <c r="E54" s="171"/>
      <c r="F54" s="171"/>
      <c r="G54" s="171"/>
      <c r="H54" s="171" t="s">
        <v>78</v>
      </c>
      <c r="I54" s="171"/>
      <c r="J54" s="138">
        <v>40213.4</v>
      </c>
    </row>
    <row r="55" spans="1:10" x14ac:dyDescent="0.25">
      <c r="A55" s="171"/>
      <c r="B55" s="171"/>
      <c r="C55" s="171"/>
      <c r="D55" s="171"/>
      <c r="E55" s="171"/>
      <c r="F55" s="171"/>
      <c r="G55" s="171"/>
      <c r="H55" s="171" t="s">
        <v>79</v>
      </c>
      <c r="I55" s="171"/>
      <c r="J55" s="138">
        <v>1500</v>
      </c>
    </row>
    <row r="56" spans="1:10" x14ac:dyDescent="0.25">
      <c r="A56" s="171"/>
      <c r="B56" s="171"/>
      <c r="C56" s="171"/>
      <c r="D56" s="171"/>
      <c r="E56" s="171"/>
      <c r="F56" s="171"/>
      <c r="G56" s="171"/>
      <c r="H56" s="171" t="s">
        <v>80</v>
      </c>
      <c r="I56" s="171"/>
      <c r="J56" s="138">
        <v>3100</v>
      </c>
    </row>
    <row r="57" spans="1:10" x14ac:dyDescent="0.25">
      <c r="A57" s="171"/>
      <c r="B57" s="171"/>
      <c r="C57" s="171"/>
      <c r="D57" s="171"/>
      <c r="E57" s="171"/>
      <c r="F57" s="171"/>
      <c r="G57" s="171"/>
      <c r="H57" s="171" t="s">
        <v>453</v>
      </c>
      <c r="I57" s="171"/>
      <c r="J57" s="138">
        <v>5569.2</v>
      </c>
    </row>
    <row r="58" spans="1:10" x14ac:dyDescent="0.25">
      <c r="A58" s="171"/>
      <c r="B58" s="171"/>
      <c r="C58" s="171"/>
      <c r="D58" s="171"/>
      <c r="E58" s="171"/>
      <c r="F58" s="171"/>
      <c r="G58" s="171"/>
      <c r="H58" s="171" t="s">
        <v>81</v>
      </c>
      <c r="I58" s="171"/>
      <c r="J58" s="138"/>
    </row>
    <row r="59" spans="1:10" ht="15.75" thickBot="1" x14ac:dyDescent="0.3">
      <c r="A59" s="171"/>
      <c r="B59" s="171"/>
      <c r="C59" s="171"/>
      <c r="D59" s="171"/>
      <c r="E59" s="171"/>
      <c r="F59" s="171"/>
      <c r="G59" s="171"/>
      <c r="H59" s="171"/>
      <c r="I59" s="171" t="s">
        <v>82</v>
      </c>
      <c r="J59" s="143">
        <v>18102</v>
      </c>
    </row>
    <row r="60" spans="1:10" x14ac:dyDescent="0.25">
      <c r="A60" s="171"/>
      <c r="B60" s="171"/>
      <c r="C60" s="171"/>
      <c r="D60" s="171"/>
      <c r="E60" s="171"/>
      <c r="F60" s="171"/>
      <c r="G60" s="171"/>
      <c r="H60" s="171" t="s">
        <v>83</v>
      </c>
      <c r="I60" s="171"/>
      <c r="J60" s="138">
        <f>ROUND(SUM(J58:J59),5)</f>
        <v>18102</v>
      </c>
    </row>
    <row r="61" spans="1:10" x14ac:dyDescent="0.25">
      <c r="A61" s="171"/>
      <c r="B61" s="171"/>
      <c r="C61" s="171"/>
      <c r="D61" s="171"/>
      <c r="E61" s="171"/>
      <c r="F61" s="171"/>
      <c r="G61" s="171"/>
      <c r="H61" s="171" t="s">
        <v>190</v>
      </c>
      <c r="I61" s="171"/>
      <c r="J61" s="138">
        <v>73645</v>
      </c>
    </row>
    <row r="62" spans="1:10" x14ac:dyDescent="0.25">
      <c r="A62" s="171"/>
      <c r="B62" s="171"/>
      <c r="C62" s="171"/>
      <c r="D62" s="171"/>
      <c r="E62" s="171"/>
      <c r="F62" s="171"/>
      <c r="G62" s="171"/>
      <c r="H62" s="171" t="s">
        <v>84</v>
      </c>
      <c r="I62" s="171"/>
      <c r="J62" s="138">
        <v>48675</v>
      </c>
    </row>
    <row r="63" spans="1:10" x14ac:dyDescent="0.25">
      <c r="A63" s="171"/>
      <c r="B63" s="171"/>
      <c r="C63" s="171"/>
      <c r="D63" s="171"/>
      <c r="E63" s="171"/>
      <c r="F63" s="171"/>
      <c r="G63" s="171"/>
      <c r="H63" s="171" t="s">
        <v>517</v>
      </c>
      <c r="I63" s="171"/>
      <c r="J63" s="138"/>
    </row>
    <row r="64" spans="1:10" x14ac:dyDescent="0.25">
      <c r="A64" s="171"/>
      <c r="B64" s="171"/>
      <c r="C64" s="171"/>
      <c r="D64" s="171"/>
      <c r="E64" s="171"/>
      <c r="F64" s="171"/>
      <c r="G64" s="171"/>
      <c r="H64" s="171"/>
      <c r="I64" s="171" t="s">
        <v>518</v>
      </c>
      <c r="J64" s="138">
        <v>7101.61</v>
      </c>
    </row>
    <row r="65" spans="1:10" ht="15.75" thickBot="1" x14ac:dyDescent="0.3">
      <c r="A65" s="171"/>
      <c r="B65" s="171"/>
      <c r="C65" s="171"/>
      <c r="D65" s="171"/>
      <c r="E65" s="171"/>
      <c r="F65" s="171"/>
      <c r="G65" s="171"/>
      <c r="H65" s="171"/>
      <c r="I65" s="171" t="s">
        <v>519</v>
      </c>
      <c r="J65" s="143">
        <v>8465.0400000000009</v>
      </c>
    </row>
    <row r="66" spans="1:10" x14ac:dyDescent="0.25">
      <c r="A66" s="171"/>
      <c r="B66" s="171"/>
      <c r="C66" s="171"/>
      <c r="D66" s="171"/>
      <c r="E66" s="171"/>
      <c r="F66" s="171"/>
      <c r="G66" s="171"/>
      <c r="H66" s="171" t="s">
        <v>520</v>
      </c>
      <c r="I66" s="171"/>
      <c r="J66" s="138">
        <f>ROUND(SUM(J63:J65),5)</f>
        <v>15566.65</v>
      </c>
    </row>
    <row r="67" spans="1:10" ht="15.75" thickBot="1" x14ac:dyDescent="0.3">
      <c r="A67" s="171"/>
      <c r="B67" s="171"/>
      <c r="C67" s="171"/>
      <c r="D67" s="171"/>
      <c r="E67" s="171"/>
      <c r="F67" s="171"/>
      <c r="G67" s="171"/>
      <c r="H67" s="171" t="s">
        <v>521</v>
      </c>
      <c r="I67" s="171"/>
      <c r="J67" s="143">
        <v>20813</v>
      </c>
    </row>
    <row r="68" spans="1:10" x14ac:dyDescent="0.25">
      <c r="A68" s="171"/>
      <c r="B68" s="171"/>
      <c r="C68" s="171"/>
      <c r="D68" s="171"/>
      <c r="E68" s="171"/>
      <c r="F68" s="171"/>
      <c r="G68" s="171" t="s">
        <v>85</v>
      </c>
      <c r="H68" s="171"/>
      <c r="I68" s="171"/>
      <c r="J68" s="138">
        <f>ROUND(SUM(J52:J57)+SUM(J60:J62)+SUM(J66:J67),5)</f>
        <v>233184.25</v>
      </c>
    </row>
    <row r="69" spans="1:10" x14ac:dyDescent="0.25">
      <c r="A69" s="171"/>
      <c r="B69" s="171"/>
      <c r="C69" s="171"/>
      <c r="D69" s="171"/>
      <c r="E69" s="171"/>
      <c r="F69" s="171"/>
      <c r="G69" s="171" t="s">
        <v>86</v>
      </c>
      <c r="H69" s="171"/>
      <c r="I69" s="171"/>
      <c r="J69" s="138"/>
    </row>
    <row r="70" spans="1:10" x14ac:dyDescent="0.25">
      <c r="A70" s="171"/>
      <c r="B70" s="171"/>
      <c r="C70" s="171"/>
      <c r="D70" s="171"/>
      <c r="E70" s="171"/>
      <c r="F70" s="171"/>
      <c r="G70" s="171"/>
      <c r="H70" s="171" t="s">
        <v>87</v>
      </c>
      <c r="I70" s="171"/>
      <c r="J70" s="138">
        <v>264000</v>
      </c>
    </row>
    <row r="71" spans="1:10" x14ac:dyDescent="0.25">
      <c r="A71" s="171"/>
      <c r="B71" s="171"/>
      <c r="C71" s="171"/>
      <c r="D71" s="171"/>
      <c r="E71" s="171"/>
      <c r="F71" s="171"/>
      <c r="G71" s="171"/>
      <c r="H71" s="171" t="s">
        <v>522</v>
      </c>
      <c r="I71" s="171"/>
      <c r="J71" s="138">
        <v>31680</v>
      </c>
    </row>
    <row r="72" spans="1:10" x14ac:dyDescent="0.25">
      <c r="A72" s="171"/>
      <c r="B72" s="171"/>
      <c r="C72" s="171"/>
      <c r="D72" s="171"/>
      <c r="E72" s="171"/>
      <c r="F72" s="171"/>
      <c r="G72" s="171"/>
      <c r="H72" s="171" t="s">
        <v>523</v>
      </c>
      <c r="I72" s="171"/>
      <c r="J72" s="138">
        <v>7920</v>
      </c>
    </row>
    <row r="73" spans="1:10" x14ac:dyDescent="0.25">
      <c r="A73" s="171"/>
      <c r="B73" s="171"/>
      <c r="C73" s="171"/>
      <c r="D73" s="171"/>
      <c r="E73" s="171"/>
      <c r="F73" s="171"/>
      <c r="G73" s="171"/>
      <c r="H73" s="171" t="s">
        <v>524</v>
      </c>
      <c r="I73" s="171"/>
      <c r="J73" s="138">
        <v>73000</v>
      </c>
    </row>
    <row r="74" spans="1:10" x14ac:dyDescent="0.25">
      <c r="A74" s="171"/>
      <c r="B74" s="171"/>
      <c r="C74" s="171"/>
      <c r="D74" s="171"/>
      <c r="E74" s="171"/>
      <c r="F74" s="171"/>
      <c r="G74" s="171"/>
      <c r="H74" s="171" t="s">
        <v>88</v>
      </c>
      <c r="I74" s="171"/>
      <c r="J74" s="138">
        <v>0</v>
      </c>
    </row>
    <row r="75" spans="1:10" ht="15.75" thickBot="1" x14ac:dyDescent="0.3">
      <c r="A75" s="171"/>
      <c r="B75" s="171"/>
      <c r="C75" s="171"/>
      <c r="D75" s="171"/>
      <c r="E75" s="171"/>
      <c r="F75" s="171"/>
      <c r="G75" s="171"/>
      <c r="H75" s="171" t="s">
        <v>89</v>
      </c>
      <c r="I75" s="171"/>
      <c r="J75" s="143">
        <v>28000</v>
      </c>
    </row>
    <row r="76" spans="1:10" x14ac:dyDescent="0.25">
      <c r="A76" s="171"/>
      <c r="B76" s="171"/>
      <c r="C76" s="171"/>
      <c r="D76" s="171"/>
      <c r="E76" s="171"/>
      <c r="F76" s="171"/>
      <c r="G76" s="171" t="s">
        <v>91</v>
      </c>
      <c r="H76" s="171"/>
      <c r="I76" s="171"/>
      <c r="J76" s="138">
        <f>ROUND(SUM(J69:J75),5)</f>
        <v>404600</v>
      </c>
    </row>
    <row r="77" spans="1:10" x14ac:dyDescent="0.25">
      <c r="A77" s="171"/>
      <c r="B77" s="171"/>
      <c r="C77" s="171"/>
      <c r="D77" s="171"/>
      <c r="E77" s="171"/>
      <c r="F77" s="171"/>
      <c r="G77" s="171" t="s">
        <v>92</v>
      </c>
      <c r="H77" s="171"/>
      <c r="I77" s="171"/>
      <c r="J77" s="138"/>
    </row>
    <row r="78" spans="1:10" x14ac:dyDescent="0.25">
      <c r="A78" s="171"/>
      <c r="B78" s="171"/>
      <c r="C78" s="171"/>
      <c r="D78" s="171"/>
      <c r="E78" s="171"/>
      <c r="F78" s="171"/>
      <c r="G78" s="171"/>
      <c r="H78" s="171" t="s">
        <v>93</v>
      </c>
      <c r="I78" s="171"/>
      <c r="J78" s="138">
        <v>839.36</v>
      </c>
    </row>
    <row r="79" spans="1:10" x14ac:dyDescent="0.25">
      <c r="A79" s="171"/>
      <c r="B79" s="171"/>
      <c r="C79" s="171"/>
      <c r="D79" s="171"/>
      <c r="E79" s="171"/>
      <c r="F79" s="171"/>
      <c r="G79" s="171"/>
      <c r="H79" s="171" t="s">
        <v>525</v>
      </c>
      <c r="I79" s="171"/>
      <c r="J79" s="138">
        <v>6700.27</v>
      </c>
    </row>
    <row r="80" spans="1:10" x14ac:dyDescent="0.25">
      <c r="A80" s="171"/>
      <c r="B80" s="171"/>
      <c r="C80" s="171"/>
      <c r="D80" s="171"/>
      <c r="E80" s="171"/>
      <c r="F80" s="171"/>
      <c r="G80" s="171"/>
      <c r="H80" s="171" t="s">
        <v>94</v>
      </c>
      <c r="I80" s="171"/>
      <c r="J80" s="138">
        <v>10672.31</v>
      </c>
    </row>
    <row r="81" spans="1:10" x14ac:dyDescent="0.25">
      <c r="A81" s="171"/>
      <c r="B81" s="171"/>
      <c r="C81" s="171"/>
      <c r="D81" s="171"/>
      <c r="E81" s="171"/>
      <c r="F81" s="171"/>
      <c r="G81" s="171"/>
      <c r="H81" s="171" t="s">
        <v>95</v>
      </c>
      <c r="I81" s="171"/>
      <c r="J81" s="138">
        <v>9077.4599999999991</v>
      </c>
    </row>
    <row r="82" spans="1:10" ht="15.75" thickBot="1" x14ac:dyDescent="0.3">
      <c r="A82" s="171"/>
      <c r="B82" s="171"/>
      <c r="C82" s="171"/>
      <c r="D82" s="171"/>
      <c r="E82" s="171"/>
      <c r="F82" s="171"/>
      <c r="G82" s="171"/>
      <c r="H82" s="171" t="s">
        <v>526</v>
      </c>
      <c r="I82" s="171"/>
      <c r="J82" s="143">
        <v>43301.88</v>
      </c>
    </row>
    <row r="83" spans="1:10" x14ac:dyDescent="0.25">
      <c r="A83" s="171"/>
      <c r="B83" s="171"/>
      <c r="C83" s="171"/>
      <c r="D83" s="171"/>
      <c r="E83" s="171"/>
      <c r="F83" s="171"/>
      <c r="G83" s="171" t="s">
        <v>96</v>
      </c>
      <c r="H83" s="171"/>
      <c r="I83" s="171"/>
      <c r="J83" s="138">
        <f>ROUND(SUM(J77:J82),5)</f>
        <v>70591.28</v>
      </c>
    </row>
    <row r="84" spans="1:10" x14ac:dyDescent="0.25">
      <c r="A84" s="171"/>
      <c r="B84" s="171"/>
      <c r="C84" s="171"/>
      <c r="D84" s="171"/>
      <c r="E84" s="171"/>
      <c r="F84" s="171"/>
      <c r="G84" s="171" t="s">
        <v>97</v>
      </c>
      <c r="H84" s="171"/>
      <c r="I84" s="171"/>
      <c r="J84" s="138"/>
    </row>
    <row r="85" spans="1:10" x14ac:dyDescent="0.25">
      <c r="A85" s="171"/>
      <c r="B85" s="171"/>
      <c r="C85" s="171"/>
      <c r="D85" s="171"/>
      <c r="E85" s="171"/>
      <c r="F85" s="171"/>
      <c r="G85" s="171"/>
      <c r="H85" s="171" t="s">
        <v>98</v>
      </c>
      <c r="I85" s="171"/>
      <c r="J85" s="138">
        <v>12100</v>
      </c>
    </row>
    <row r="86" spans="1:10" x14ac:dyDescent="0.25">
      <c r="A86" s="171"/>
      <c r="B86" s="171"/>
      <c r="C86" s="171"/>
      <c r="D86" s="171"/>
      <c r="E86" s="171"/>
      <c r="F86" s="171"/>
      <c r="G86" s="171"/>
      <c r="H86" s="171" t="s">
        <v>625</v>
      </c>
      <c r="I86" s="171"/>
      <c r="J86" s="138">
        <v>25700</v>
      </c>
    </row>
    <row r="87" spans="1:10" x14ac:dyDescent="0.25">
      <c r="A87" s="171"/>
      <c r="B87" s="171"/>
      <c r="C87" s="171"/>
      <c r="D87" s="171"/>
      <c r="E87" s="171"/>
      <c r="F87" s="171"/>
      <c r="G87" s="171"/>
      <c r="H87" s="171" t="s">
        <v>99</v>
      </c>
      <c r="I87" s="171"/>
      <c r="J87" s="138">
        <v>2000</v>
      </c>
    </row>
    <row r="88" spans="1:10" x14ac:dyDescent="0.25">
      <c r="A88" s="171"/>
      <c r="B88" s="171"/>
      <c r="C88" s="171"/>
      <c r="D88" s="171"/>
      <c r="E88" s="171"/>
      <c r="F88" s="171"/>
      <c r="G88" s="171"/>
      <c r="H88" s="171" t="s">
        <v>100</v>
      </c>
      <c r="I88" s="171"/>
      <c r="J88" s="138">
        <v>24000</v>
      </c>
    </row>
    <row r="89" spans="1:10" ht="15.75" thickBot="1" x14ac:dyDescent="0.3">
      <c r="A89" s="171"/>
      <c r="B89" s="171"/>
      <c r="C89" s="171"/>
      <c r="D89" s="171"/>
      <c r="E89" s="171"/>
      <c r="F89" s="171"/>
      <c r="G89" s="171"/>
      <c r="H89" s="171" t="s">
        <v>527</v>
      </c>
      <c r="I89" s="171"/>
      <c r="J89" s="143">
        <v>11000</v>
      </c>
    </row>
    <row r="90" spans="1:10" x14ac:dyDescent="0.25">
      <c r="A90" s="171"/>
      <c r="B90" s="171"/>
      <c r="C90" s="171"/>
      <c r="D90" s="171"/>
      <c r="E90" s="171"/>
      <c r="F90" s="171"/>
      <c r="G90" s="171" t="s">
        <v>102</v>
      </c>
      <c r="H90" s="171"/>
      <c r="I90" s="171"/>
      <c r="J90" s="138">
        <f>ROUND(SUM(J84:J89),5)</f>
        <v>74800</v>
      </c>
    </row>
    <row r="91" spans="1:10" x14ac:dyDescent="0.25">
      <c r="A91" s="171"/>
      <c r="B91" s="171"/>
      <c r="C91" s="171"/>
      <c r="D91" s="171"/>
      <c r="E91" s="171"/>
      <c r="F91" s="171"/>
      <c r="G91" s="171" t="s">
        <v>103</v>
      </c>
      <c r="H91" s="171"/>
      <c r="I91" s="171"/>
      <c r="J91" s="138"/>
    </row>
    <row r="92" spans="1:10" x14ac:dyDescent="0.25">
      <c r="A92" s="171"/>
      <c r="B92" s="171"/>
      <c r="C92" s="171"/>
      <c r="D92" s="171"/>
      <c r="E92" s="171"/>
      <c r="F92" s="171"/>
      <c r="G92" s="171"/>
      <c r="H92" s="171" t="s">
        <v>104</v>
      </c>
      <c r="I92" s="171"/>
      <c r="J92" s="138">
        <v>30530</v>
      </c>
    </row>
    <row r="93" spans="1:10" x14ac:dyDescent="0.25">
      <c r="A93" s="171"/>
      <c r="B93" s="171"/>
      <c r="C93" s="171"/>
      <c r="D93" s="171"/>
      <c r="E93" s="171"/>
      <c r="F93" s="171"/>
      <c r="G93" s="171"/>
      <c r="H93" s="171" t="s">
        <v>105</v>
      </c>
      <c r="I93" s="171"/>
      <c r="J93" s="138">
        <v>44650</v>
      </c>
    </row>
    <row r="94" spans="1:10" x14ac:dyDescent="0.25">
      <c r="A94" s="171"/>
      <c r="B94" s="171"/>
      <c r="C94" s="171"/>
      <c r="D94" s="171"/>
      <c r="E94" s="171"/>
      <c r="F94" s="171"/>
      <c r="G94" s="171"/>
      <c r="H94" s="171" t="s">
        <v>455</v>
      </c>
      <c r="I94" s="171"/>
      <c r="J94" s="138">
        <v>87210</v>
      </c>
    </row>
    <row r="95" spans="1:10" x14ac:dyDescent="0.25">
      <c r="A95" s="171"/>
      <c r="B95" s="171"/>
      <c r="C95" s="171"/>
      <c r="D95" s="171"/>
      <c r="E95" s="171"/>
      <c r="F95" s="171"/>
      <c r="G95" s="171"/>
      <c r="H95" s="171" t="s">
        <v>107</v>
      </c>
      <c r="I95" s="171"/>
      <c r="J95" s="138">
        <v>3420</v>
      </c>
    </row>
    <row r="96" spans="1:10" x14ac:dyDescent="0.25">
      <c r="A96" s="171"/>
      <c r="B96" s="171"/>
      <c r="C96" s="171"/>
      <c r="D96" s="171"/>
      <c r="E96" s="171"/>
      <c r="F96" s="171"/>
      <c r="G96" s="171"/>
      <c r="H96" s="171" t="s">
        <v>528</v>
      </c>
      <c r="I96" s="171"/>
      <c r="J96" s="138">
        <v>136850.54</v>
      </c>
    </row>
    <row r="97" spans="1:10" x14ac:dyDescent="0.25">
      <c r="A97" s="171"/>
      <c r="B97" s="171"/>
      <c r="C97" s="171"/>
      <c r="D97" s="171"/>
      <c r="E97" s="171"/>
      <c r="F97" s="171"/>
      <c r="G97" s="171"/>
      <c r="H97" s="171" t="s">
        <v>529</v>
      </c>
      <c r="I97" s="171"/>
      <c r="J97" s="138">
        <v>134366.23000000001</v>
      </c>
    </row>
    <row r="98" spans="1:10" x14ac:dyDescent="0.25">
      <c r="A98" s="171"/>
      <c r="B98" s="171"/>
      <c r="C98" s="171"/>
      <c r="D98" s="171"/>
      <c r="E98" s="171"/>
      <c r="F98" s="171"/>
      <c r="G98" s="171"/>
      <c r="H98" s="171" t="s">
        <v>530</v>
      </c>
      <c r="I98" s="171"/>
      <c r="J98" s="138">
        <v>85420.41</v>
      </c>
    </row>
    <row r="99" spans="1:10" ht="15.75" thickBot="1" x14ac:dyDescent="0.3">
      <c r="A99" s="171"/>
      <c r="B99" s="171"/>
      <c r="C99" s="171"/>
      <c r="D99" s="171"/>
      <c r="E99" s="171"/>
      <c r="F99" s="171"/>
      <c r="G99" s="171"/>
      <c r="H99" s="171" t="s">
        <v>475</v>
      </c>
      <c r="I99" s="171"/>
      <c r="J99" s="143">
        <v>51800</v>
      </c>
    </row>
    <row r="100" spans="1:10" x14ac:dyDescent="0.25">
      <c r="A100" s="171"/>
      <c r="B100" s="171"/>
      <c r="C100" s="171"/>
      <c r="D100" s="171"/>
      <c r="E100" s="171"/>
      <c r="F100" s="171"/>
      <c r="G100" s="171" t="s">
        <v>108</v>
      </c>
      <c r="H100" s="171"/>
      <c r="I100" s="171"/>
      <c r="J100" s="138">
        <f>ROUND(SUM(J91:J99),5)</f>
        <v>574247.18000000005</v>
      </c>
    </row>
    <row r="101" spans="1:10" x14ac:dyDescent="0.25">
      <c r="A101" s="171"/>
      <c r="B101" s="171"/>
      <c r="C101" s="171"/>
      <c r="D101" s="171"/>
      <c r="E101" s="171"/>
      <c r="F101" s="171"/>
      <c r="G101" s="171" t="s">
        <v>456</v>
      </c>
      <c r="H101" s="171"/>
      <c r="I101" s="171"/>
      <c r="J101" s="138"/>
    </row>
    <row r="102" spans="1:10" x14ac:dyDescent="0.25">
      <c r="A102" s="171"/>
      <c r="B102" s="171"/>
      <c r="C102" s="171"/>
      <c r="D102" s="171"/>
      <c r="E102" s="171"/>
      <c r="F102" s="171"/>
      <c r="G102" s="171"/>
      <c r="H102" s="171" t="s">
        <v>531</v>
      </c>
      <c r="I102" s="171"/>
      <c r="J102" s="138">
        <v>208188.98</v>
      </c>
    </row>
    <row r="103" spans="1:10" x14ac:dyDescent="0.25">
      <c r="A103" s="171"/>
      <c r="B103" s="171"/>
      <c r="C103" s="171"/>
      <c r="D103" s="171"/>
      <c r="E103" s="171"/>
      <c r="F103" s="171"/>
      <c r="G103" s="171"/>
      <c r="H103" s="171" t="s">
        <v>476</v>
      </c>
      <c r="I103" s="171"/>
      <c r="J103" s="138">
        <v>7141.59</v>
      </c>
    </row>
    <row r="104" spans="1:10" x14ac:dyDescent="0.25">
      <c r="A104" s="171"/>
      <c r="B104" s="171"/>
      <c r="C104" s="171"/>
      <c r="D104" s="171"/>
      <c r="E104" s="171"/>
      <c r="F104" s="171"/>
      <c r="G104" s="171"/>
      <c r="H104" s="171" t="s">
        <v>626</v>
      </c>
      <c r="I104" s="171"/>
      <c r="J104" s="138">
        <v>2850</v>
      </c>
    </row>
    <row r="105" spans="1:10" ht="15.75" thickBot="1" x14ac:dyDescent="0.3">
      <c r="A105" s="171"/>
      <c r="B105" s="171"/>
      <c r="C105" s="171"/>
      <c r="D105" s="171"/>
      <c r="E105" s="171"/>
      <c r="F105" s="171"/>
      <c r="G105" s="171"/>
      <c r="H105" s="171" t="s">
        <v>627</v>
      </c>
      <c r="I105" s="171"/>
      <c r="J105" s="139">
        <v>225</v>
      </c>
    </row>
    <row r="106" spans="1:10" ht="15.75" thickBot="1" x14ac:dyDescent="0.3">
      <c r="A106" s="171"/>
      <c r="B106" s="171"/>
      <c r="C106" s="171"/>
      <c r="D106" s="171"/>
      <c r="E106" s="171"/>
      <c r="F106" s="171"/>
      <c r="G106" s="171" t="s">
        <v>458</v>
      </c>
      <c r="H106" s="171"/>
      <c r="I106" s="171"/>
      <c r="J106" s="141">
        <f>ROUND(SUM(J101:J105),5)</f>
        <v>218405.57</v>
      </c>
    </row>
    <row r="107" spans="1:10" x14ac:dyDescent="0.25">
      <c r="A107" s="171"/>
      <c r="B107" s="171"/>
      <c r="C107" s="171"/>
      <c r="D107" s="171"/>
      <c r="E107" s="171"/>
      <c r="F107" s="171" t="s">
        <v>191</v>
      </c>
      <c r="G107" s="171"/>
      <c r="H107" s="171"/>
      <c r="I107" s="171"/>
      <c r="J107" s="138">
        <f>ROUND(J51+J68+J76+J83+J90+J100+J106,5)</f>
        <v>1575828.28</v>
      </c>
    </row>
    <row r="108" spans="1:10" x14ac:dyDescent="0.25">
      <c r="A108" s="171"/>
      <c r="B108" s="171"/>
      <c r="C108" s="171"/>
      <c r="D108" s="171"/>
      <c r="E108" s="171"/>
      <c r="F108" s="171" t="s">
        <v>109</v>
      </c>
      <c r="G108" s="171"/>
      <c r="H108" s="171"/>
      <c r="I108" s="171"/>
      <c r="J108" s="138"/>
    </row>
    <row r="109" spans="1:10" x14ac:dyDescent="0.25">
      <c r="A109" s="171"/>
      <c r="B109" s="171"/>
      <c r="C109" s="171"/>
      <c r="D109" s="171"/>
      <c r="E109" s="171"/>
      <c r="F109" s="171"/>
      <c r="G109" s="171" t="s">
        <v>110</v>
      </c>
      <c r="H109" s="171"/>
      <c r="I109" s="171"/>
      <c r="J109" s="138"/>
    </row>
    <row r="110" spans="1:10" x14ac:dyDescent="0.25">
      <c r="A110" s="171"/>
      <c r="B110" s="171"/>
      <c r="C110" s="171"/>
      <c r="D110" s="171"/>
      <c r="E110" s="171"/>
      <c r="F110" s="171"/>
      <c r="G110" s="171"/>
      <c r="H110" s="171" t="s">
        <v>112</v>
      </c>
      <c r="I110" s="171"/>
      <c r="J110" s="138">
        <v>100691.2</v>
      </c>
    </row>
    <row r="111" spans="1:10" x14ac:dyDescent="0.25">
      <c r="A111" s="171"/>
      <c r="B111" s="171"/>
      <c r="C111" s="171"/>
      <c r="D111" s="171"/>
      <c r="E111" s="171"/>
      <c r="F111" s="171"/>
      <c r="G111" s="171"/>
      <c r="H111" s="171" t="s">
        <v>113</v>
      </c>
      <c r="I111" s="171"/>
      <c r="J111" s="138">
        <v>51330</v>
      </c>
    </row>
    <row r="112" spans="1:10" x14ac:dyDescent="0.25">
      <c r="A112" s="171"/>
      <c r="B112" s="171"/>
      <c r="C112" s="171"/>
      <c r="D112" s="171"/>
      <c r="E112" s="171"/>
      <c r="F112" s="171"/>
      <c r="G112" s="171"/>
      <c r="H112" s="171" t="s">
        <v>532</v>
      </c>
      <c r="I112" s="171"/>
      <c r="J112" s="138">
        <v>36978</v>
      </c>
    </row>
    <row r="113" spans="1:10" x14ac:dyDescent="0.25">
      <c r="A113" s="171"/>
      <c r="B113" s="171"/>
      <c r="C113" s="171"/>
      <c r="D113" s="171"/>
      <c r="E113" s="171"/>
      <c r="F113" s="171"/>
      <c r="G113" s="171"/>
      <c r="H113" s="171" t="s">
        <v>114</v>
      </c>
      <c r="I113" s="171"/>
      <c r="J113" s="138">
        <v>6057.77</v>
      </c>
    </row>
    <row r="114" spans="1:10" x14ac:dyDescent="0.25">
      <c r="A114" s="171"/>
      <c r="B114" s="171"/>
      <c r="C114" s="171"/>
      <c r="D114" s="171"/>
      <c r="E114" s="171"/>
      <c r="F114" s="171"/>
      <c r="G114" s="171"/>
      <c r="H114" s="171" t="s">
        <v>459</v>
      </c>
      <c r="I114" s="171"/>
      <c r="J114" s="138">
        <v>15208.2</v>
      </c>
    </row>
    <row r="115" spans="1:10" x14ac:dyDescent="0.25">
      <c r="A115" s="171"/>
      <c r="B115" s="171"/>
      <c r="C115" s="171"/>
      <c r="D115" s="171"/>
      <c r="E115" s="171"/>
      <c r="F115" s="171"/>
      <c r="G115" s="171"/>
      <c r="H115" s="171" t="s">
        <v>533</v>
      </c>
      <c r="I115" s="171"/>
      <c r="J115" s="138">
        <v>460.79</v>
      </c>
    </row>
    <row r="116" spans="1:10" x14ac:dyDescent="0.25">
      <c r="A116" s="171"/>
      <c r="B116" s="171"/>
      <c r="C116" s="171"/>
      <c r="D116" s="171"/>
      <c r="E116" s="171"/>
      <c r="F116" s="171"/>
      <c r="G116" s="171"/>
      <c r="H116" s="171" t="s">
        <v>115</v>
      </c>
      <c r="I116" s="171"/>
      <c r="J116" s="138">
        <v>15410</v>
      </c>
    </row>
    <row r="117" spans="1:10" ht="15.75" thickBot="1" x14ac:dyDescent="0.3">
      <c r="A117" s="171"/>
      <c r="B117" s="171"/>
      <c r="C117" s="171"/>
      <c r="D117" s="171"/>
      <c r="E117" s="171"/>
      <c r="F117" s="171"/>
      <c r="G117" s="171"/>
      <c r="H117" s="171" t="s">
        <v>535</v>
      </c>
      <c r="I117" s="171"/>
      <c r="J117" s="143">
        <v>19590</v>
      </c>
    </row>
    <row r="118" spans="1:10" x14ac:dyDescent="0.25">
      <c r="A118" s="171"/>
      <c r="B118" s="171"/>
      <c r="C118" s="171"/>
      <c r="D118" s="171"/>
      <c r="E118" s="171"/>
      <c r="F118" s="171"/>
      <c r="G118" s="171" t="s">
        <v>116</v>
      </c>
      <c r="H118" s="171"/>
      <c r="I118" s="171"/>
      <c r="J118" s="138">
        <f>ROUND(SUM(J109:J117),5)</f>
        <v>245725.96</v>
      </c>
    </row>
    <row r="119" spans="1:10" x14ac:dyDescent="0.25">
      <c r="A119" s="171"/>
      <c r="B119" s="171"/>
      <c r="C119" s="171"/>
      <c r="D119" s="171"/>
      <c r="E119" s="171"/>
      <c r="F119" s="171"/>
      <c r="G119" s="171" t="s">
        <v>117</v>
      </c>
      <c r="H119" s="171"/>
      <c r="I119" s="171"/>
      <c r="J119" s="138"/>
    </row>
    <row r="120" spans="1:10" x14ac:dyDescent="0.25">
      <c r="A120" s="171"/>
      <c r="B120" s="171"/>
      <c r="C120" s="171"/>
      <c r="D120" s="171"/>
      <c r="E120" s="171"/>
      <c r="F120" s="171"/>
      <c r="G120" s="171"/>
      <c r="H120" s="171" t="s">
        <v>118</v>
      </c>
      <c r="I120" s="171"/>
      <c r="J120" s="138">
        <v>35000</v>
      </c>
    </row>
    <row r="121" spans="1:10" x14ac:dyDescent="0.25">
      <c r="A121" s="171"/>
      <c r="B121" s="171"/>
      <c r="C121" s="171"/>
      <c r="D121" s="171"/>
      <c r="E121" s="171"/>
      <c r="F121" s="171"/>
      <c r="G121" s="171"/>
      <c r="H121" s="171" t="s">
        <v>536</v>
      </c>
      <c r="I121" s="171"/>
      <c r="J121" s="138">
        <v>4200</v>
      </c>
    </row>
    <row r="122" spans="1:10" x14ac:dyDescent="0.25">
      <c r="A122" s="171"/>
      <c r="B122" s="171"/>
      <c r="C122" s="171"/>
      <c r="D122" s="171"/>
      <c r="E122" s="171"/>
      <c r="F122" s="171"/>
      <c r="G122" s="171"/>
      <c r="H122" s="171" t="s">
        <v>537</v>
      </c>
      <c r="I122" s="171"/>
      <c r="J122" s="138">
        <v>1050</v>
      </c>
    </row>
    <row r="123" spans="1:10" ht="15.75" thickBot="1" x14ac:dyDescent="0.3">
      <c r="A123" s="171"/>
      <c r="B123" s="171"/>
      <c r="C123" s="171"/>
      <c r="D123" s="171"/>
      <c r="E123" s="171"/>
      <c r="F123" s="171"/>
      <c r="G123" s="171"/>
      <c r="H123" s="171" t="s">
        <v>119</v>
      </c>
      <c r="I123" s="171"/>
      <c r="J123" s="143">
        <v>30000</v>
      </c>
    </row>
    <row r="124" spans="1:10" x14ac:dyDescent="0.25">
      <c r="A124" s="171"/>
      <c r="B124" s="171"/>
      <c r="C124" s="171"/>
      <c r="D124" s="171"/>
      <c r="E124" s="171"/>
      <c r="F124" s="171"/>
      <c r="G124" s="171" t="s">
        <v>120</v>
      </c>
      <c r="H124" s="171"/>
      <c r="I124" s="171"/>
      <c r="J124" s="138">
        <f>ROUND(SUM(J119:J123),5)</f>
        <v>70250</v>
      </c>
    </row>
    <row r="125" spans="1:10" x14ac:dyDescent="0.25">
      <c r="A125" s="171"/>
      <c r="B125" s="171"/>
      <c r="C125" s="171"/>
      <c r="D125" s="171"/>
      <c r="E125" s="171"/>
      <c r="F125" s="171"/>
      <c r="G125" s="171" t="s">
        <v>121</v>
      </c>
      <c r="H125" s="171"/>
      <c r="I125" s="171"/>
      <c r="J125" s="138"/>
    </row>
    <row r="126" spans="1:10" x14ac:dyDescent="0.25">
      <c r="A126" s="171"/>
      <c r="B126" s="171"/>
      <c r="C126" s="171"/>
      <c r="D126" s="171"/>
      <c r="E126" s="171"/>
      <c r="F126" s="171"/>
      <c r="G126" s="171"/>
      <c r="H126" s="171" t="s">
        <v>538</v>
      </c>
      <c r="I126" s="171"/>
      <c r="J126" s="138">
        <v>26240.12</v>
      </c>
    </row>
    <row r="127" spans="1:10" x14ac:dyDescent="0.25">
      <c r="A127" s="171"/>
      <c r="B127" s="171"/>
      <c r="C127" s="171"/>
      <c r="D127" s="171"/>
      <c r="E127" s="171"/>
      <c r="F127" s="171"/>
      <c r="G127" s="171"/>
      <c r="H127" s="171" t="s">
        <v>539</v>
      </c>
      <c r="I127" s="171"/>
      <c r="J127" s="138">
        <v>10079.4</v>
      </c>
    </row>
    <row r="128" spans="1:10" x14ac:dyDescent="0.25">
      <c r="A128" s="171"/>
      <c r="B128" s="171"/>
      <c r="C128" s="171"/>
      <c r="D128" s="171"/>
      <c r="E128" s="171"/>
      <c r="F128" s="171"/>
      <c r="G128" s="171"/>
      <c r="H128" s="171" t="s">
        <v>460</v>
      </c>
      <c r="I128" s="171"/>
      <c r="J128" s="138">
        <v>2422.62</v>
      </c>
    </row>
    <row r="129" spans="1:10" ht="15.75" thickBot="1" x14ac:dyDescent="0.3">
      <c r="A129" s="171"/>
      <c r="B129" s="171"/>
      <c r="C129" s="171"/>
      <c r="D129" s="171"/>
      <c r="E129" s="171"/>
      <c r="F129" s="171"/>
      <c r="G129" s="171"/>
      <c r="H129" s="171" t="s">
        <v>461</v>
      </c>
      <c r="I129" s="171"/>
      <c r="J129" s="143">
        <v>5051.03</v>
      </c>
    </row>
    <row r="130" spans="1:10" x14ac:dyDescent="0.25">
      <c r="A130" s="171"/>
      <c r="B130" s="171"/>
      <c r="C130" s="171"/>
      <c r="D130" s="171"/>
      <c r="E130" s="171"/>
      <c r="F130" s="171"/>
      <c r="G130" s="171" t="s">
        <v>122</v>
      </c>
      <c r="H130" s="171"/>
      <c r="I130" s="171"/>
      <c r="J130" s="138">
        <f>ROUND(SUM(J125:J129),5)</f>
        <v>43793.17</v>
      </c>
    </row>
    <row r="131" spans="1:10" x14ac:dyDescent="0.25">
      <c r="A131" s="171"/>
      <c r="B131" s="171"/>
      <c r="C131" s="171"/>
      <c r="D131" s="171"/>
      <c r="E131" s="171"/>
      <c r="F131" s="171"/>
      <c r="G131" s="171" t="s">
        <v>123</v>
      </c>
      <c r="H131" s="171"/>
      <c r="I131" s="171"/>
      <c r="J131" s="138"/>
    </row>
    <row r="132" spans="1:10" x14ac:dyDescent="0.25">
      <c r="A132" s="171"/>
      <c r="B132" s="171"/>
      <c r="C132" s="171"/>
      <c r="D132" s="171"/>
      <c r="E132" s="171"/>
      <c r="F132" s="171"/>
      <c r="G132" s="171"/>
      <c r="H132" s="171" t="s">
        <v>540</v>
      </c>
      <c r="I132" s="171"/>
      <c r="J132" s="138">
        <v>13800</v>
      </c>
    </row>
    <row r="133" spans="1:10" x14ac:dyDescent="0.25">
      <c r="A133" s="171"/>
      <c r="B133" s="171"/>
      <c r="C133" s="171"/>
      <c r="D133" s="171"/>
      <c r="E133" s="171"/>
      <c r="F133" s="171"/>
      <c r="G133" s="171"/>
      <c r="H133" s="171" t="s">
        <v>463</v>
      </c>
      <c r="I133" s="171"/>
      <c r="J133" s="138">
        <v>3727.69</v>
      </c>
    </row>
    <row r="134" spans="1:10" ht="15.75" thickBot="1" x14ac:dyDescent="0.3">
      <c r="A134" s="171"/>
      <c r="B134" s="171"/>
      <c r="C134" s="171"/>
      <c r="D134" s="171"/>
      <c r="E134" s="171"/>
      <c r="F134" s="171"/>
      <c r="G134" s="171"/>
      <c r="H134" s="171" t="s">
        <v>124</v>
      </c>
      <c r="I134" s="171"/>
      <c r="J134" s="143">
        <v>16000</v>
      </c>
    </row>
    <row r="135" spans="1:10" x14ac:dyDescent="0.25">
      <c r="A135" s="171"/>
      <c r="B135" s="171"/>
      <c r="C135" s="171"/>
      <c r="D135" s="171"/>
      <c r="E135" s="171"/>
      <c r="F135" s="171"/>
      <c r="G135" s="171" t="s">
        <v>125</v>
      </c>
      <c r="H135" s="171"/>
      <c r="I135" s="171"/>
      <c r="J135" s="138">
        <f>ROUND(SUM(J131:J134),5)</f>
        <v>33527.69</v>
      </c>
    </row>
    <row r="136" spans="1:10" x14ac:dyDescent="0.25">
      <c r="A136" s="171"/>
      <c r="B136" s="171"/>
      <c r="C136" s="171"/>
      <c r="D136" s="171"/>
      <c r="E136" s="171"/>
      <c r="F136" s="171"/>
      <c r="G136" s="171" t="s">
        <v>126</v>
      </c>
      <c r="H136" s="171"/>
      <c r="I136" s="171"/>
      <c r="J136" s="138"/>
    </row>
    <row r="137" spans="1:10" x14ac:dyDescent="0.25">
      <c r="A137" s="171"/>
      <c r="B137" s="171"/>
      <c r="C137" s="171"/>
      <c r="D137" s="171"/>
      <c r="E137" s="171"/>
      <c r="F137" s="171"/>
      <c r="G137" s="171"/>
      <c r="H137" s="171" t="s">
        <v>127</v>
      </c>
      <c r="I137" s="171"/>
      <c r="J137" s="138">
        <v>4650</v>
      </c>
    </row>
    <row r="138" spans="1:10" x14ac:dyDescent="0.25">
      <c r="A138" s="171"/>
      <c r="B138" s="171"/>
      <c r="C138" s="171"/>
      <c r="D138" s="171"/>
      <c r="E138" s="171"/>
      <c r="F138" s="171"/>
      <c r="G138" s="171"/>
      <c r="H138" s="171" t="s">
        <v>128</v>
      </c>
      <c r="I138" s="171"/>
      <c r="J138" s="138">
        <v>15085</v>
      </c>
    </row>
    <row r="139" spans="1:10" x14ac:dyDescent="0.25">
      <c r="A139" s="171"/>
      <c r="B139" s="171"/>
      <c r="C139" s="171"/>
      <c r="D139" s="171"/>
      <c r="E139" s="171"/>
      <c r="F139" s="171"/>
      <c r="G139" s="171"/>
      <c r="H139" s="171" t="s">
        <v>129</v>
      </c>
      <c r="I139" s="171"/>
      <c r="J139" s="138">
        <v>1434</v>
      </c>
    </row>
    <row r="140" spans="1:10" x14ac:dyDescent="0.25">
      <c r="A140" s="171"/>
      <c r="B140" s="171"/>
      <c r="C140" s="171"/>
      <c r="D140" s="171"/>
      <c r="E140" s="171"/>
      <c r="F140" s="171"/>
      <c r="G140" s="171"/>
      <c r="H140" s="171" t="s">
        <v>541</v>
      </c>
      <c r="I140" s="171"/>
      <c r="J140" s="138">
        <v>4000</v>
      </c>
    </row>
    <row r="141" spans="1:10" x14ac:dyDescent="0.25">
      <c r="A141" s="171"/>
      <c r="B141" s="171"/>
      <c r="C141" s="171"/>
      <c r="D141" s="171"/>
      <c r="E141" s="171"/>
      <c r="F141" s="171"/>
      <c r="G141" s="171"/>
      <c r="H141" s="171" t="s">
        <v>542</v>
      </c>
      <c r="I141" s="171"/>
      <c r="J141" s="138">
        <v>46831.96</v>
      </c>
    </row>
    <row r="142" spans="1:10" ht="15.75" thickBot="1" x14ac:dyDescent="0.3">
      <c r="A142" s="171"/>
      <c r="B142" s="171"/>
      <c r="C142" s="171"/>
      <c r="D142" s="171"/>
      <c r="E142" s="171"/>
      <c r="F142" s="171"/>
      <c r="G142" s="171"/>
      <c r="H142" s="171" t="s">
        <v>543</v>
      </c>
      <c r="I142" s="171"/>
      <c r="J142" s="143">
        <v>53882.96</v>
      </c>
    </row>
    <row r="143" spans="1:10" x14ac:dyDescent="0.25">
      <c r="A143" s="171"/>
      <c r="B143" s="171"/>
      <c r="C143" s="171"/>
      <c r="D143" s="171"/>
      <c r="E143" s="171"/>
      <c r="F143" s="171"/>
      <c r="G143" s="171" t="s">
        <v>130</v>
      </c>
      <c r="H143" s="171"/>
      <c r="I143" s="171"/>
      <c r="J143" s="138">
        <f>ROUND(SUM(J136:J142),5)</f>
        <v>125883.92</v>
      </c>
    </row>
    <row r="144" spans="1:10" x14ac:dyDescent="0.25">
      <c r="A144" s="171"/>
      <c r="B144" s="171"/>
      <c r="C144" s="171"/>
      <c r="D144" s="171"/>
      <c r="E144" s="171"/>
      <c r="F144" s="171"/>
      <c r="G144" s="171" t="s">
        <v>131</v>
      </c>
      <c r="H144" s="171"/>
      <c r="I144" s="171"/>
      <c r="J144" s="138"/>
    </row>
    <row r="145" spans="1:10" ht="15.75" thickBot="1" x14ac:dyDescent="0.3">
      <c r="A145" s="171"/>
      <c r="B145" s="171"/>
      <c r="C145" s="171"/>
      <c r="D145" s="171"/>
      <c r="E145" s="171"/>
      <c r="F145" s="171"/>
      <c r="G145" s="171"/>
      <c r="H145" s="171" t="s">
        <v>132</v>
      </c>
      <c r="I145" s="171"/>
      <c r="J145" s="139">
        <v>1702</v>
      </c>
    </row>
    <row r="146" spans="1:10" ht="15.75" thickBot="1" x14ac:dyDescent="0.3">
      <c r="A146" s="171"/>
      <c r="B146" s="171"/>
      <c r="C146" s="171"/>
      <c r="D146" s="171"/>
      <c r="E146" s="171"/>
      <c r="F146" s="171"/>
      <c r="G146" s="171" t="s">
        <v>133</v>
      </c>
      <c r="H146" s="171"/>
      <c r="I146" s="171"/>
      <c r="J146" s="141">
        <f>ROUND(SUM(J144:J145),5)</f>
        <v>1702</v>
      </c>
    </row>
    <row r="147" spans="1:10" x14ac:dyDescent="0.25">
      <c r="A147" s="171"/>
      <c r="B147" s="171"/>
      <c r="C147" s="171"/>
      <c r="D147" s="171"/>
      <c r="E147" s="171"/>
      <c r="F147" s="171" t="s">
        <v>134</v>
      </c>
      <c r="G147" s="171"/>
      <c r="H147" s="171"/>
      <c r="I147" s="171"/>
      <c r="J147" s="138">
        <f>ROUND(J108+J118+J124+J130+J135+J143+J146,5)</f>
        <v>520882.74</v>
      </c>
    </row>
    <row r="148" spans="1:10" x14ac:dyDescent="0.25">
      <c r="A148" s="171"/>
      <c r="B148" s="171"/>
      <c r="C148" s="171"/>
      <c r="D148" s="171"/>
      <c r="E148" s="171"/>
      <c r="F148" s="171" t="s">
        <v>135</v>
      </c>
      <c r="G148" s="171"/>
      <c r="H148" s="171"/>
      <c r="I148" s="171"/>
      <c r="J148" s="138"/>
    </row>
    <row r="149" spans="1:10" x14ac:dyDescent="0.25">
      <c r="A149" s="171"/>
      <c r="B149" s="171"/>
      <c r="C149" s="171"/>
      <c r="D149" s="171"/>
      <c r="E149" s="171"/>
      <c r="F149" s="171"/>
      <c r="G149" s="171" t="s">
        <v>192</v>
      </c>
      <c r="H149" s="171"/>
      <c r="I149" s="171"/>
      <c r="J149" s="138"/>
    </row>
    <row r="150" spans="1:10" x14ac:dyDescent="0.25">
      <c r="A150" s="171"/>
      <c r="B150" s="171"/>
      <c r="C150" s="171"/>
      <c r="D150" s="171"/>
      <c r="E150" s="171"/>
      <c r="F150" s="171"/>
      <c r="G150" s="171"/>
      <c r="H150" s="171" t="s">
        <v>544</v>
      </c>
      <c r="I150" s="171"/>
      <c r="J150" s="138">
        <v>2080</v>
      </c>
    </row>
    <row r="151" spans="1:10" ht="15.75" thickBot="1" x14ac:dyDescent="0.3">
      <c r="A151" s="171"/>
      <c r="B151" s="171"/>
      <c r="C151" s="171"/>
      <c r="D151" s="171"/>
      <c r="E151" s="171"/>
      <c r="F151" s="171"/>
      <c r="G151" s="171"/>
      <c r="H151" s="171" t="s">
        <v>545</v>
      </c>
      <c r="I151" s="171"/>
      <c r="J151" s="143">
        <v>2367.5500000000002</v>
      </c>
    </row>
    <row r="152" spans="1:10" x14ac:dyDescent="0.25">
      <c r="A152" s="171"/>
      <c r="B152" s="171"/>
      <c r="C152" s="171"/>
      <c r="D152" s="171"/>
      <c r="E152" s="171"/>
      <c r="F152" s="171"/>
      <c r="G152" s="171" t="s">
        <v>194</v>
      </c>
      <c r="H152" s="171"/>
      <c r="I152" s="171"/>
      <c r="J152" s="138">
        <f>ROUND(SUM(J149:J151),5)</f>
        <v>4447.55</v>
      </c>
    </row>
    <row r="153" spans="1:10" x14ac:dyDescent="0.25">
      <c r="A153" s="171"/>
      <c r="B153" s="171"/>
      <c r="C153" s="171"/>
      <c r="D153" s="171"/>
      <c r="E153" s="171"/>
      <c r="F153" s="171"/>
      <c r="G153" s="171" t="s">
        <v>195</v>
      </c>
      <c r="H153" s="171"/>
      <c r="I153" s="171"/>
      <c r="J153" s="138"/>
    </row>
    <row r="154" spans="1:10" x14ac:dyDescent="0.25">
      <c r="A154" s="171"/>
      <c r="B154" s="171"/>
      <c r="C154" s="171"/>
      <c r="D154" s="171"/>
      <c r="E154" s="171"/>
      <c r="F154" s="171"/>
      <c r="G154" s="171"/>
      <c r="H154" s="171" t="s">
        <v>136</v>
      </c>
      <c r="I154" s="171"/>
      <c r="J154" s="138">
        <v>1720</v>
      </c>
    </row>
    <row r="155" spans="1:10" x14ac:dyDescent="0.25">
      <c r="A155" s="171"/>
      <c r="B155" s="171"/>
      <c r="C155" s="171"/>
      <c r="D155" s="171"/>
      <c r="E155" s="171"/>
      <c r="F155" s="171"/>
      <c r="G155" s="171"/>
      <c r="H155" s="171" t="s">
        <v>137</v>
      </c>
      <c r="I155" s="171"/>
      <c r="J155" s="138">
        <v>44000</v>
      </c>
    </row>
    <row r="156" spans="1:10" ht="15.75" thickBot="1" x14ac:dyDescent="0.3">
      <c r="A156" s="171"/>
      <c r="B156" s="171"/>
      <c r="C156" s="171"/>
      <c r="D156" s="171"/>
      <c r="E156" s="171"/>
      <c r="F156" s="171"/>
      <c r="G156" s="171"/>
      <c r="H156" s="171" t="s">
        <v>548</v>
      </c>
      <c r="I156" s="171"/>
      <c r="J156" s="139">
        <v>9452.4</v>
      </c>
    </row>
    <row r="157" spans="1:10" ht="15.75" thickBot="1" x14ac:dyDescent="0.3">
      <c r="A157" s="171"/>
      <c r="B157" s="171"/>
      <c r="C157" s="171"/>
      <c r="D157" s="171"/>
      <c r="E157" s="171"/>
      <c r="F157" s="171"/>
      <c r="G157" s="171" t="s">
        <v>196</v>
      </c>
      <c r="H157" s="171"/>
      <c r="I157" s="171"/>
      <c r="J157" s="141">
        <f>ROUND(SUM(J153:J156),5)</f>
        <v>55172.4</v>
      </c>
    </row>
    <row r="158" spans="1:10" x14ac:dyDescent="0.25">
      <c r="A158" s="171"/>
      <c r="B158" s="171"/>
      <c r="C158" s="171"/>
      <c r="D158" s="171"/>
      <c r="E158" s="171"/>
      <c r="F158" s="171" t="s">
        <v>138</v>
      </c>
      <c r="G158" s="171"/>
      <c r="H158" s="171"/>
      <c r="I158" s="171"/>
      <c r="J158" s="138">
        <f>ROUND(J148+J152+J157,5)</f>
        <v>59619.95</v>
      </c>
    </row>
    <row r="159" spans="1:10" x14ac:dyDescent="0.25">
      <c r="A159" s="171"/>
      <c r="B159" s="171"/>
      <c r="C159" s="171"/>
      <c r="D159" s="171"/>
      <c r="E159" s="171"/>
      <c r="F159" s="171" t="s">
        <v>206</v>
      </c>
      <c r="G159" s="171"/>
      <c r="H159" s="171"/>
      <c r="I159" s="171"/>
      <c r="J159" s="138"/>
    </row>
    <row r="160" spans="1:10" x14ac:dyDescent="0.25">
      <c r="A160" s="171"/>
      <c r="B160" s="171"/>
      <c r="C160" s="171"/>
      <c r="D160" s="171"/>
      <c r="E160" s="171"/>
      <c r="F160" s="171"/>
      <c r="G160" s="171" t="s">
        <v>184</v>
      </c>
      <c r="H160" s="171"/>
      <c r="I160" s="171"/>
      <c r="J160" s="138"/>
    </row>
    <row r="161" spans="1:15" x14ac:dyDescent="0.25">
      <c r="A161" s="171"/>
      <c r="B161" s="171"/>
      <c r="C161" s="171"/>
      <c r="D161" s="171"/>
      <c r="E161" s="171"/>
      <c r="F161" s="171"/>
      <c r="G161" s="171"/>
      <c r="H161" s="171" t="s">
        <v>464</v>
      </c>
      <c r="I161" s="171"/>
      <c r="J161" s="138">
        <v>30628</v>
      </c>
      <c r="L161" s="104"/>
      <c r="N161" s="158"/>
      <c r="O161" s="158"/>
    </row>
    <row r="162" spans="1:15" x14ac:dyDescent="0.25">
      <c r="A162" s="171"/>
      <c r="B162" s="171"/>
      <c r="C162" s="171"/>
      <c r="D162" s="171"/>
      <c r="E162" s="171"/>
      <c r="F162" s="171"/>
      <c r="G162" s="171"/>
      <c r="H162" s="171" t="s">
        <v>185</v>
      </c>
      <c r="I162" s="171"/>
      <c r="J162" s="138"/>
      <c r="L162" s="158"/>
      <c r="M162" s="205"/>
    </row>
    <row r="163" spans="1:15" x14ac:dyDescent="0.25">
      <c r="A163" s="171"/>
      <c r="B163" s="171"/>
      <c r="C163" s="171"/>
      <c r="D163" s="171"/>
      <c r="E163" s="171"/>
      <c r="F163" s="171"/>
      <c r="G163" s="171"/>
      <c r="H163" s="171"/>
      <c r="I163" s="171" t="s">
        <v>262</v>
      </c>
      <c r="J163" s="138">
        <v>28596</v>
      </c>
    </row>
    <row r="164" spans="1:15" ht="15.75" thickBot="1" x14ac:dyDescent="0.3">
      <c r="A164" s="171"/>
      <c r="B164" s="171"/>
      <c r="C164" s="171"/>
      <c r="D164" s="171"/>
      <c r="E164" s="171"/>
      <c r="F164" s="171"/>
      <c r="G164" s="171"/>
      <c r="H164" s="171"/>
      <c r="I164" s="171" t="s">
        <v>552</v>
      </c>
      <c r="J164" s="143">
        <v>400</v>
      </c>
    </row>
    <row r="165" spans="1:15" x14ac:dyDescent="0.25">
      <c r="A165" s="171"/>
      <c r="B165" s="171"/>
      <c r="C165" s="171"/>
      <c r="D165" s="171"/>
      <c r="E165" s="171"/>
      <c r="F165" s="171"/>
      <c r="G165" s="171"/>
      <c r="H165" s="171" t="s">
        <v>263</v>
      </c>
      <c r="I165" s="171"/>
      <c r="J165" s="138">
        <f>ROUND(SUM(J162:J164),5)</f>
        <v>28996</v>
      </c>
    </row>
    <row r="166" spans="1:15" ht="15.75" thickBot="1" x14ac:dyDescent="0.3">
      <c r="A166" s="171"/>
      <c r="B166" s="171"/>
      <c r="C166" s="171"/>
      <c r="D166" s="171"/>
      <c r="E166" s="171"/>
      <c r="F166" s="171"/>
      <c r="G166" s="171"/>
      <c r="H166" s="171" t="s">
        <v>553</v>
      </c>
      <c r="I166" s="171"/>
      <c r="J166" s="143">
        <v>6528.07</v>
      </c>
    </row>
    <row r="167" spans="1:15" x14ac:dyDescent="0.25">
      <c r="A167" s="171"/>
      <c r="B167" s="171"/>
      <c r="C167" s="171"/>
      <c r="D167" s="171"/>
      <c r="E167" s="171"/>
      <c r="F167" s="171"/>
      <c r="G167" s="171" t="s">
        <v>186</v>
      </c>
      <c r="H167" s="171"/>
      <c r="I167" s="171"/>
      <c r="J167" s="138">
        <f>ROUND(SUM(J160:J161)+SUM(J165:J166),5)</f>
        <v>66152.070000000007</v>
      </c>
    </row>
    <row r="168" spans="1:15" x14ac:dyDescent="0.25">
      <c r="A168" s="171"/>
      <c r="B168" s="171"/>
      <c r="C168" s="171"/>
      <c r="D168" s="171"/>
      <c r="E168" s="171"/>
      <c r="F168" s="171"/>
      <c r="G168" s="171" t="s">
        <v>207</v>
      </c>
      <c r="H168" s="171"/>
      <c r="I168" s="171"/>
      <c r="J168" s="138"/>
    </row>
    <row r="169" spans="1:15" x14ac:dyDescent="0.25">
      <c r="A169" s="171"/>
      <c r="B169" s="171"/>
      <c r="C169" s="171"/>
      <c r="D169" s="171"/>
      <c r="E169" s="171"/>
      <c r="F169" s="171"/>
      <c r="G169" s="171"/>
      <c r="H169" s="171" t="s">
        <v>211</v>
      </c>
      <c r="I169" s="171"/>
      <c r="J169" s="138">
        <v>50000</v>
      </c>
    </row>
    <row r="170" spans="1:15" x14ac:dyDescent="0.25">
      <c r="A170" s="171"/>
      <c r="B170" s="171"/>
      <c r="C170" s="171"/>
      <c r="D170" s="171"/>
      <c r="E170" s="171"/>
      <c r="F170" s="171"/>
      <c r="G170" s="171"/>
      <c r="H170" s="171" t="s">
        <v>554</v>
      </c>
      <c r="I170" s="171"/>
      <c r="J170" s="138">
        <v>4800</v>
      </c>
    </row>
    <row r="171" spans="1:15" ht="15.75" thickBot="1" x14ac:dyDescent="0.3">
      <c r="A171" s="171"/>
      <c r="B171" s="171"/>
      <c r="C171" s="171"/>
      <c r="D171" s="171"/>
      <c r="E171" s="171"/>
      <c r="F171" s="171"/>
      <c r="G171" s="171"/>
      <c r="H171" s="171" t="s">
        <v>555</v>
      </c>
      <c r="I171" s="171"/>
      <c r="J171" s="143">
        <v>1200</v>
      </c>
    </row>
    <row r="172" spans="1:15" x14ac:dyDescent="0.25">
      <c r="A172" s="171"/>
      <c r="B172" s="171"/>
      <c r="C172" s="171"/>
      <c r="D172" s="171"/>
      <c r="E172" s="171"/>
      <c r="F172" s="171"/>
      <c r="G172" s="171" t="s">
        <v>208</v>
      </c>
      <c r="H172" s="171"/>
      <c r="I172" s="171"/>
      <c r="J172" s="138">
        <f>ROUND(SUM(J168:J171),5)</f>
        <v>56000</v>
      </c>
    </row>
    <row r="173" spans="1:15" x14ac:dyDescent="0.25">
      <c r="A173" s="171"/>
      <c r="B173" s="171"/>
      <c r="C173" s="171"/>
      <c r="D173" s="171"/>
      <c r="E173" s="171"/>
      <c r="F173" s="171"/>
      <c r="G173" s="171" t="s">
        <v>187</v>
      </c>
      <c r="H173" s="171"/>
      <c r="I173" s="171"/>
      <c r="J173" s="138"/>
      <c r="L173" s="104"/>
    </row>
    <row r="174" spans="1:15" x14ac:dyDescent="0.25">
      <c r="A174" s="171"/>
      <c r="B174" s="171"/>
      <c r="C174" s="171"/>
      <c r="D174" s="171"/>
      <c r="E174" s="171"/>
      <c r="F174" s="171"/>
      <c r="G174" s="171"/>
      <c r="H174" s="171" t="s">
        <v>556</v>
      </c>
      <c r="I174" s="171"/>
      <c r="J174" s="138">
        <v>526</v>
      </c>
      <c r="L174" s="104"/>
    </row>
    <row r="175" spans="1:15" ht="15.75" thickBot="1" x14ac:dyDescent="0.3">
      <c r="A175" s="171"/>
      <c r="B175" s="171"/>
      <c r="C175" s="171"/>
      <c r="D175" s="171"/>
      <c r="E175" s="171"/>
      <c r="F175" s="171"/>
      <c r="G175" s="171"/>
      <c r="H175" s="171" t="s">
        <v>209</v>
      </c>
      <c r="I175" s="171"/>
      <c r="J175" s="139">
        <v>45000</v>
      </c>
      <c r="L175" s="104"/>
      <c r="N175" s="158"/>
      <c r="O175" s="158"/>
    </row>
    <row r="176" spans="1:15" ht="15.75" thickBot="1" x14ac:dyDescent="0.3">
      <c r="A176" s="171"/>
      <c r="B176" s="171"/>
      <c r="C176" s="171"/>
      <c r="D176" s="171"/>
      <c r="E176" s="171"/>
      <c r="F176" s="171"/>
      <c r="G176" s="171" t="s">
        <v>188</v>
      </c>
      <c r="H176" s="171"/>
      <c r="I176" s="171"/>
      <c r="J176" s="141">
        <f>ROUND(SUM(J173:J175),5)</f>
        <v>45526</v>
      </c>
      <c r="L176" s="192"/>
      <c r="M176" s="205"/>
    </row>
    <row r="177" spans="1:12" x14ac:dyDescent="0.25">
      <c r="A177" s="171"/>
      <c r="B177" s="171"/>
      <c r="C177" s="171"/>
      <c r="D177" s="171"/>
      <c r="E177" s="171"/>
      <c r="F177" s="171" t="s">
        <v>210</v>
      </c>
      <c r="G177" s="171"/>
      <c r="H177" s="171"/>
      <c r="I177" s="171"/>
      <c r="J177" s="138">
        <f>ROUND(J159+J167+J172+J176,5)</f>
        <v>167678.07</v>
      </c>
      <c r="L177" s="23"/>
    </row>
    <row r="178" spans="1:12" x14ac:dyDescent="0.25">
      <c r="A178" s="171"/>
      <c r="B178" s="171"/>
      <c r="C178" s="171"/>
      <c r="D178" s="171"/>
      <c r="E178" s="171"/>
      <c r="F178" s="171" t="s">
        <v>465</v>
      </c>
      <c r="G178" s="171"/>
      <c r="H178" s="171"/>
      <c r="I178" s="171"/>
      <c r="J178" s="138"/>
      <c r="L178" s="20"/>
    </row>
    <row r="179" spans="1:12" x14ac:dyDescent="0.25">
      <c r="A179" s="171"/>
      <c r="B179" s="171"/>
      <c r="C179" s="171"/>
      <c r="D179" s="171"/>
      <c r="E179" s="171"/>
      <c r="F179" s="171"/>
      <c r="G179" s="171" t="s">
        <v>483</v>
      </c>
      <c r="H179" s="171"/>
      <c r="I179" s="171"/>
      <c r="J179" s="138">
        <v>1500</v>
      </c>
      <c r="L179" s="21"/>
    </row>
    <row r="180" spans="1:12" x14ac:dyDescent="0.25">
      <c r="A180" s="171"/>
      <c r="B180" s="171"/>
      <c r="C180" s="171"/>
      <c r="D180" s="171"/>
      <c r="E180" s="171"/>
      <c r="F180" s="171"/>
      <c r="G180" s="171" t="s">
        <v>557</v>
      </c>
      <c r="H180" s="171"/>
      <c r="I180" s="171"/>
      <c r="J180" s="138">
        <v>182371.67</v>
      </c>
    </row>
    <row r="181" spans="1:12" ht="15.75" thickBot="1" x14ac:dyDescent="0.3">
      <c r="A181" s="171"/>
      <c r="B181" s="171"/>
      <c r="C181" s="171"/>
      <c r="D181" s="171"/>
      <c r="E181" s="171"/>
      <c r="F181" s="171"/>
      <c r="G181" s="171" t="s">
        <v>466</v>
      </c>
      <c r="H181" s="171"/>
      <c r="I181" s="171"/>
      <c r="J181" s="143">
        <v>58140</v>
      </c>
    </row>
    <row r="182" spans="1:12" x14ac:dyDescent="0.25">
      <c r="A182" s="171"/>
      <c r="B182" s="171"/>
      <c r="C182" s="171"/>
      <c r="D182" s="171"/>
      <c r="E182" s="171"/>
      <c r="F182" s="171" t="s">
        <v>467</v>
      </c>
      <c r="G182" s="171"/>
      <c r="H182" s="171"/>
      <c r="I182" s="171"/>
      <c r="J182" s="138">
        <f>ROUND(SUM(J178:J181),5)</f>
        <v>242011.67</v>
      </c>
    </row>
    <row r="183" spans="1:12" x14ac:dyDescent="0.25">
      <c r="A183" s="171"/>
      <c r="B183" s="171"/>
      <c r="C183" s="171"/>
      <c r="D183" s="171"/>
      <c r="E183" s="171"/>
      <c r="F183" s="171" t="s">
        <v>139</v>
      </c>
      <c r="G183" s="171"/>
      <c r="H183" s="171"/>
      <c r="I183" s="171"/>
      <c r="J183" s="138"/>
    </row>
    <row r="184" spans="1:12" x14ac:dyDescent="0.25">
      <c r="A184" s="171"/>
      <c r="B184" s="171"/>
      <c r="C184" s="171"/>
      <c r="D184" s="171"/>
      <c r="E184" s="171"/>
      <c r="F184" s="171"/>
      <c r="G184" s="171" t="s">
        <v>558</v>
      </c>
      <c r="H184" s="171"/>
      <c r="I184" s="171"/>
      <c r="J184" s="138"/>
    </row>
    <row r="185" spans="1:12" x14ac:dyDescent="0.25">
      <c r="A185" s="171"/>
      <c r="B185" s="171"/>
      <c r="C185" s="171"/>
      <c r="D185" s="171"/>
      <c r="E185" s="171"/>
      <c r="F185" s="171"/>
      <c r="G185" s="171"/>
      <c r="H185" s="171" t="s">
        <v>559</v>
      </c>
      <c r="I185" s="171"/>
      <c r="J185" s="138">
        <v>245268.75</v>
      </c>
    </row>
    <row r="186" spans="1:12" x14ac:dyDescent="0.25">
      <c r="A186" s="171"/>
      <c r="B186" s="171"/>
      <c r="C186" s="171"/>
      <c r="D186" s="171"/>
      <c r="E186" s="171"/>
      <c r="F186" s="171"/>
      <c r="G186" s="171"/>
      <c r="H186" s="171" t="s">
        <v>560</v>
      </c>
      <c r="I186" s="171"/>
      <c r="J186" s="138">
        <v>42375</v>
      </c>
    </row>
    <row r="187" spans="1:12" x14ac:dyDescent="0.25">
      <c r="A187" s="171"/>
      <c r="B187" s="171"/>
      <c r="C187" s="171"/>
      <c r="D187" s="171"/>
      <c r="E187" s="171"/>
      <c r="F187" s="171"/>
      <c r="G187" s="171"/>
      <c r="H187" s="171" t="s">
        <v>561</v>
      </c>
      <c r="I187" s="171"/>
      <c r="J187" s="138">
        <v>14350</v>
      </c>
    </row>
    <row r="188" spans="1:12" x14ac:dyDescent="0.25">
      <c r="A188" s="171"/>
      <c r="B188" s="171"/>
      <c r="C188" s="171"/>
      <c r="D188" s="171"/>
      <c r="E188" s="171"/>
      <c r="F188" s="171"/>
      <c r="G188" s="171"/>
      <c r="H188" s="171" t="s">
        <v>562</v>
      </c>
      <c r="I188" s="171"/>
      <c r="J188" s="138">
        <v>172361.25</v>
      </c>
    </row>
    <row r="189" spans="1:12" x14ac:dyDescent="0.25">
      <c r="A189" s="171"/>
      <c r="B189" s="171"/>
      <c r="C189" s="171"/>
      <c r="D189" s="171"/>
      <c r="E189" s="171"/>
      <c r="F189" s="171"/>
      <c r="G189" s="171"/>
      <c r="H189" s="171" t="s">
        <v>563</v>
      </c>
      <c r="I189" s="171"/>
      <c r="J189" s="138">
        <v>65343.75</v>
      </c>
    </row>
    <row r="190" spans="1:12" x14ac:dyDescent="0.25">
      <c r="A190" s="171"/>
      <c r="B190" s="171"/>
      <c r="C190" s="171"/>
      <c r="D190" s="171"/>
      <c r="E190" s="171"/>
      <c r="F190" s="171"/>
      <c r="G190" s="171"/>
      <c r="H190" s="171" t="s">
        <v>564</v>
      </c>
      <c r="I190" s="171"/>
      <c r="J190" s="138">
        <v>645465</v>
      </c>
    </row>
    <row r="191" spans="1:12" x14ac:dyDescent="0.25">
      <c r="A191" s="171"/>
      <c r="B191" s="171"/>
      <c r="C191" s="171"/>
      <c r="D191" s="171"/>
      <c r="E191" s="171"/>
      <c r="F191" s="171"/>
      <c r="G191" s="171"/>
      <c r="H191" s="171" t="s">
        <v>565</v>
      </c>
      <c r="I191" s="171"/>
      <c r="J191" s="138">
        <v>47895.83</v>
      </c>
    </row>
    <row r="192" spans="1:12" x14ac:dyDescent="0.25">
      <c r="A192" s="171"/>
      <c r="B192" s="171"/>
      <c r="C192" s="171"/>
      <c r="D192" s="171"/>
      <c r="E192" s="171"/>
      <c r="F192" s="171"/>
      <c r="G192" s="171"/>
      <c r="H192" s="171" t="s">
        <v>566</v>
      </c>
      <c r="I192" s="171"/>
      <c r="J192" s="138">
        <v>34460</v>
      </c>
    </row>
    <row r="193" spans="1:15" x14ac:dyDescent="0.25">
      <c r="A193" s="171"/>
      <c r="B193" s="171"/>
      <c r="C193" s="171"/>
      <c r="D193" s="171"/>
      <c r="E193" s="171"/>
      <c r="F193" s="171"/>
      <c r="G193" s="171"/>
      <c r="H193" s="171" t="s">
        <v>567</v>
      </c>
      <c r="I193" s="171"/>
      <c r="J193" s="138">
        <v>93194.59</v>
      </c>
    </row>
    <row r="194" spans="1:15" x14ac:dyDescent="0.25">
      <c r="A194" s="171"/>
      <c r="B194" s="171"/>
      <c r="C194" s="171"/>
      <c r="D194" s="171"/>
      <c r="E194" s="171"/>
      <c r="F194" s="171"/>
      <c r="G194" s="171"/>
      <c r="H194" s="171" t="s">
        <v>568</v>
      </c>
      <c r="I194" s="171"/>
      <c r="J194" s="138">
        <v>14870.83</v>
      </c>
    </row>
    <row r="195" spans="1:15" ht="15.75" thickBot="1" x14ac:dyDescent="0.3">
      <c r="A195" s="171"/>
      <c r="B195" s="171"/>
      <c r="C195" s="171"/>
      <c r="D195" s="171"/>
      <c r="E195" s="171"/>
      <c r="F195" s="171"/>
      <c r="G195" s="171"/>
      <c r="H195" s="171" t="s">
        <v>569</v>
      </c>
      <c r="I195" s="171"/>
      <c r="J195" s="143">
        <v>270000</v>
      </c>
      <c r="N195" s="21"/>
    </row>
    <row r="196" spans="1:15" x14ac:dyDescent="0.25">
      <c r="A196" s="171"/>
      <c r="B196" s="171"/>
      <c r="C196" s="171"/>
      <c r="D196" s="171"/>
      <c r="E196" s="171"/>
      <c r="F196" s="171"/>
      <c r="G196" s="171" t="s">
        <v>570</v>
      </c>
      <c r="H196" s="171"/>
      <c r="I196" s="171"/>
      <c r="J196" s="138">
        <f>ROUND(SUM(J184:J195),5)</f>
        <v>1645585</v>
      </c>
      <c r="N196" s="21"/>
    </row>
    <row r="197" spans="1:15" x14ac:dyDescent="0.25">
      <c r="A197" s="171"/>
      <c r="B197" s="171"/>
      <c r="C197" s="171"/>
      <c r="D197" s="171"/>
      <c r="E197" s="171"/>
      <c r="F197" s="171"/>
      <c r="G197" s="171" t="s">
        <v>468</v>
      </c>
      <c r="H197" s="171"/>
      <c r="I197" s="171"/>
      <c r="J197" s="138"/>
      <c r="N197" s="21"/>
    </row>
    <row r="198" spans="1:15" x14ac:dyDescent="0.25">
      <c r="A198" s="171"/>
      <c r="B198" s="171"/>
      <c r="C198" s="171"/>
      <c r="D198" s="171"/>
      <c r="E198" s="171"/>
      <c r="F198" s="171"/>
      <c r="G198" s="171"/>
      <c r="H198" s="171" t="s">
        <v>571</v>
      </c>
      <c r="I198" s="171"/>
      <c r="J198" s="138">
        <v>-333484.09999999998</v>
      </c>
    </row>
    <row r="199" spans="1:15" x14ac:dyDescent="0.25">
      <c r="A199" s="171"/>
      <c r="B199" s="171"/>
      <c r="C199" s="171"/>
      <c r="D199" s="171"/>
      <c r="E199" s="171"/>
      <c r="F199" s="171"/>
      <c r="G199" s="171"/>
      <c r="H199" s="171" t="s">
        <v>140</v>
      </c>
      <c r="I199" s="171"/>
      <c r="J199" s="138">
        <v>225000</v>
      </c>
    </row>
    <row r="200" spans="1:15" x14ac:dyDescent="0.25">
      <c r="A200" s="171"/>
      <c r="B200" s="171"/>
      <c r="C200" s="171"/>
      <c r="D200" s="171"/>
      <c r="E200" s="171"/>
      <c r="F200" s="171"/>
      <c r="G200" s="171"/>
      <c r="H200" s="171" t="s">
        <v>572</v>
      </c>
      <c r="I200" s="171"/>
      <c r="J200" s="138">
        <v>93984</v>
      </c>
    </row>
    <row r="201" spans="1:15" ht="15.75" thickBot="1" x14ac:dyDescent="0.3">
      <c r="A201" s="171"/>
      <c r="B201" s="171"/>
      <c r="C201" s="171"/>
      <c r="D201" s="171"/>
      <c r="E201" s="171"/>
      <c r="F201" s="171"/>
      <c r="G201" s="171"/>
      <c r="H201" s="171" t="s">
        <v>573</v>
      </c>
      <c r="I201" s="171"/>
      <c r="J201" s="143">
        <v>175235.68</v>
      </c>
    </row>
    <row r="202" spans="1:15" x14ac:dyDescent="0.25">
      <c r="A202" s="171"/>
      <c r="B202" s="171"/>
      <c r="C202" s="171"/>
      <c r="D202" s="171"/>
      <c r="E202" s="171"/>
      <c r="F202" s="171"/>
      <c r="G202" s="171" t="s">
        <v>469</v>
      </c>
      <c r="H202" s="171"/>
      <c r="I202" s="171"/>
      <c r="J202" s="138">
        <f>ROUND(SUM(J197:J201),5)</f>
        <v>160735.57999999999</v>
      </c>
      <c r="O202" s="20"/>
    </row>
    <row r="203" spans="1:15" x14ac:dyDescent="0.25">
      <c r="A203" s="171"/>
      <c r="B203" s="171"/>
      <c r="C203" s="171"/>
      <c r="D203" s="171"/>
      <c r="E203" s="171"/>
      <c r="F203" s="171"/>
      <c r="G203" s="171" t="s">
        <v>141</v>
      </c>
      <c r="H203" s="171"/>
      <c r="I203" s="171"/>
      <c r="J203" s="138"/>
    </row>
    <row r="204" spans="1:15" x14ac:dyDescent="0.25">
      <c r="A204" s="171"/>
      <c r="B204" s="171"/>
      <c r="C204" s="171"/>
      <c r="D204" s="171"/>
      <c r="E204" s="171"/>
      <c r="F204" s="171"/>
      <c r="G204" s="171"/>
      <c r="H204" s="171" t="s">
        <v>574</v>
      </c>
      <c r="I204" s="171"/>
      <c r="J204" s="138">
        <v>-231528.92</v>
      </c>
      <c r="L204" s="20"/>
    </row>
    <row r="205" spans="1:15" x14ac:dyDescent="0.25">
      <c r="A205" s="171"/>
      <c r="B205" s="171"/>
      <c r="C205" s="171"/>
      <c r="D205" s="171"/>
      <c r="E205" s="171"/>
      <c r="F205" s="171"/>
      <c r="G205" s="171"/>
      <c r="H205" s="171" t="s">
        <v>628</v>
      </c>
      <c r="I205" s="171"/>
      <c r="J205" s="138">
        <v>11458.33</v>
      </c>
    </row>
    <row r="206" spans="1:15" x14ac:dyDescent="0.25">
      <c r="A206" s="171"/>
      <c r="B206" s="171"/>
      <c r="C206" s="171"/>
      <c r="D206" s="171"/>
      <c r="E206" s="171"/>
      <c r="F206" s="171"/>
      <c r="G206" s="171"/>
      <c r="H206" s="171" t="s">
        <v>143</v>
      </c>
      <c r="I206" s="171"/>
      <c r="J206" s="138">
        <v>171152</v>
      </c>
    </row>
    <row r="207" spans="1:15" x14ac:dyDescent="0.25">
      <c r="A207" s="171"/>
      <c r="B207" s="171"/>
      <c r="C207" s="171"/>
      <c r="D207" s="171"/>
      <c r="E207" s="171"/>
      <c r="F207" s="171"/>
      <c r="G207" s="171"/>
      <c r="H207" s="171" t="s">
        <v>575</v>
      </c>
      <c r="I207" s="171"/>
      <c r="J207" s="138"/>
    </row>
    <row r="208" spans="1:15" x14ac:dyDescent="0.25">
      <c r="A208" s="171"/>
      <c r="B208" s="171"/>
      <c r="C208" s="171"/>
      <c r="D208" s="171"/>
      <c r="E208" s="171"/>
      <c r="F208" s="171"/>
      <c r="G208" s="171"/>
      <c r="H208" s="171"/>
      <c r="I208" s="171" t="s">
        <v>576</v>
      </c>
      <c r="J208" s="138">
        <v>159118.26999999999</v>
      </c>
    </row>
    <row r="209" spans="1:10" ht="15.75" thickBot="1" x14ac:dyDescent="0.3">
      <c r="A209" s="171"/>
      <c r="B209" s="171"/>
      <c r="C209" s="171"/>
      <c r="D209" s="171"/>
      <c r="E209" s="171"/>
      <c r="F209" s="171"/>
      <c r="G209" s="171"/>
      <c r="H209" s="171"/>
      <c r="I209" s="171" t="s">
        <v>577</v>
      </c>
      <c r="J209" s="143">
        <v>3716.21</v>
      </c>
    </row>
    <row r="210" spans="1:10" x14ac:dyDescent="0.25">
      <c r="A210" s="171"/>
      <c r="B210" s="171"/>
      <c r="C210" s="171"/>
      <c r="D210" s="171"/>
      <c r="E210" s="171"/>
      <c r="F210" s="171"/>
      <c r="G210" s="171"/>
      <c r="H210" s="171" t="s">
        <v>578</v>
      </c>
      <c r="I210" s="171"/>
      <c r="J210" s="138">
        <f>ROUND(SUM(J207:J209),5)</f>
        <v>162834.48000000001</v>
      </c>
    </row>
    <row r="211" spans="1:10" x14ac:dyDescent="0.25">
      <c r="A211" s="171"/>
      <c r="B211" s="171"/>
      <c r="C211" s="171"/>
      <c r="D211" s="171"/>
      <c r="E211" s="171"/>
      <c r="F211" s="171"/>
      <c r="G211" s="171"/>
      <c r="H211" s="171" t="s">
        <v>470</v>
      </c>
      <c r="I211" s="171"/>
      <c r="J211" s="138">
        <v>35860</v>
      </c>
    </row>
    <row r="212" spans="1:10" x14ac:dyDescent="0.25">
      <c r="A212" s="171"/>
      <c r="B212" s="171"/>
      <c r="C212" s="171"/>
      <c r="D212" s="171"/>
      <c r="E212" s="171"/>
      <c r="F212" s="171"/>
      <c r="G212" s="171"/>
      <c r="H212" s="171" t="s">
        <v>579</v>
      </c>
      <c r="I212" s="171"/>
      <c r="J212" s="138">
        <v>7772.38</v>
      </c>
    </row>
    <row r="213" spans="1:10" x14ac:dyDescent="0.25">
      <c r="A213" s="171"/>
      <c r="B213" s="171"/>
      <c r="C213" s="171"/>
      <c r="D213" s="171"/>
      <c r="E213" s="171"/>
      <c r="F213" s="171"/>
      <c r="G213" s="171"/>
      <c r="H213" s="171" t="s">
        <v>144</v>
      </c>
      <c r="I213" s="171"/>
      <c r="J213" s="138">
        <v>12376.45</v>
      </c>
    </row>
    <row r="214" spans="1:10" x14ac:dyDescent="0.25">
      <c r="A214" s="171"/>
      <c r="B214" s="171"/>
      <c r="C214" s="171"/>
      <c r="D214" s="171"/>
      <c r="E214" s="171"/>
      <c r="F214" s="171"/>
      <c r="G214" s="171"/>
      <c r="H214" s="171" t="s">
        <v>145</v>
      </c>
      <c r="I214" s="171"/>
      <c r="J214" s="138">
        <v>29200</v>
      </c>
    </row>
    <row r="215" spans="1:10" x14ac:dyDescent="0.25">
      <c r="A215" s="171"/>
      <c r="B215" s="171"/>
      <c r="C215" s="171"/>
      <c r="D215" s="171"/>
      <c r="E215" s="171"/>
      <c r="F215" s="171"/>
      <c r="G215" s="171"/>
      <c r="H215" s="171" t="s">
        <v>146</v>
      </c>
      <c r="I215" s="171"/>
      <c r="J215" s="138">
        <v>27100</v>
      </c>
    </row>
    <row r="216" spans="1:10" ht="15.75" thickBot="1" x14ac:dyDescent="0.3">
      <c r="A216" s="171"/>
      <c r="B216" s="171"/>
      <c r="C216" s="171"/>
      <c r="D216" s="171"/>
      <c r="E216" s="171"/>
      <c r="F216" s="171"/>
      <c r="G216" s="171"/>
      <c r="H216" s="171" t="s">
        <v>147</v>
      </c>
      <c r="I216" s="171"/>
      <c r="J216" s="143">
        <v>50000</v>
      </c>
    </row>
    <row r="217" spans="1:10" x14ac:dyDescent="0.25">
      <c r="A217" s="171"/>
      <c r="B217" s="171"/>
      <c r="C217" s="171"/>
      <c r="D217" s="171"/>
      <c r="E217" s="171"/>
      <c r="F217" s="171"/>
      <c r="G217" s="171" t="s">
        <v>148</v>
      </c>
      <c r="H217" s="171"/>
      <c r="I217" s="171"/>
      <c r="J217" s="138">
        <f>ROUND(SUM(J203:J206)+SUM(J210:J216),5)</f>
        <v>276224.71999999997</v>
      </c>
    </row>
    <row r="218" spans="1:10" x14ac:dyDescent="0.25">
      <c r="A218" s="171"/>
      <c r="B218" s="171"/>
      <c r="C218" s="171"/>
      <c r="D218" s="171"/>
      <c r="E218" s="171"/>
      <c r="F218" s="171"/>
      <c r="G218" s="171" t="s">
        <v>149</v>
      </c>
      <c r="H218" s="171"/>
      <c r="I218" s="171"/>
      <c r="J218" s="138"/>
    </row>
    <row r="219" spans="1:10" x14ac:dyDescent="0.25">
      <c r="A219" s="171"/>
      <c r="B219" s="171"/>
      <c r="C219" s="171"/>
      <c r="D219" s="171"/>
      <c r="E219" s="171"/>
      <c r="F219" s="171"/>
      <c r="G219" s="171"/>
      <c r="H219" s="171" t="s">
        <v>583</v>
      </c>
      <c r="I219" s="171"/>
      <c r="J219" s="138">
        <v>-57663.73</v>
      </c>
    </row>
    <row r="220" spans="1:10" x14ac:dyDescent="0.25">
      <c r="A220" s="171"/>
      <c r="B220" s="171"/>
      <c r="C220" s="171"/>
      <c r="D220" s="171"/>
      <c r="E220" s="171"/>
      <c r="F220" s="171"/>
      <c r="G220" s="171"/>
      <c r="H220" s="171" t="s">
        <v>584</v>
      </c>
      <c r="I220" s="171"/>
      <c r="J220" s="138">
        <v>16936.18</v>
      </c>
    </row>
    <row r="221" spans="1:10" x14ac:dyDescent="0.25">
      <c r="A221" s="171"/>
      <c r="B221" s="171"/>
      <c r="C221" s="171"/>
      <c r="D221" s="171"/>
      <c r="E221" s="171"/>
      <c r="F221" s="171"/>
      <c r="G221" s="171"/>
      <c r="H221" s="171" t="s">
        <v>150</v>
      </c>
      <c r="I221" s="171"/>
      <c r="J221" s="138">
        <v>10271.030000000001</v>
      </c>
    </row>
    <row r="222" spans="1:10" x14ac:dyDescent="0.25">
      <c r="A222" s="171"/>
      <c r="B222" s="171"/>
      <c r="C222" s="171"/>
      <c r="D222" s="171"/>
      <c r="E222" s="171"/>
      <c r="F222" s="171"/>
      <c r="G222" s="171"/>
      <c r="H222" s="171" t="s">
        <v>151</v>
      </c>
      <c r="I222" s="171"/>
      <c r="J222" s="138">
        <v>4504.93</v>
      </c>
    </row>
    <row r="223" spans="1:10" x14ac:dyDescent="0.25">
      <c r="A223" s="171"/>
      <c r="B223" s="171"/>
      <c r="C223" s="171"/>
      <c r="D223" s="171"/>
      <c r="E223" s="171"/>
      <c r="F223" s="171"/>
      <c r="G223" s="171"/>
      <c r="H223" s="171" t="s">
        <v>152</v>
      </c>
      <c r="I223" s="171"/>
      <c r="J223" s="138">
        <v>6818.41</v>
      </c>
    </row>
    <row r="224" spans="1:10" x14ac:dyDescent="0.25">
      <c r="A224" s="171"/>
      <c r="B224" s="171"/>
      <c r="C224" s="171"/>
      <c r="D224" s="171"/>
      <c r="E224" s="171"/>
      <c r="F224" s="171"/>
      <c r="G224" s="171"/>
      <c r="H224" s="171" t="s">
        <v>471</v>
      </c>
      <c r="I224" s="171"/>
      <c r="J224" s="138">
        <v>20367.04</v>
      </c>
    </row>
    <row r="225" spans="1:10" x14ac:dyDescent="0.25">
      <c r="A225" s="171"/>
      <c r="B225" s="171"/>
      <c r="C225" s="171"/>
      <c r="D225" s="171"/>
      <c r="E225" s="171"/>
      <c r="F225" s="171"/>
      <c r="G225" s="171"/>
      <c r="H225" s="171" t="s">
        <v>472</v>
      </c>
      <c r="I225" s="171"/>
      <c r="J225" s="138">
        <v>4497.53</v>
      </c>
    </row>
    <row r="226" spans="1:10" ht="15.75" thickBot="1" x14ac:dyDescent="0.3">
      <c r="A226" s="171"/>
      <c r="B226" s="171"/>
      <c r="C226" s="171"/>
      <c r="D226" s="171"/>
      <c r="E226" s="171"/>
      <c r="F226" s="171"/>
      <c r="G226" s="171"/>
      <c r="H226" s="171" t="s">
        <v>585</v>
      </c>
      <c r="I226" s="171"/>
      <c r="J226" s="143">
        <v>3655.73</v>
      </c>
    </row>
    <row r="227" spans="1:10" x14ac:dyDescent="0.25">
      <c r="A227" s="171"/>
      <c r="B227" s="171"/>
      <c r="C227" s="171"/>
      <c r="D227" s="171"/>
      <c r="E227" s="171"/>
      <c r="F227" s="171"/>
      <c r="G227" s="171" t="s">
        <v>153</v>
      </c>
      <c r="H227" s="171"/>
      <c r="I227" s="171"/>
      <c r="J227" s="138">
        <f>ROUND(SUM(J218:J226),5)</f>
        <v>9387.1200000000008</v>
      </c>
    </row>
    <row r="228" spans="1:10" x14ac:dyDescent="0.25">
      <c r="A228" s="171"/>
      <c r="B228" s="171"/>
      <c r="C228" s="171"/>
      <c r="D228" s="171"/>
      <c r="E228" s="171"/>
      <c r="F228" s="171"/>
      <c r="G228" s="171" t="s">
        <v>154</v>
      </c>
      <c r="H228" s="171"/>
      <c r="I228" s="171"/>
      <c r="J228" s="138"/>
    </row>
    <row r="229" spans="1:10" x14ac:dyDescent="0.25">
      <c r="A229" s="171"/>
      <c r="B229" s="171"/>
      <c r="C229" s="171"/>
      <c r="D229" s="171"/>
      <c r="E229" s="171"/>
      <c r="F229" s="171"/>
      <c r="G229" s="171"/>
      <c r="H229" s="171" t="s">
        <v>586</v>
      </c>
      <c r="I229" s="171"/>
      <c r="J229" s="138">
        <v>-197494.38</v>
      </c>
    </row>
    <row r="230" spans="1:10" x14ac:dyDescent="0.25">
      <c r="A230" s="171"/>
      <c r="B230" s="171"/>
      <c r="C230" s="171"/>
      <c r="D230" s="171"/>
      <c r="E230" s="171"/>
      <c r="F230" s="171"/>
      <c r="G230" s="171"/>
      <c r="H230" s="171" t="s">
        <v>155</v>
      </c>
      <c r="I230" s="171"/>
      <c r="J230" s="138">
        <v>22705.200000000001</v>
      </c>
    </row>
    <row r="231" spans="1:10" x14ac:dyDescent="0.25">
      <c r="A231" s="171"/>
      <c r="B231" s="171"/>
      <c r="C231" s="171"/>
      <c r="D231" s="171"/>
      <c r="E231" s="171"/>
      <c r="F231" s="171"/>
      <c r="G231" s="171"/>
      <c r="H231" s="171" t="s">
        <v>156</v>
      </c>
      <c r="I231" s="171"/>
      <c r="J231" s="138">
        <v>9441.34</v>
      </c>
    </row>
    <row r="232" spans="1:10" x14ac:dyDescent="0.25">
      <c r="A232" s="171"/>
      <c r="B232" s="171"/>
      <c r="C232" s="171"/>
      <c r="D232" s="171"/>
      <c r="E232" s="171"/>
      <c r="F232" s="171"/>
      <c r="G232" s="171"/>
      <c r="H232" s="171" t="s">
        <v>157</v>
      </c>
      <c r="I232" s="171"/>
      <c r="J232" s="138">
        <v>125000</v>
      </c>
    </row>
    <row r="233" spans="1:10" x14ac:dyDescent="0.25">
      <c r="A233" s="171"/>
      <c r="B233" s="171"/>
      <c r="C233" s="171"/>
      <c r="D233" s="171"/>
      <c r="E233" s="171"/>
      <c r="F233" s="171"/>
      <c r="G233" s="171"/>
      <c r="H233" s="171" t="s">
        <v>158</v>
      </c>
      <c r="I233" s="171"/>
      <c r="J233" s="138">
        <v>115781.1</v>
      </c>
    </row>
    <row r="234" spans="1:10" ht="15.75" thickBot="1" x14ac:dyDescent="0.3">
      <c r="A234" s="171"/>
      <c r="B234" s="171"/>
      <c r="C234" s="171"/>
      <c r="D234" s="171"/>
      <c r="E234" s="171"/>
      <c r="F234" s="171"/>
      <c r="G234" s="171"/>
      <c r="H234" s="171" t="s">
        <v>587</v>
      </c>
      <c r="I234" s="171"/>
      <c r="J234" s="143">
        <v>24370</v>
      </c>
    </row>
    <row r="235" spans="1:10" x14ac:dyDescent="0.25">
      <c r="A235" s="171"/>
      <c r="B235" s="171"/>
      <c r="C235" s="171"/>
      <c r="D235" s="171"/>
      <c r="E235" s="171"/>
      <c r="F235" s="171"/>
      <c r="G235" s="171" t="s">
        <v>159</v>
      </c>
      <c r="H235" s="171"/>
      <c r="I235" s="171"/>
      <c r="J235" s="138">
        <f>ROUND(SUM(J228:J234),5)</f>
        <v>99803.26</v>
      </c>
    </row>
    <row r="236" spans="1:10" x14ac:dyDescent="0.25">
      <c r="A236" s="171"/>
      <c r="B236" s="171"/>
      <c r="C236" s="171"/>
      <c r="D236" s="171"/>
      <c r="E236" s="171"/>
      <c r="F236" s="171"/>
      <c r="G236" s="171" t="s">
        <v>160</v>
      </c>
      <c r="H236" s="171"/>
      <c r="I236" s="171"/>
      <c r="J236" s="138"/>
    </row>
    <row r="237" spans="1:10" x14ac:dyDescent="0.25">
      <c r="A237" s="171"/>
      <c r="B237" s="171"/>
      <c r="C237" s="171"/>
      <c r="D237" s="171"/>
      <c r="E237" s="171"/>
      <c r="F237" s="171"/>
      <c r="G237" s="171"/>
      <c r="H237" s="171" t="s">
        <v>588</v>
      </c>
      <c r="I237" s="171"/>
      <c r="J237" s="138">
        <v>0</v>
      </c>
    </row>
    <row r="238" spans="1:10" x14ac:dyDescent="0.25">
      <c r="A238" s="171"/>
      <c r="B238" s="171"/>
      <c r="C238" s="171"/>
      <c r="D238" s="171"/>
      <c r="E238" s="171"/>
      <c r="F238" s="171"/>
      <c r="G238" s="171"/>
      <c r="H238" s="171" t="s">
        <v>589</v>
      </c>
      <c r="I238" s="171"/>
      <c r="J238" s="138">
        <v>4258</v>
      </c>
    </row>
    <row r="239" spans="1:10" x14ac:dyDescent="0.25">
      <c r="A239" s="171"/>
      <c r="B239" s="171"/>
      <c r="C239" s="171"/>
      <c r="D239" s="171"/>
      <c r="E239" s="171"/>
      <c r="F239" s="171"/>
      <c r="G239" s="171"/>
      <c r="H239" s="171" t="s">
        <v>161</v>
      </c>
      <c r="I239" s="171"/>
      <c r="J239" s="138">
        <v>10010</v>
      </c>
    </row>
    <row r="240" spans="1:10" x14ac:dyDescent="0.25">
      <c r="A240" s="171"/>
      <c r="B240" s="171"/>
      <c r="C240" s="171"/>
      <c r="D240" s="171"/>
      <c r="E240" s="171"/>
      <c r="F240" s="171"/>
      <c r="G240" s="171"/>
      <c r="H240" s="171" t="s">
        <v>162</v>
      </c>
      <c r="I240" s="171"/>
      <c r="J240" s="138">
        <v>18400</v>
      </c>
    </row>
    <row r="241" spans="1:12" x14ac:dyDescent="0.25">
      <c r="A241" s="171"/>
      <c r="B241" s="171"/>
      <c r="C241" s="171"/>
      <c r="D241" s="171"/>
      <c r="E241" s="171"/>
      <c r="F241" s="171"/>
      <c r="G241" s="171"/>
      <c r="H241" s="171" t="s">
        <v>485</v>
      </c>
      <c r="I241" s="171"/>
      <c r="J241" s="138"/>
    </row>
    <row r="242" spans="1:12" ht="15.75" thickBot="1" x14ac:dyDescent="0.3">
      <c r="A242" s="171"/>
      <c r="B242" s="171"/>
      <c r="C242" s="171"/>
      <c r="D242" s="171"/>
      <c r="E242" s="171"/>
      <c r="F242" s="171"/>
      <c r="G242" s="171"/>
      <c r="H242" s="171"/>
      <c r="I242" s="171" t="s">
        <v>487</v>
      </c>
      <c r="J242" s="139">
        <v>19109</v>
      </c>
    </row>
    <row r="243" spans="1:12" ht="15.75" thickBot="1" x14ac:dyDescent="0.3">
      <c r="A243" s="171"/>
      <c r="B243" s="171"/>
      <c r="C243" s="171"/>
      <c r="D243" s="171"/>
      <c r="E243" s="171"/>
      <c r="F243" s="171"/>
      <c r="G243" s="171"/>
      <c r="H243" s="171" t="s">
        <v>489</v>
      </c>
      <c r="I243" s="171"/>
      <c r="J243" s="141">
        <f>ROUND(SUM(J241:J242),5)</f>
        <v>19109</v>
      </c>
    </row>
    <row r="244" spans="1:12" x14ac:dyDescent="0.25">
      <c r="A244" s="171"/>
      <c r="B244" s="171"/>
      <c r="C244" s="171"/>
      <c r="D244" s="171"/>
      <c r="E244" s="171"/>
      <c r="F244" s="171"/>
      <c r="G244" s="171" t="s">
        <v>163</v>
      </c>
      <c r="H244" s="171"/>
      <c r="I244" s="171"/>
      <c r="J244" s="138">
        <f>ROUND(SUM(J236:J240)+J243,5)</f>
        <v>51777</v>
      </c>
    </row>
    <row r="245" spans="1:12" x14ac:dyDescent="0.25">
      <c r="A245" s="171"/>
      <c r="B245" s="171"/>
      <c r="C245" s="171"/>
      <c r="D245" s="171"/>
      <c r="E245" s="171"/>
      <c r="F245" s="171"/>
      <c r="G245" s="171" t="s">
        <v>591</v>
      </c>
      <c r="H245" s="171"/>
      <c r="I245" s="171"/>
      <c r="J245" s="138"/>
    </row>
    <row r="246" spans="1:12" x14ac:dyDescent="0.25">
      <c r="A246" s="171"/>
      <c r="B246" s="171"/>
      <c r="C246" s="171"/>
      <c r="D246" s="171"/>
      <c r="E246" s="171"/>
      <c r="F246" s="171"/>
      <c r="G246" s="171"/>
      <c r="H246" s="171" t="s">
        <v>592</v>
      </c>
      <c r="I246" s="171"/>
      <c r="J246" s="138">
        <v>149605.31</v>
      </c>
    </row>
    <row r="247" spans="1:12" x14ac:dyDescent="0.25">
      <c r="A247" s="171"/>
      <c r="B247" s="171"/>
      <c r="C247" s="171"/>
      <c r="D247" s="171"/>
      <c r="E247" s="171"/>
      <c r="F247" s="171"/>
      <c r="G247" s="171"/>
      <c r="H247" s="171" t="s">
        <v>629</v>
      </c>
      <c r="I247" s="171"/>
      <c r="J247" s="138">
        <v>163081.69</v>
      </c>
    </row>
    <row r="248" spans="1:12" x14ac:dyDescent="0.25">
      <c r="A248" s="171"/>
      <c r="B248" s="171"/>
      <c r="C248" s="171"/>
      <c r="D248" s="171"/>
      <c r="E248" s="171"/>
      <c r="F248" s="171"/>
      <c r="G248" s="171"/>
      <c r="H248" s="171" t="s">
        <v>630</v>
      </c>
      <c r="I248" s="171"/>
      <c r="J248" s="138">
        <v>39496.589999999997</v>
      </c>
    </row>
    <row r="249" spans="1:12" ht="15.75" thickBot="1" x14ac:dyDescent="0.3">
      <c r="A249" s="171"/>
      <c r="B249" s="171"/>
      <c r="C249" s="171"/>
      <c r="D249" s="171"/>
      <c r="E249" s="171"/>
      <c r="F249" s="171"/>
      <c r="G249" s="171"/>
      <c r="H249" s="171" t="s">
        <v>631</v>
      </c>
      <c r="I249" s="171"/>
      <c r="J249" s="143">
        <v>52597.38</v>
      </c>
    </row>
    <row r="250" spans="1:12" x14ac:dyDescent="0.25">
      <c r="A250" s="171"/>
      <c r="B250" s="171"/>
      <c r="C250" s="171"/>
      <c r="D250" s="171"/>
      <c r="E250" s="171"/>
      <c r="F250" s="171"/>
      <c r="G250" s="171" t="s">
        <v>593</v>
      </c>
      <c r="H250" s="171"/>
      <c r="I250" s="171"/>
      <c r="J250" s="138">
        <f>ROUND(SUM(J245:J249),5)</f>
        <v>404780.97</v>
      </c>
    </row>
    <row r="251" spans="1:12" x14ac:dyDescent="0.25">
      <c r="A251" s="171"/>
      <c r="B251" s="171"/>
      <c r="C251" s="171"/>
      <c r="D251" s="171"/>
      <c r="E251" s="171"/>
      <c r="F251" s="171"/>
      <c r="G251" s="171" t="s">
        <v>167</v>
      </c>
      <c r="H251" s="171"/>
      <c r="I251" s="171"/>
      <c r="J251" s="138"/>
    </row>
    <row r="252" spans="1:12" x14ac:dyDescent="0.25">
      <c r="A252" s="171"/>
      <c r="B252" s="171"/>
      <c r="C252" s="171"/>
      <c r="D252" s="171"/>
      <c r="E252" s="171"/>
      <c r="F252" s="171"/>
      <c r="G252" s="171"/>
      <c r="H252" s="171" t="s">
        <v>168</v>
      </c>
      <c r="I252" s="171"/>
      <c r="J252" s="138">
        <v>91800.01</v>
      </c>
    </row>
    <row r="253" spans="1:12" x14ac:dyDescent="0.25">
      <c r="A253" s="171"/>
      <c r="B253" s="171"/>
      <c r="C253" s="171"/>
      <c r="D253" s="171"/>
      <c r="E253" s="171"/>
      <c r="F253" s="171"/>
      <c r="G253" s="171"/>
      <c r="H253" s="171" t="s">
        <v>473</v>
      </c>
      <c r="I253" s="171"/>
      <c r="J253" s="138">
        <v>225379.97</v>
      </c>
      <c r="L253" s="20"/>
    </row>
    <row r="254" spans="1:12" x14ac:dyDescent="0.25">
      <c r="A254" s="171"/>
      <c r="B254" s="171"/>
      <c r="C254" s="171"/>
      <c r="D254" s="171"/>
      <c r="E254" s="171"/>
      <c r="F254" s="171"/>
      <c r="G254" s="171"/>
      <c r="H254" s="171" t="s">
        <v>169</v>
      </c>
      <c r="I254" s="171"/>
      <c r="J254" s="138">
        <v>759239.09</v>
      </c>
      <c r="L254" s="21"/>
    </row>
    <row r="255" spans="1:12" x14ac:dyDescent="0.25">
      <c r="A255" s="171"/>
      <c r="B255" s="171"/>
      <c r="C255" s="171"/>
      <c r="D255" s="171"/>
      <c r="E255" s="171"/>
      <c r="F255" s="171"/>
      <c r="G255" s="171"/>
      <c r="H255" s="171" t="s">
        <v>490</v>
      </c>
      <c r="I255" s="171"/>
      <c r="J255" s="138">
        <v>215053.8</v>
      </c>
    </row>
    <row r="256" spans="1:12" x14ac:dyDescent="0.25">
      <c r="A256" s="171"/>
      <c r="B256" s="171"/>
      <c r="C256" s="171"/>
      <c r="D256" s="171"/>
      <c r="E256" s="171"/>
      <c r="F256" s="171"/>
      <c r="G256" s="171"/>
      <c r="H256" s="171" t="s">
        <v>170</v>
      </c>
      <c r="I256" s="171"/>
      <c r="J256" s="138">
        <v>4500</v>
      </c>
    </row>
    <row r="257" spans="1:15" ht="15.75" thickBot="1" x14ac:dyDescent="0.3">
      <c r="A257" s="171"/>
      <c r="B257" s="171"/>
      <c r="C257" s="171"/>
      <c r="D257" s="171"/>
      <c r="E257" s="171"/>
      <c r="F257" s="171"/>
      <c r="G257" s="171"/>
      <c r="H257" s="171" t="s">
        <v>171</v>
      </c>
      <c r="I257" s="171"/>
      <c r="J257" s="139">
        <v>15201.96</v>
      </c>
    </row>
    <row r="258" spans="1:15" ht="15.75" thickBot="1" x14ac:dyDescent="0.3">
      <c r="A258" s="171"/>
      <c r="B258" s="171"/>
      <c r="C258" s="171"/>
      <c r="D258" s="171"/>
      <c r="E258" s="171"/>
      <c r="F258" s="171"/>
      <c r="G258" s="171" t="s">
        <v>172</v>
      </c>
      <c r="H258" s="171"/>
      <c r="I258" s="171"/>
      <c r="J258" s="140">
        <f>ROUND(SUM(J251:J257),5)</f>
        <v>1311174.83</v>
      </c>
    </row>
    <row r="259" spans="1:15" ht="15.75" thickBot="1" x14ac:dyDescent="0.3">
      <c r="A259" s="171"/>
      <c r="B259" s="171"/>
      <c r="C259" s="171"/>
      <c r="D259" s="171"/>
      <c r="E259" s="171"/>
      <c r="F259" s="171" t="s">
        <v>173</v>
      </c>
      <c r="G259" s="171"/>
      <c r="H259" s="171"/>
      <c r="I259" s="171"/>
      <c r="J259" s="140">
        <f>ROUND(J183+J196+J202+J217+J227+J235+J244+J250+J258,5)</f>
        <v>3959468.48</v>
      </c>
    </row>
    <row r="260" spans="1:15" ht="15.75" thickBot="1" x14ac:dyDescent="0.3">
      <c r="A260" s="171"/>
      <c r="B260" s="171"/>
      <c r="C260" s="171"/>
      <c r="D260" s="171"/>
      <c r="E260" s="171" t="s">
        <v>174</v>
      </c>
      <c r="F260" s="171"/>
      <c r="G260" s="171"/>
      <c r="H260" s="171"/>
      <c r="I260" s="171"/>
      <c r="J260" s="140">
        <f>ROUND(J50+J107+J147+J158+J177+J182+J259,5)</f>
        <v>6525489.1900000004</v>
      </c>
    </row>
    <row r="261" spans="1:15" ht="15.75" thickBot="1" x14ac:dyDescent="0.3">
      <c r="A261" s="171"/>
      <c r="B261" s="171"/>
      <c r="C261" s="171"/>
      <c r="D261" s="171" t="s">
        <v>175</v>
      </c>
      <c r="E261" s="171"/>
      <c r="F261" s="171"/>
      <c r="G261" s="171"/>
      <c r="H261" s="171"/>
      <c r="I261" s="171"/>
      <c r="J261" s="141">
        <f>ROUND(J49+J260,5)</f>
        <v>6525489.1900000004</v>
      </c>
    </row>
    <row r="262" spans="1:15" x14ac:dyDescent="0.25">
      <c r="A262" s="171"/>
      <c r="B262" s="171" t="s">
        <v>176</v>
      </c>
      <c r="C262" s="171"/>
      <c r="D262" s="171"/>
      <c r="E262" s="171"/>
      <c r="F262" s="171"/>
      <c r="G262" s="171"/>
      <c r="H262" s="171"/>
      <c r="I262" s="171"/>
      <c r="J262" s="138">
        <f>ROUND(J2+J48-J261,5)</f>
        <v>-3334759.77</v>
      </c>
    </row>
    <row r="263" spans="1:15" x14ac:dyDescent="0.25">
      <c r="A263" s="171"/>
      <c r="B263" s="171" t="s">
        <v>632</v>
      </c>
      <c r="C263" s="171"/>
      <c r="D263" s="171"/>
      <c r="E263" s="171"/>
      <c r="F263" s="171"/>
      <c r="G263" s="171"/>
      <c r="H263" s="171"/>
      <c r="I263" s="171"/>
      <c r="J263" s="138"/>
    </row>
    <row r="264" spans="1:15" x14ac:dyDescent="0.25">
      <c r="A264" s="171"/>
      <c r="B264" s="171"/>
      <c r="C264" s="171" t="s">
        <v>633</v>
      </c>
      <c r="D264" s="171"/>
      <c r="E264" s="171"/>
      <c r="F264" s="171"/>
      <c r="G264" s="171"/>
      <c r="H264" s="171"/>
      <c r="I264" s="171"/>
      <c r="J264" s="138"/>
      <c r="K264" s="156"/>
    </row>
    <row r="265" spans="1:15" s="156" customFormat="1" x14ac:dyDescent="0.25">
      <c r="A265" s="171"/>
      <c r="B265" s="171"/>
      <c r="C265" s="171"/>
      <c r="D265" s="171" t="s">
        <v>634</v>
      </c>
      <c r="E265" s="171"/>
      <c r="F265" s="171"/>
      <c r="G265" s="171"/>
      <c r="H265" s="171"/>
      <c r="I265" s="171"/>
      <c r="J265" s="138"/>
      <c r="K265" s="154"/>
      <c r="L265" s="154"/>
      <c r="M265" s="167"/>
      <c r="N265" s="154"/>
      <c r="O265" s="154"/>
    </row>
    <row r="266" spans="1:15" x14ac:dyDescent="0.25">
      <c r="A266" s="171"/>
      <c r="B266" s="171"/>
      <c r="C266" s="171"/>
      <c r="D266" s="171"/>
      <c r="E266" s="171" t="s">
        <v>635</v>
      </c>
      <c r="F266" s="171"/>
      <c r="G266" s="171"/>
      <c r="H266" s="171"/>
      <c r="I266" s="171"/>
      <c r="J266" s="138">
        <v>1800</v>
      </c>
    </row>
    <row r="267" spans="1:15" ht="15.75" thickBot="1" x14ac:dyDescent="0.3">
      <c r="A267" s="171"/>
      <c r="B267" s="171"/>
      <c r="C267" s="171"/>
      <c r="D267" s="171"/>
      <c r="E267" s="171" t="s">
        <v>636</v>
      </c>
      <c r="F267" s="171"/>
      <c r="G267" s="171"/>
      <c r="H267" s="171"/>
      <c r="I267" s="171"/>
      <c r="J267" s="139">
        <v>5700</v>
      </c>
    </row>
    <row r="268" spans="1:15" ht="15.75" thickBot="1" x14ac:dyDescent="0.3">
      <c r="A268" s="171"/>
      <c r="B268" s="171"/>
      <c r="C268" s="171"/>
      <c r="D268" s="171" t="s">
        <v>637</v>
      </c>
      <c r="E268" s="171"/>
      <c r="F268" s="171"/>
      <c r="G268" s="171"/>
      <c r="H268" s="171"/>
      <c r="I268" s="171"/>
      <c r="J268" s="141">
        <f>ROUND(SUM(J265:J267),5)</f>
        <v>7500</v>
      </c>
    </row>
    <row r="269" spans="1:15" x14ac:dyDescent="0.25">
      <c r="A269" s="171"/>
      <c r="B269" s="171"/>
      <c r="C269" s="171" t="s">
        <v>638</v>
      </c>
      <c r="D269" s="171"/>
      <c r="E269" s="171"/>
      <c r="F269" s="171"/>
      <c r="G269" s="171"/>
      <c r="H269" s="171"/>
      <c r="I269" s="171"/>
      <c r="J269" s="138">
        <f>ROUND(J264+J268,5)</f>
        <v>7500</v>
      </c>
    </row>
    <row r="270" spans="1:15" x14ac:dyDescent="0.25">
      <c r="A270" s="171"/>
      <c r="B270" s="171"/>
      <c r="C270" s="171" t="s">
        <v>639</v>
      </c>
      <c r="D270" s="171"/>
      <c r="E270" s="171"/>
      <c r="F270" s="171"/>
      <c r="G270" s="171"/>
      <c r="H270" s="171"/>
      <c r="I270" s="171"/>
      <c r="J270" s="138"/>
    </row>
    <row r="271" spans="1:15" ht="15.75" thickBot="1" x14ac:dyDescent="0.3">
      <c r="A271" s="171"/>
      <c r="B271" s="171"/>
      <c r="C271" s="171"/>
      <c r="D271" s="171" t="s">
        <v>640</v>
      </c>
      <c r="E271" s="171"/>
      <c r="F271" s="171"/>
      <c r="G271" s="171"/>
      <c r="H271" s="171"/>
      <c r="I271" s="171"/>
      <c r="J271" s="139">
        <v>0</v>
      </c>
    </row>
    <row r="272" spans="1:15" ht="15.75" thickBot="1" x14ac:dyDescent="0.3">
      <c r="A272" s="171"/>
      <c r="B272" s="171"/>
      <c r="C272" s="171" t="s">
        <v>641</v>
      </c>
      <c r="D272" s="171"/>
      <c r="E272" s="171"/>
      <c r="F272" s="171"/>
      <c r="G272" s="171"/>
      <c r="H272" s="171"/>
      <c r="I272" s="171"/>
      <c r="J272" s="140">
        <f>ROUND(SUM(J270:J271),5)</f>
        <v>0</v>
      </c>
    </row>
    <row r="273" spans="1:10" ht="15.75" thickBot="1" x14ac:dyDescent="0.3">
      <c r="A273" s="171"/>
      <c r="B273" s="171" t="s">
        <v>642</v>
      </c>
      <c r="C273" s="171"/>
      <c r="D273" s="171"/>
      <c r="E273" s="171"/>
      <c r="F273" s="171"/>
      <c r="G273" s="171"/>
      <c r="H273" s="171"/>
      <c r="I273" s="171"/>
      <c r="J273" s="140">
        <f>ROUND(J263+J269-J272,5)</f>
        <v>7500</v>
      </c>
    </row>
    <row r="274" spans="1:10" ht="15.75" thickBot="1" x14ac:dyDescent="0.3">
      <c r="A274" s="171" t="s">
        <v>177</v>
      </c>
      <c r="B274" s="171"/>
      <c r="C274" s="171"/>
      <c r="D274" s="171"/>
      <c r="E274" s="171"/>
      <c r="F274" s="171"/>
      <c r="G274" s="171"/>
      <c r="H274" s="171"/>
      <c r="I274" s="171"/>
      <c r="J274" s="147">
        <f>ROUND(J262+J273,5)</f>
        <v>-3327259.77</v>
      </c>
    </row>
    <row r="275" spans="1:10" ht="15.75" thickTop="1" x14ac:dyDescent="0.25"/>
    <row r="319" spans="12:12" x14ac:dyDescent="0.25">
      <c r="L319" s="23"/>
    </row>
    <row r="320" spans="12:12" x14ac:dyDescent="0.25">
      <c r="L320" s="20"/>
    </row>
    <row r="321" spans="12:12" x14ac:dyDescent="0.25">
      <c r="L321" s="21"/>
    </row>
    <row r="322" spans="12:12" x14ac:dyDescent="0.25">
      <c r="L322" s="21"/>
    </row>
    <row r="338" spans="14:14" x14ac:dyDescent="0.25">
      <c r="N338" s="21"/>
    </row>
    <row r="339" spans="14:14" x14ac:dyDescent="0.25">
      <c r="N339" s="21"/>
    </row>
    <row r="340" spans="14:14" x14ac:dyDescent="0.25">
      <c r="N340" s="21"/>
    </row>
    <row r="358" spans="12:15" x14ac:dyDescent="0.25">
      <c r="N358" s="156"/>
      <c r="O358" s="156"/>
    </row>
    <row r="359" spans="12:15" x14ac:dyDescent="0.25">
      <c r="L359" s="156"/>
      <c r="M359" s="206"/>
    </row>
    <row r="367" spans="12:15" x14ac:dyDescent="0.25">
      <c r="L367" s="104"/>
    </row>
    <row r="368" spans="12:15" x14ac:dyDescent="0.25">
      <c r="L368" s="104"/>
    </row>
    <row r="369" spans="12:15" x14ac:dyDescent="0.25">
      <c r="L369" s="104"/>
      <c r="N369" s="158"/>
      <c r="O369" s="158"/>
    </row>
    <row r="370" spans="12:15" x14ac:dyDescent="0.25">
      <c r="L370" s="158"/>
      <c r="M370" s="205"/>
    </row>
    <row r="390" spans="12:15" x14ac:dyDescent="0.25">
      <c r="N390" s="21"/>
    </row>
    <row r="391" spans="12:15" x14ac:dyDescent="0.25">
      <c r="N391" s="21"/>
    </row>
    <row r="392" spans="12:15" x14ac:dyDescent="0.25">
      <c r="N392" s="21"/>
    </row>
    <row r="398" spans="12:15" x14ac:dyDescent="0.25">
      <c r="N398" s="158"/>
      <c r="O398" s="158"/>
    </row>
    <row r="399" spans="12:15" x14ac:dyDescent="0.25">
      <c r="L399" s="158"/>
      <c r="M399" s="205"/>
    </row>
    <row r="405" spans="12:15" x14ac:dyDescent="0.25">
      <c r="N405" s="156"/>
      <c r="O405" s="156"/>
    </row>
    <row r="406" spans="12:15" x14ac:dyDescent="0.25">
      <c r="L406" s="156"/>
      <c r="M406" s="206"/>
    </row>
    <row r="412" spans="12:15" x14ac:dyDescent="0.25">
      <c r="N412" s="156"/>
      <c r="O412" s="156"/>
    </row>
    <row r="413" spans="12:15" x14ac:dyDescent="0.25">
      <c r="L413" s="156"/>
      <c r="M413" s="206"/>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Y413"/>
  <sheetViews>
    <sheetView workbookViewId="0">
      <pane ySplit="2" topLeftCell="A246" activePane="bottomLeft" state="frozen"/>
      <selection pane="bottomLeft" activeCell="U251" sqref="U251"/>
    </sheetView>
  </sheetViews>
  <sheetFormatPr defaultRowHeight="15" x14ac:dyDescent="0.25"/>
  <cols>
    <col min="1" max="8" width="3" style="159" customWidth="1"/>
    <col min="9" max="9" width="38.140625" style="159" customWidth="1"/>
    <col min="10" max="10" width="12.28515625" style="164" bestFit="1" customWidth="1"/>
    <col min="11" max="11" width="9.140625" style="154"/>
    <col min="12" max="18" width="3" style="159" customWidth="1"/>
    <col min="19" max="19" width="38.140625" style="159" customWidth="1"/>
    <col min="20" max="20" width="12" style="23" bestFit="1" customWidth="1"/>
    <col min="21" max="21" width="9.140625" style="154"/>
    <col min="22" max="22" width="30.7109375" style="154" bestFit="1" customWidth="1"/>
    <col min="23" max="23" width="13.85546875" style="167" bestFit="1" customWidth="1"/>
    <col min="24" max="24" width="9.42578125" style="154" bestFit="1" customWidth="1"/>
    <col min="25" max="25" width="34.28515625" style="154" bestFit="1" customWidth="1"/>
    <col min="26" max="16384" width="9.140625" style="154"/>
  </cols>
  <sheetData>
    <row r="1" spans="1:25" x14ac:dyDescent="0.25">
      <c r="A1" s="218" t="s">
        <v>644</v>
      </c>
      <c r="B1" s="218"/>
      <c r="C1" s="218"/>
      <c r="D1" s="218"/>
      <c r="E1" s="218"/>
      <c r="F1" s="218"/>
      <c r="L1" s="218" t="s">
        <v>643</v>
      </c>
      <c r="M1" s="218"/>
      <c r="N1" s="218"/>
      <c r="O1" s="218"/>
      <c r="P1" s="218"/>
      <c r="Q1" s="218"/>
      <c r="R1" s="218"/>
    </row>
    <row r="2" spans="1:25" s="158" customFormat="1" ht="30.75" thickBot="1" x14ac:dyDescent="0.3">
      <c r="A2" s="157"/>
      <c r="B2" s="157"/>
      <c r="C2" s="157"/>
      <c r="D2" s="157"/>
      <c r="E2" s="157"/>
      <c r="F2" s="157"/>
      <c r="G2" s="157"/>
      <c r="H2" s="157"/>
      <c r="I2" s="157"/>
      <c r="J2" s="207" t="s">
        <v>509</v>
      </c>
      <c r="L2" s="157"/>
      <c r="M2" s="157"/>
      <c r="N2" s="157"/>
      <c r="O2" s="157"/>
      <c r="P2" s="157"/>
      <c r="Q2" s="157"/>
      <c r="R2" s="157"/>
      <c r="S2" s="157"/>
      <c r="T2" s="137" t="s">
        <v>509</v>
      </c>
      <c r="V2" s="108" t="s">
        <v>381</v>
      </c>
      <c r="W2" s="200" t="s">
        <v>380</v>
      </c>
      <c r="X2" s="110" t="s">
        <v>433</v>
      </c>
      <c r="Y2" s="109" t="s">
        <v>382</v>
      </c>
    </row>
    <row r="3" spans="1:25" ht="15.75" thickTop="1" x14ac:dyDescent="0.25">
      <c r="A3" s="171"/>
      <c r="B3" s="171" t="s">
        <v>20</v>
      </c>
      <c r="C3" s="171"/>
      <c r="D3" s="171"/>
      <c r="E3" s="171"/>
      <c r="F3" s="171"/>
      <c r="G3" s="171"/>
      <c r="H3" s="171"/>
      <c r="I3" s="171"/>
      <c r="J3" s="161"/>
      <c r="L3" s="171" t="s">
        <v>20</v>
      </c>
      <c r="M3" s="171"/>
      <c r="N3" s="171"/>
      <c r="O3" s="171"/>
      <c r="P3" s="171"/>
      <c r="Q3" s="171"/>
      <c r="R3" s="171"/>
      <c r="S3" s="171"/>
      <c r="T3" s="138"/>
      <c r="V3" s="46" t="s">
        <v>269</v>
      </c>
      <c r="W3" s="184">
        <f>T79</f>
        <v>414600</v>
      </c>
      <c r="X3" s="59"/>
      <c r="Y3" s="46" t="s">
        <v>442</v>
      </c>
    </row>
    <row r="4" spans="1:25" x14ac:dyDescent="0.25">
      <c r="A4" s="171"/>
      <c r="B4" s="171"/>
      <c r="C4" s="171"/>
      <c r="D4" s="171" t="s">
        <v>21</v>
      </c>
      <c r="E4" s="171"/>
      <c r="F4" s="171"/>
      <c r="G4" s="171"/>
      <c r="H4" s="171"/>
      <c r="I4" s="171"/>
      <c r="J4" s="161"/>
      <c r="L4" s="171"/>
      <c r="M4" s="171"/>
      <c r="N4" s="171" t="s">
        <v>21</v>
      </c>
      <c r="O4" s="171"/>
      <c r="P4" s="171"/>
      <c r="Q4" s="171"/>
      <c r="R4" s="171"/>
      <c r="S4" s="171"/>
      <c r="T4" s="138"/>
      <c r="V4" s="46" t="s">
        <v>270</v>
      </c>
      <c r="W4" s="184">
        <f>T125</f>
        <v>100330</v>
      </c>
      <c r="X4" s="59"/>
      <c r="Y4" s="46" t="s">
        <v>442</v>
      </c>
    </row>
    <row r="5" spans="1:25" x14ac:dyDescent="0.25">
      <c r="A5" s="171"/>
      <c r="B5" s="171"/>
      <c r="C5" s="171"/>
      <c r="D5" s="171"/>
      <c r="E5" s="171" t="s">
        <v>22</v>
      </c>
      <c r="F5" s="171"/>
      <c r="G5" s="171"/>
      <c r="H5" s="171"/>
      <c r="I5" s="171"/>
      <c r="J5" s="161"/>
      <c r="L5" s="171"/>
      <c r="M5" s="171"/>
      <c r="N5" s="171"/>
      <c r="O5" s="171" t="s">
        <v>22</v>
      </c>
      <c r="P5" s="171"/>
      <c r="Q5" s="171"/>
      <c r="R5" s="171"/>
      <c r="S5" s="171"/>
      <c r="T5" s="138"/>
      <c r="V5" s="46" t="s">
        <v>597</v>
      </c>
      <c r="W5" s="184">
        <f>T173</f>
        <v>56000</v>
      </c>
      <c r="X5" s="59"/>
      <c r="Y5" s="46" t="s">
        <v>442</v>
      </c>
    </row>
    <row r="6" spans="1:25" x14ac:dyDescent="0.25">
      <c r="A6" s="171"/>
      <c r="B6" s="171"/>
      <c r="C6" s="171"/>
      <c r="D6" s="171"/>
      <c r="E6" s="171"/>
      <c r="F6" s="171" t="s">
        <v>23</v>
      </c>
      <c r="G6" s="171"/>
      <c r="H6" s="171"/>
      <c r="I6" s="171"/>
      <c r="J6" s="161">
        <f>3688581.62+16650.84+1675974.48+483434.25+1774503.23+1412577.01</f>
        <v>9051721.4299999997</v>
      </c>
      <c r="L6" s="171"/>
      <c r="M6" s="171"/>
      <c r="N6" s="171"/>
      <c r="O6" s="171"/>
      <c r="P6" s="171" t="s">
        <v>23</v>
      </c>
      <c r="Q6" s="171"/>
      <c r="R6" s="171"/>
      <c r="S6" s="171"/>
      <c r="T6" s="138">
        <v>8938367.9399999995</v>
      </c>
      <c r="V6" s="119" t="s">
        <v>606</v>
      </c>
      <c r="W6" s="184"/>
      <c r="X6" s="59"/>
      <c r="Y6" s="46"/>
    </row>
    <row r="7" spans="1:25" x14ac:dyDescent="0.25">
      <c r="A7" s="171"/>
      <c r="B7" s="171"/>
      <c r="C7" s="171"/>
      <c r="D7" s="171"/>
      <c r="E7" s="171"/>
      <c r="F7" s="171" t="s">
        <v>26</v>
      </c>
      <c r="G7" s="171"/>
      <c r="H7" s="171"/>
      <c r="I7" s="171"/>
      <c r="J7" s="161">
        <f>143720.64+70089.6+15770.16+79726.92+56897.1</f>
        <v>366204.42</v>
      </c>
      <c r="L7" s="171"/>
      <c r="M7" s="171"/>
      <c r="N7" s="171"/>
      <c r="O7" s="171"/>
      <c r="P7" s="171" t="s">
        <v>26</v>
      </c>
      <c r="Q7" s="171"/>
      <c r="R7" s="171"/>
      <c r="S7" s="171"/>
      <c r="T7" s="138">
        <v>366204.42</v>
      </c>
      <c r="V7" s="67" t="s">
        <v>598</v>
      </c>
      <c r="W7" s="184">
        <f>T188</f>
        <v>0</v>
      </c>
      <c r="X7" s="185">
        <v>0.5</v>
      </c>
      <c r="Y7" s="46" t="s">
        <v>595</v>
      </c>
    </row>
    <row r="8" spans="1:25" x14ac:dyDescent="0.25">
      <c r="A8" s="171"/>
      <c r="B8" s="171"/>
      <c r="C8" s="171"/>
      <c r="D8" s="171"/>
      <c r="E8" s="171"/>
      <c r="F8" s="171" t="s">
        <v>27</v>
      </c>
      <c r="G8" s="171"/>
      <c r="H8" s="171"/>
      <c r="I8" s="171"/>
      <c r="J8" s="161">
        <f>1744252.05+855983.29+235033.43+1023465.5+665213.54</f>
        <v>4523947.8100000005</v>
      </c>
      <c r="K8" s="171"/>
      <c r="L8" s="171"/>
      <c r="M8" s="171"/>
      <c r="N8" s="171"/>
      <c r="O8" s="171"/>
      <c r="P8" s="171" t="s">
        <v>27</v>
      </c>
      <c r="Q8" s="171"/>
      <c r="R8" s="171"/>
      <c r="S8" s="171"/>
      <c r="T8" s="138">
        <v>4523947.97</v>
      </c>
      <c r="V8" s="67" t="s">
        <v>599</v>
      </c>
      <c r="W8" s="184">
        <f t="shared" ref="W8:W17" si="0">T189</f>
        <v>0</v>
      </c>
      <c r="X8" s="185">
        <v>0.3</v>
      </c>
      <c r="Y8" s="46" t="s">
        <v>595</v>
      </c>
    </row>
    <row r="9" spans="1:25" x14ac:dyDescent="0.25">
      <c r="A9" s="171"/>
      <c r="B9" s="171"/>
      <c r="C9" s="171"/>
      <c r="D9" s="171"/>
      <c r="E9" s="171"/>
      <c r="F9" s="171" t="s">
        <v>28</v>
      </c>
      <c r="G9" s="171"/>
      <c r="H9" s="171"/>
      <c r="I9" s="171"/>
      <c r="J9" s="161">
        <f>10971.35+5484.17+5484.17+5484.17+5479.29</f>
        <v>32903.15</v>
      </c>
      <c r="K9" s="171"/>
      <c r="L9" s="171"/>
      <c r="M9" s="171"/>
      <c r="N9" s="171"/>
      <c r="O9" s="171"/>
      <c r="P9" s="171" t="s">
        <v>28</v>
      </c>
      <c r="Q9" s="171"/>
      <c r="R9" s="171"/>
      <c r="S9" s="171"/>
      <c r="T9" s="138">
        <v>32903.15</v>
      </c>
      <c r="V9" s="67" t="s">
        <v>600</v>
      </c>
      <c r="W9" s="184">
        <f t="shared" si="0"/>
        <v>0</v>
      </c>
      <c r="X9" s="185">
        <v>0.45</v>
      </c>
      <c r="Y9" s="46" t="s">
        <v>595</v>
      </c>
    </row>
    <row r="10" spans="1:25" ht="15.75" thickBot="1" x14ac:dyDescent="0.3">
      <c r="A10" s="171"/>
      <c r="B10" s="171"/>
      <c r="C10" s="171"/>
      <c r="D10" s="171"/>
      <c r="E10" s="171"/>
      <c r="F10" s="171"/>
      <c r="G10" s="171"/>
      <c r="H10" s="171"/>
      <c r="I10" s="171"/>
      <c r="J10" s="161"/>
      <c r="K10" s="171"/>
      <c r="L10" s="171"/>
      <c r="M10" s="171"/>
      <c r="N10" s="171"/>
      <c r="O10" s="171"/>
      <c r="P10" s="171" t="s">
        <v>618</v>
      </c>
      <c r="Q10" s="171"/>
      <c r="R10" s="171"/>
      <c r="S10" s="171"/>
      <c r="T10" s="139">
        <v>96741.45</v>
      </c>
      <c r="V10" s="67" t="s">
        <v>601</v>
      </c>
      <c r="W10" s="184">
        <f t="shared" si="0"/>
        <v>0</v>
      </c>
      <c r="X10" s="185">
        <v>0.45</v>
      </c>
      <c r="Y10" s="46" t="s">
        <v>595</v>
      </c>
    </row>
    <row r="11" spans="1:25" ht="15.75" thickBot="1" x14ac:dyDescent="0.3">
      <c r="A11" s="171"/>
      <c r="B11" s="171"/>
      <c r="C11" s="171"/>
      <c r="D11" s="171"/>
      <c r="E11" s="171" t="s">
        <v>39</v>
      </c>
      <c r="F11" s="171"/>
      <c r="G11" s="171"/>
      <c r="H11" s="171"/>
      <c r="I11" s="171"/>
      <c r="J11" s="208">
        <f>ROUND(SUM(J5:J9),5)</f>
        <v>13974776.810000001</v>
      </c>
      <c r="K11" s="171"/>
      <c r="L11" s="171"/>
      <c r="M11" s="171"/>
      <c r="N11" s="171"/>
      <c r="O11" s="171" t="s">
        <v>39</v>
      </c>
      <c r="P11" s="171"/>
      <c r="Q11" s="171"/>
      <c r="R11" s="171"/>
      <c r="S11" s="171"/>
      <c r="T11" s="141">
        <f>ROUND(SUM(T5:T10),5)</f>
        <v>13958164.93</v>
      </c>
      <c r="V11" s="67" t="s">
        <v>602</v>
      </c>
      <c r="W11" s="184">
        <f t="shared" si="0"/>
        <v>0</v>
      </c>
      <c r="X11" s="185">
        <v>0.5</v>
      </c>
      <c r="Y11" s="46" t="s">
        <v>595</v>
      </c>
    </row>
    <row r="12" spans="1:25" x14ac:dyDescent="0.25">
      <c r="A12" s="171"/>
      <c r="B12" s="171"/>
      <c r="C12" s="171"/>
      <c r="D12" s="171" t="s">
        <v>40</v>
      </c>
      <c r="E12" s="171"/>
      <c r="F12" s="171"/>
      <c r="G12" s="171"/>
      <c r="H12" s="171"/>
      <c r="I12" s="171"/>
      <c r="J12" s="161">
        <f>ROUND(J4+J11,5)</f>
        <v>13974776.810000001</v>
      </c>
      <c r="K12" s="171"/>
      <c r="L12" s="171"/>
      <c r="M12" s="171"/>
      <c r="N12" s="171" t="s">
        <v>40</v>
      </c>
      <c r="O12" s="171"/>
      <c r="P12" s="171"/>
      <c r="Q12" s="171"/>
      <c r="R12" s="171"/>
      <c r="S12" s="171"/>
      <c r="T12" s="138">
        <f>ROUND(T4+T11,5)</f>
        <v>13958164.93</v>
      </c>
      <c r="V12" s="67" t="s">
        <v>422</v>
      </c>
      <c r="W12" s="184">
        <f t="shared" si="0"/>
        <v>245268.75</v>
      </c>
      <c r="X12" s="185">
        <v>0.35</v>
      </c>
      <c r="Y12" s="46" t="s">
        <v>595</v>
      </c>
    </row>
    <row r="13" spans="1:25" x14ac:dyDescent="0.25">
      <c r="A13" s="171"/>
      <c r="B13" s="171"/>
      <c r="C13" s="171"/>
      <c r="D13" s="171" t="s">
        <v>41</v>
      </c>
      <c r="E13" s="171"/>
      <c r="F13" s="171"/>
      <c r="G13" s="171"/>
      <c r="H13" s="171"/>
      <c r="I13" s="171"/>
      <c r="J13" s="161"/>
      <c r="K13" s="171"/>
      <c r="L13" s="171"/>
      <c r="M13" s="171"/>
      <c r="N13" s="171" t="s">
        <v>41</v>
      </c>
      <c r="O13" s="171"/>
      <c r="P13" s="171"/>
      <c r="Q13" s="171"/>
      <c r="R13" s="171"/>
      <c r="S13" s="171"/>
      <c r="T13" s="138"/>
      <c r="V13" s="67" t="s">
        <v>603</v>
      </c>
      <c r="W13" s="184">
        <f t="shared" si="0"/>
        <v>42375</v>
      </c>
      <c r="X13" s="185">
        <v>0.15</v>
      </c>
      <c r="Y13" s="46" t="s">
        <v>595</v>
      </c>
    </row>
    <row r="14" spans="1:25" x14ac:dyDescent="0.25">
      <c r="A14" s="171"/>
      <c r="B14" s="171"/>
      <c r="C14" s="171"/>
      <c r="D14" s="171"/>
      <c r="E14" s="171"/>
      <c r="F14" s="171"/>
      <c r="G14" s="171"/>
      <c r="H14" s="171"/>
      <c r="I14" s="171"/>
      <c r="J14" s="161"/>
      <c r="K14" s="171"/>
      <c r="L14" s="171"/>
      <c r="M14" s="171"/>
      <c r="N14" s="171"/>
      <c r="O14" s="171" t="s">
        <v>619</v>
      </c>
      <c r="P14" s="171"/>
      <c r="Q14" s="171"/>
      <c r="R14" s="171"/>
      <c r="S14" s="171"/>
      <c r="T14" s="138">
        <v>8476.7900000000009</v>
      </c>
      <c r="V14" s="67" t="s">
        <v>427</v>
      </c>
      <c r="W14" s="184">
        <f t="shared" si="0"/>
        <v>14350</v>
      </c>
      <c r="X14" s="185">
        <v>0.5</v>
      </c>
      <c r="Y14" s="46" t="s">
        <v>595</v>
      </c>
    </row>
    <row r="15" spans="1:25" x14ac:dyDescent="0.25">
      <c r="A15" s="171"/>
      <c r="B15" s="171"/>
      <c r="C15" s="171"/>
      <c r="D15" s="171"/>
      <c r="E15" s="171" t="s">
        <v>42</v>
      </c>
      <c r="F15" s="171"/>
      <c r="G15" s="171"/>
      <c r="H15" s="171"/>
      <c r="I15" s="171"/>
      <c r="J15" s="161"/>
      <c r="K15" s="171"/>
      <c r="L15" s="171"/>
      <c r="M15" s="171"/>
      <c r="N15" s="171"/>
      <c r="O15" s="171" t="s">
        <v>42</v>
      </c>
      <c r="P15" s="171"/>
      <c r="Q15" s="171"/>
      <c r="R15" s="171"/>
      <c r="S15" s="171"/>
      <c r="T15" s="138"/>
      <c r="V15" s="67" t="s">
        <v>604</v>
      </c>
      <c r="W15" s="184">
        <f t="shared" si="0"/>
        <v>172361.25</v>
      </c>
      <c r="X15" s="185">
        <v>0.5</v>
      </c>
      <c r="Y15" s="46" t="s">
        <v>595</v>
      </c>
    </row>
    <row r="16" spans="1:25" x14ac:dyDescent="0.25">
      <c r="A16" s="171"/>
      <c r="B16" s="171"/>
      <c r="C16" s="171"/>
      <c r="D16" s="171"/>
      <c r="E16" s="171"/>
      <c r="F16" s="171" t="s">
        <v>43</v>
      </c>
      <c r="G16" s="171"/>
      <c r="H16" s="171"/>
      <c r="I16" s="171"/>
      <c r="J16" s="161"/>
      <c r="K16" s="171"/>
      <c r="L16" s="171"/>
      <c r="M16" s="171"/>
      <c r="N16" s="171"/>
      <c r="O16" s="171"/>
      <c r="P16" s="171" t="s">
        <v>43</v>
      </c>
      <c r="Q16" s="171"/>
      <c r="R16" s="171"/>
      <c r="S16" s="171"/>
      <c r="T16" s="138"/>
      <c r="V16" s="67" t="s">
        <v>605</v>
      </c>
      <c r="W16" s="184">
        <f t="shared" si="0"/>
        <v>65343.75</v>
      </c>
      <c r="X16" s="185">
        <v>0.5</v>
      </c>
      <c r="Y16" s="46" t="s">
        <v>595</v>
      </c>
    </row>
    <row r="17" spans="1:25" x14ac:dyDescent="0.25">
      <c r="A17" s="171"/>
      <c r="B17" s="171"/>
      <c r="C17" s="171"/>
      <c r="D17" s="171"/>
      <c r="E17" s="171"/>
      <c r="F17" s="171"/>
      <c r="G17" s="171" t="s">
        <v>44</v>
      </c>
      <c r="H17" s="171"/>
      <c r="I17" s="171"/>
      <c r="J17" s="161">
        <f>1236642.8+3776.79</f>
        <v>1240419.5900000001</v>
      </c>
      <c r="K17" s="171"/>
      <c r="L17" s="171"/>
      <c r="M17" s="171"/>
      <c r="N17" s="171"/>
      <c r="O17" s="171"/>
      <c r="P17" s="171"/>
      <c r="Q17" s="171" t="s">
        <v>44</v>
      </c>
      <c r="R17" s="171"/>
      <c r="S17" s="171"/>
      <c r="T17" s="138">
        <v>2949946.26</v>
      </c>
      <c r="V17" s="67" t="s">
        <v>432</v>
      </c>
      <c r="W17" s="184">
        <f t="shared" si="0"/>
        <v>645465</v>
      </c>
      <c r="X17" s="185">
        <v>0.5</v>
      </c>
      <c r="Y17" s="46" t="s">
        <v>595</v>
      </c>
    </row>
    <row r="18" spans="1:25" x14ac:dyDescent="0.25">
      <c r="A18" s="171"/>
      <c r="B18" s="171"/>
      <c r="C18" s="171"/>
      <c r="D18" s="171"/>
      <c r="E18" s="171"/>
      <c r="F18" s="171"/>
      <c r="G18" s="171" t="s">
        <v>45</v>
      </c>
      <c r="H18" s="171"/>
      <c r="I18" s="171"/>
      <c r="J18" s="161">
        <v>256329</v>
      </c>
      <c r="K18" s="171"/>
      <c r="L18" s="171"/>
      <c r="M18" s="171"/>
      <c r="N18" s="171"/>
      <c r="O18" s="171"/>
      <c r="P18" s="171"/>
      <c r="Q18" s="171" t="s">
        <v>45</v>
      </c>
      <c r="R18" s="171"/>
      <c r="S18" s="171"/>
      <c r="T18" s="138">
        <v>277529</v>
      </c>
      <c r="V18" s="106" t="s">
        <v>12</v>
      </c>
      <c r="W18" s="201">
        <f>SUM(W3:W17)</f>
        <v>1756093.75</v>
      </c>
      <c r="X18" s="186"/>
      <c r="Y18" s="46"/>
    </row>
    <row r="19" spans="1:25" x14ac:dyDescent="0.25">
      <c r="A19" s="171"/>
      <c r="B19" s="171"/>
      <c r="C19" s="171"/>
      <c r="D19" s="171"/>
      <c r="E19" s="171"/>
      <c r="F19" s="171"/>
      <c r="G19" s="171"/>
      <c r="H19" s="171"/>
      <c r="I19" s="171"/>
      <c r="J19" s="161"/>
      <c r="K19" s="171"/>
      <c r="L19" s="171"/>
      <c r="M19" s="171"/>
      <c r="N19" s="171"/>
      <c r="O19" s="171"/>
      <c r="P19" s="171"/>
      <c r="Q19" s="171" t="s">
        <v>46</v>
      </c>
      <c r="R19" s="171"/>
      <c r="S19" s="171"/>
      <c r="T19" s="138">
        <v>9000</v>
      </c>
      <c r="V19" s="46"/>
      <c r="W19" s="190"/>
      <c r="X19" s="111"/>
      <c r="Y19" s="46"/>
    </row>
    <row r="20" spans="1:25" ht="15.75" thickBot="1" x14ac:dyDescent="0.3">
      <c r="A20" s="171"/>
      <c r="B20" s="171"/>
      <c r="C20" s="171"/>
      <c r="D20" s="171"/>
      <c r="E20" s="171"/>
      <c r="F20" s="171"/>
      <c r="G20" s="171" t="s">
        <v>47</v>
      </c>
      <c r="H20" s="171"/>
      <c r="I20" s="171"/>
      <c r="J20" s="209">
        <v>148503.45000000001</v>
      </c>
      <c r="K20" s="171"/>
      <c r="L20" s="171"/>
      <c r="M20" s="171"/>
      <c r="N20" s="171"/>
      <c r="O20" s="171"/>
      <c r="P20" s="171"/>
      <c r="Q20" s="171" t="s">
        <v>47</v>
      </c>
      <c r="R20" s="171"/>
      <c r="S20" s="171"/>
      <c r="T20" s="143">
        <v>208769.45</v>
      </c>
      <c r="V20" s="104"/>
      <c r="W20" s="202"/>
      <c r="X20" s="135"/>
      <c r="Y20" s="104"/>
    </row>
    <row r="21" spans="1:25" ht="30" x14ac:dyDescent="0.25">
      <c r="A21" s="213"/>
      <c r="B21" s="213"/>
      <c r="C21" s="213"/>
      <c r="D21" s="213"/>
      <c r="E21" s="213"/>
      <c r="F21" s="213" t="s">
        <v>48</v>
      </c>
      <c r="G21" s="213"/>
      <c r="H21" s="213"/>
      <c r="I21" s="213"/>
      <c r="J21" s="214">
        <f>ROUND(SUM(J16:J20),5)</f>
        <v>1645252.04</v>
      </c>
      <c r="K21" s="213"/>
      <c r="L21" s="213"/>
      <c r="M21" s="213"/>
      <c r="N21" s="213"/>
      <c r="O21" s="213"/>
      <c r="P21" s="213" t="s">
        <v>48</v>
      </c>
      <c r="Q21" s="213"/>
      <c r="R21" s="213"/>
      <c r="S21" s="213"/>
      <c r="T21" s="214">
        <f>ROUND(SUM(T16:T20),5)</f>
        <v>3445244.71</v>
      </c>
      <c r="V21" s="65" t="s">
        <v>397</v>
      </c>
      <c r="W21" s="203" t="s">
        <v>380</v>
      </c>
      <c r="X21" s="112" t="s">
        <v>433</v>
      </c>
      <c r="Y21" s="58" t="s">
        <v>382</v>
      </c>
    </row>
    <row r="22" spans="1:25" x14ac:dyDescent="0.25">
      <c r="A22" s="171"/>
      <c r="B22" s="171"/>
      <c r="C22" s="171"/>
      <c r="D22" s="171"/>
      <c r="E22" s="171"/>
      <c r="F22" s="171" t="s">
        <v>49</v>
      </c>
      <c r="G22" s="171"/>
      <c r="H22" s="171"/>
      <c r="I22" s="171"/>
      <c r="J22" s="161"/>
      <c r="L22" s="171"/>
      <c r="M22" s="171"/>
      <c r="N22" s="171"/>
      <c r="O22" s="171"/>
      <c r="P22" s="171" t="s">
        <v>49</v>
      </c>
      <c r="Q22" s="171"/>
      <c r="R22" s="171"/>
      <c r="S22" s="171"/>
      <c r="T22" s="138"/>
      <c r="V22" s="46" t="s">
        <v>269</v>
      </c>
      <c r="W22" s="190">
        <f>T104-W3</f>
        <v>-414600</v>
      </c>
      <c r="X22" s="187"/>
      <c r="Y22" s="46" t="s">
        <v>442</v>
      </c>
    </row>
    <row r="23" spans="1:25" x14ac:dyDescent="0.25">
      <c r="A23" s="171"/>
      <c r="B23" s="171"/>
      <c r="C23" s="171"/>
      <c r="D23" s="171"/>
      <c r="E23" s="171"/>
      <c r="F23" s="171"/>
      <c r="G23" s="171" t="s">
        <v>446</v>
      </c>
      <c r="H23" s="171"/>
      <c r="I23" s="171"/>
      <c r="J23" s="161">
        <v>1200</v>
      </c>
      <c r="L23" s="171"/>
      <c r="M23" s="171"/>
      <c r="N23" s="171"/>
      <c r="O23" s="171"/>
      <c r="P23" s="171"/>
      <c r="Q23" s="171" t="s">
        <v>446</v>
      </c>
      <c r="R23" s="171"/>
      <c r="S23" s="171"/>
      <c r="T23" s="138">
        <v>1200</v>
      </c>
      <c r="V23" s="46" t="s">
        <v>270</v>
      </c>
      <c r="W23" s="190">
        <f>T145-W4</f>
        <v>-100330</v>
      </c>
      <c r="X23" s="187"/>
      <c r="Y23" s="46" t="s">
        <v>442</v>
      </c>
    </row>
    <row r="24" spans="1:25" x14ac:dyDescent="0.25">
      <c r="A24" s="171"/>
      <c r="B24" s="171"/>
      <c r="C24" s="171"/>
      <c r="D24" s="171"/>
      <c r="E24" s="171"/>
      <c r="F24" s="171"/>
      <c r="G24" s="171" t="s">
        <v>50</v>
      </c>
      <c r="H24" s="171"/>
      <c r="I24" s="171"/>
      <c r="J24" s="161">
        <v>11200</v>
      </c>
      <c r="L24" s="171"/>
      <c r="M24" s="171"/>
      <c r="N24" s="171"/>
      <c r="O24" s="171"/>
      <c r="P24" s="171"/>
      <c r="Q24" s="171" t="s">
        <v>50</v>
      </c>
      <c r="R24" s="171"/>
      <c r="S24" s="171"/>
      <c r="T24" s="138">
        <v>11200</v>
      </c>
      <c r="V24" s="194" t="s">
        <v>609</v>
      </c>
      <c r="W24" s="190">
        <f>T156</f>
        <v>33201</v>
      </c>
      <c r="X24" s="187"/>
      <c r="Y24" s="46" t="s">
        <v>442</v>
      </c>
    </row>
    <row r="25" spans="1:25" x14ac:dyDescent="0.25">
      <c r="A25" s="171"/>
      <c r="B25" s="171"/>
      <c r="C25" s="171"/>
      <c r="D25" s="171"/>
      <c r="E25" s="171"/>
      <c r="F25" s="171"/>
      <c r="G25" s="171" t="s">
        <v>447</v>
      </c>
      <c r="H25" s="171"/>
      <c r="I25" s="171"/>
      <c r="J25" s="161">
        <v>4500</v>
      </c>
      <c r="L25" s="171"/>
      <c r="M25" s="171"/>
      <c r="N25" s="171"/>
      <c r="O25" s="171"/>
      <c r="P25" s="171"/>
      <c r="Q25" s="171" t="s">
        <v>447</v>
      </c>
      <c r="R25" s="171"/>
      <c r="S25" s="171"/>
      <c r="T25" s="138">
        <v>4500</v>
      </c>
      <c r="V25" s="194" t="s">
        <v>610</v>
      </c>
      <c r="W25" s="190">
        <f>T180-T175</f>
        <v>182285.67</v>
      </c>
      <c r="X25" s="188"/>
      <c r="Y25" s="46" t="s">
        <v>442</v>
      </c>
    </row>
    <row r="26" spans="1:25" x14ac:dyDescent="0.25">
      <c r="A26" s="171"/>
      <c r="B26" s="171"/>
      <c r="C26" s="171"/>
      <c r="D26" s="171"/>
      <c r="E26" s="171"/>
      <c r="F26" s="171"/>
      <c r="G26" s="171" t="s">
        <v>448</v>
      </c>
      <c r="H26" s="171"/>
      <c r="I26" s="171"/>
      <c r="J26" s="161">
        <v>74419</v>
      </c>
      <c r="L26" s="171"/>
      <c r="M26" s="171"/>
      <c r="N26" s="171"/>
      <c r="O26" s="171"/>
      <c r="P26" s="171"/>
      <c r="Q26" s="171" t="s">
        <v>448</v>
      </c>
      <c r="R26" s="171"/>
      <c r="S26" s="171"/>
      <c r="T26" s="138">
        <v>74419</v>
      </c>
      <c r="V26" s="66" t="s">
        <v>611</v>
      </c>
      <c r="W26" s="190">
        <f>T185</f>
        <v>0</v>
      </c>
      <c r="X26" s="187"/>
      <c r="Y26" s="46" t="s">
        <v>442</v>
      </c>
    </row>
    <row r="27" spans="1:25" x14ac:dyDescent="0.25">
      <c r="A27" s="171"/>
      <c r="B27" s="171"/>
      <c r="C27" s="171"/>
      <c r="D27" s="171"/>
      <c r="E27" s="171"/>
      <c r="F27" s="171"/>
      <c r="G27" s="171" t="s">
        <v>449</v>
      </c>
      <c r="H27" s="171"/>
      <c r="I27" s="171"/>
      <c r="J27" s="161">
        <v>10410</v>
      </c>
      <c r="L27" s="171"/>
      <c r="M27" s="171"/>
      <c r="N27" s="171"/>
      <c r="O27" s="171"/>
      <c r="P27" s="171"/>
      <c r="Q27" s="171" t="s">
        <v>449</v>
      </c>
      <c r="R27" s="171"/>
      <c r="S27" s="171"/>
      <c r="T27" s="138">
        <v>10410</v>
      </c>
      <c r="V27" s="193" t="s">
        <v>612</v>
      </c>
      <c r="W27" s="190"/>
      <c r="X27" s="189">
        <v>0.35</v>
      </c>
      <c r="Y27" s="46"/>
    </row>
    <row r="28" spans="1:25" x14ac:dyDescent="0.25">
      <c r="A28" s="171"/>
      <c r="B28" s="171"/>
      <c r="C28" s="171"/>
      <c r="D28" s="171"/>
      <c r="E28" s="171"/>
      <c r="F28" s="171"/>
      <c r="G28" s="171" t="s">
        <v>510</v>
      </c>
      <c r="H28" s="171"/>
      <c r="I28" s="171"/>
      <c r="J28" s="161">
        <v>845</v>
      </c>
      <c r="L28" s="171"/>
      <c r="M28" s="171"/>
      <c r="N28" s="171"/>
      <c r="O28" s="171"/>
      <c r="P28" s="171"/>
      <c r="Q28" s="171" t="s">
        <v>510</v>
      </c>
      <c r="R28" s="171"/>
      <c r="S28" s="171"/>
      <c r="T28" s="138">
        <v>845</v>
      </c>
      <c r="V28" s="67" t="s">
        <v>383</v>
      </c>
      <c r="W28" s="190">
        <f>T222</f>
        <v>7772.38</v>
      </c>
      <c r="X28" s="191">
        <v>0.3</v>
      </c>
      <c r="Y28" s="46" t="s">
        <v>442</v>
      </c>
    </row>
    <row r="29" spans="1:25" x14ac:dyDescent="0.25">
      <c r="A29" s="171"/>
      <c r="B29" s="171"/>
      <c r="C29" s="171"/>
      <c r="D29" s="171"/>
      <c r="E29" s="171"/>
      <c r="F29" s="171"/>
      <c r="G29" s="171" t="s">
        <v>451</v>
      </c>
      <c r="H29" s="171"/>
      <c r="I29" s="171"/>
      <c r="J29" s="161">
        <v>138052</v>
      </c>
      <c r="L29" s="171"/>
      <c r="M29" s="171"/>
      <c r="N29" s="171"/>
      <c r="O29" s="171"/>
      <c r="P29" s="171"/>
      <c r="Q29" s="171" t="s">
        <v>451</v>
      </c>
      <c r="R29" s="171"/>
      <c r="S29" s="171"/>
      <c r="T29" s="138">
        <v>19012</v>
      </c>
      <c r="V29" s="67" t="s">
        <v>607</v>
      </c>
      <c r="W29" s="190">
        <f>T205</f>
        <v>0</v>
      </c>
      <c r="X29" s="191"/>
      <c r="Y29" s="46" t="s">
        <v>442</v>
      </c>
    </row>
    <row r="30" spans="1:25" x14ac:dyDescent="0.25">
      <c r="A30" s="171"/>
      <c r="B30" s="171"/>
      <c r="C30" s="171"/>
      <c r="D30" s="171"/>
      <c r="E30" s="171"/>
      <c r="F30" s="171"/>
      <c r="G30" s="171" t="s">
        <v>51</v>
      </c>
      <c r="H30" s="171"/>
      <c r="I30" s="171"/>
      <c r="J30" s="161">
        <v>10000</v>
      </c>
      <c r="L30" s="171"/>
      <c r="M30" s="171"/>
      <c r="N30" s="171"/>
      <c r="O30" s="171"/>
      <c r="P30" s="171"/>
      <c r="Q30" s="171" t="s">
        <v>51</v>
      </c>
      <c r="R30" s="171"/>
      <c r="S30" s="171"/>
      <c r="T30" s="138">
        <v>10000</v>
      </c>
      <c r="V30" s="67" t="s">
        <v>384</v>
      </c>
      <c r="W30" s="190">
        <f>T250</f>
        <v>28852.74</v>
      </c>
      <c r="X30" s="191">
        <v>0.3</v>
      </c>
      <c r="Y30" s="46" t="s">
        <v>442</v>
      </c>
    </row>
    <row r="31" spans="1:25" ht="15.75" thickBot="1" x14ac:dyDescent="0.3">
      <c r="A31" s="171"/>
      <c r="B31" s="171"/>
      <c r="C31" s="171"/>
      <c r="D31" s="171"/>
      <c r="E31" s="171"/>
      <c r="F31" s="171"/>
      <c r="G31" s="171" t="s">
        <v>52</v>
      </c>
      <c r="H31" s="171"/>
      <c r="I31" s="171"/>
      <c r="J31" s="209">
        <v>6000</v>
      </c>
      <c r="L31" s="171"/>
      <c r="M31" s="171"/>
      <c r="N31" s="171"/>
      <c r="O31" s="171"/>
      <c r="P31" s="171"/>
      <c r="Q31" s="171" t="s">
        <v>52</v>
      </c>
      <c r="R31" s="171"/>
      <c r="S31" s="171"/>
      <c r="T31" s="143">
        <v>6000</v>
      </c>
      <c r="V31" s="67" t="s">
        <v>438</v>
      </c>
      <c r="W31" s="190">
        <f>T232</f>
        <v>17489.3</v>
      </c>
      <c r="X31" s="191">
        <v>0.3</v>
      </c>
      <c r="Y31" s="46" t="s">
        <v>442</v>
      </c>
    </row>
    <row r="32" spans="1:25" x14ac:dyDescent="0.25">
      <c r="A32" s="171"/>
      <c r="B32" s="171"/>
      <c r="C32" s="171"/>
      <c r="D32" s="171"/>
      <c r="E32" s="171"/>
      <c r="F32" s="171" t="s">
        <v>54</v>
      </c>
      <c r="G32" s="171"/>
      <c r="H32" s="171"/>
      <c r="I32" s="171"/>
      <c r="J32" s="161">
        <f>ROUND(SUM(J22:J31),5)</f>
        <v>256626</v>
      </c>
      <c r="L32" s="171"/>
      <c r="M32" s="171"/>
      <c r="N32" s="171"/>
      <c r="O32" s="171"/>
      <c r="P32" s="171" t="s">
        <v>54</v>
      </c>
      <c r="Q32" s="171"/>
      <c r="R32" s="171"/>
      <c r="S32" s="171"/>
      <c r="T32" s="138">
        <f>ROUND(SUM(T22:T31),5)</f>
        <v>137586</v>
      </c>
      <c r="V32" s="67" t="s">
        <v>608</v>
      </c>
      <c r="W32" s="190">
        <f>T253</f>
        <v>7145</v>
      </c>
      <c r="X32" s="191">
        <v>0.3</v>
      </c>
      <c r="Y32" s="46" t="s">
        <v>442</v>
      </c>
    </row>
    <row r="33" spans="1:25" x14ac:dyDescent="0.25">
      <c r="A33" s="171"/>
      <c r="B33" s="171"/>
      <c r="C33" s="171"/>
      <c r="D33" s="171"/>
      <c r="E33" s="171"/>
      <c r="F33" s="171" t="s">
        <v>55</v>
      </c>
      <c r="G33" s="171"/>
      <c r="H33" s="171"/>
      <c r="I33" s="171"/>
      <c r="J33" s="161"/>
      <c r="L33" s="171"/>
      <c r="M33" s="171"/>
      <c r="N33" s="171"/>
      <c r="O33" s="171"/>
      <c r="P33" s="171" t="s">
        <v>55</v>
      </c>
      <c r="Q33" s="171"/>
      <c r="R33" s="171"/>
      <c r="S33" s="171"/>
      <c r="T33" s="138"/>
      <c r="V33" s="67" t="s">
        <v>596</v>
      </c>
      <c r="W33" s="190">
        <f>T240</f>
        <v>0</v>
      </c>
      <c r="X33" s="191"/>
      <c r="Y33" s="46"/>
    </row>
    <row r="34" spans="1:25" x14ac:dyDescent="0.25">
      <c r="A34" s="171"/>
      <c r="B34" s="171"/>
      <c r="C34" s="171"/>
      <c r="D34" s="171"/>
      <c r="E34" s="171"/>
      <c r="F34" s="171"/>
      <c r="G34" s="171" t="s">
        <v>56</v>
      </c>
      <c r="H34" s="171"/>
      <c r="I34" s="171"/>
      <c r="J34" s="161">
        <v>3936887.77</v>
      </c>
      <c r="L34" s="171"/>
      <c r="M34" s="171"/>
      <c r="N34" s="171"/>
      <c r="O34" s="171"/>
      <c r="P34" s="171"/>
      <c r="Q34" s="171" t="s">
        <v>56</v>
      </c>
      <c r="R34" s="171"/>
      <c r="S34" s="171"/>
      <c r="T34" s="138">
        <v>3936887.77</v>
      </c>
      <c r="V34" s="67" t="s">
        <v>386</v>
      </c>
      <c r="W34" s="190">
        <f>T260</f>
        <v>39496.589999999997</v>
      </c>
      <c r="X34" s="191"/>
      <c r="Y34" s="46" t="s">
        <v>442</v>
      </c>
    </row>
    <row r="35" spans="1:25" x14ac:dyDescent="0.25">
      <c r="A35" s="171"/>
      <c r="B35" s="171"/>
      <c r="C35" s="171"/>
      <c r="D35" s="171"/>
      <c r="E35" s="171"/>
      <c r="F35" s="171"/>
      <c r="G35" s="171" t="s">
        <v>59</v>
      </c>
      <c r="H35" s="171"/>
      <c r="I35" s="171"/>
      <c r="J35" s="161">
        <v>244594.25</v>
      </c>
      <c r="L35" s="171"/>
      <c r="M35" s="171"/>
      <c r="N35" s="171"/>
      <c r="O35" s="171"/>
      <c r="P35" s="171"/>
      <c r="Q35" s="171" t="s">
        <v>59</v>
      </c>
      <c r="R35" s="171"/>
      <c r="S35" s="171"/>
      <c r="T35" s="138">
        <v>69309.25</v>
      </c>
      <c r="V35" s="46"/>
      <c r="W35" s="190"/>
      <c r="X35" s="191">
        <v>0.3</v>
      </c>
      <c r="Y35" s="46"/>
    </row>
    <row r="36" spans="1:25" x14ac:dyDescent="0.25">
      <c r="A36" s="171"/>
      <c r="B36" s="171"/>
      <c r="C36" s="171"/>
      <c r="D36" s="171"/>
      <c r="E36" s="171"/>
      <c r="F36" s="171"/>
      <c r="G36" s="171" t="s">
        <v>60</v>
      </c>
      <c r="H36" s="171"/>
      <c r="I36" s="171"/>
      <c r="J36" s="161">
        <v>3160</v>
      </c>
      <c r="L36" s="171"/>
      <c r="M36" s="171"/>
      <c r="N36" s="171"/>
      <c r="O36" s="171"/>
      <c r="P36" s="171"/>
      <c r="Q36" s="171" t="s">
        <v>60</v>
      </c>
      <c r="R36" s="171"/>
      <c r="S36" s="171"/>
      <c r="T36" s="138">
        <v>-40873</v>
      </c>
      <c r="V36" s="61" t="s">
        <v>12</v>
      </c>
      <c r="W36" s="204">
        <f>SUM(W22:W34)</f>
        <v>-198687.31999999998</v>
      </c>
    </row>
    <row r="37" spans="1:25" ht="15.75" thickBot="1" x14ac:dyDescent="0.3">
      <c r="A37" s="171"/>
      <c r="B37" s="171"/>
      <c r="C37" s="171"/>
      <c r="D37" s="171"/>
      <c r="E37" s="171"/>
      <c r="F37" s="171"/>
      <c r="G37" s="171" t="s">
        <v>511</v>
      </c>
      <c r="H37" s="171"/>
      <c r="I37" s="171"/>
      <c r="J37" s="209">
        <v>24548</v>
      </c>
      <c r="L37" s="171"/>
      <c r="M37" s="171"/>
      <c r="N37" s="171"/>
      <c r="O37" s="171"/>
      <c r="P37" s="171"/>
      <c r="Q37" s="171" t="s">
        <v>511</v>
      </c>
      <c r="R37" s="171"/>
      <c r="S37" s="171"/>
      <c r="T37" s="143">
        <v>39233</v>
      </c>
    </row>
    <row r="38" spans="1:25" x14ac:dyDescent="0.25">
      <c r="A38" s="213"/>
      <c r="B38" s="213"/>
      <c r="C38" s="213"/>
      <c r="D38" s="213"/>
      <c r="E38" s="213"/>
      <c r="F38" s="213" t="s">
        <v>61</v>
      </c>
      <c r="G38" s="213"/>
      <c r="H38" s="213"/>
      <c r="I38" s="213"/>
      <c r="J38" s="214">
        <f>ROUND(SUM(J33:J37),5)</f>
        <v>4209190.0199999996</v>
      </c>
      <c r="K38" s="215"/>
      <c r="L38" s="213"/>
      <c r="M38" s="213"/>
      <c r="N38" s="213"/>
      <c r="O38" s="213"/>
      <c r="P38" s="213" t="s">
        <v>61</v>
      </c>
      <c r="Q38" s="213"/>
      <c r="R38" s="213"/>
      <c r="S38" s="213"/>
      <c r="T38" s="214">
        <f>ROUND(SUM(T33:T37),5)</f>
        <v>4004557.02</v>
      </c>
      <c r="V38" s="21"/>
    </row>
    <row r="39" spans="1:25" x14ac:dyDescent="0.25">
      <c r="A39" s="171"/>
      <c r="B39" s="171"/>
      <c r="C39" s="171"/>
      <c r="D39" s="171"/>
      <c r="E39" s="171"/>
      <c r="F39" s="171" t="s">
        <v>62</v>
      </c>
      <c r="G39" s="171"/>
      <c r="H39" s="171"/>
      <c r="I39" s="171"/>
      <c r="J39" s="161"/>
      <c r="L39" s="171"/>
      <c r="M39" s="171"/>
      <c r="N39" s="171"/>
      <c r="O39" s="171"/>
      <c r="P39" s="171" t="s">
        <v>62</v>
      </c>
      <c r="Q39" s="171"/>
      <c r="R39" s="171"/>
      <c r="S39" s="171"/>
      <c r="T39" s="138"/>
      <c r="V39" s="21"/>
    </row>
    <row r="40" spans="1:25" x14ac:dyDescent="0.25">
      <c r="A40" s="171"/>
      <c r="B40" s="171"/>
      <c r="C40" s="171"/>
      <c r="D40" s="171"/>
      <c r="E40" s="171"/>
      <c r="F40" s="171"/>
      <c r="G40" s="171" t="s">
        <v>63</v>
      </c>
      <c r="H40" s="171"/>
      <c r="I40" s="171"/>
      <c r="J40" s="161">
        <v>953255.01</v>
      </c>
      <c r="L40" s="171"/>
      <c r="M40" s="171"/>
      <c r="N40" s="171"/>
      <c r="O40" s="171"/>
      <c r="P40" s="171"/>
      <c r="Q40" s="171" t="s">
        <v>63</v>
      </c>
      <c r="R40" s="171"/>
      <c r="S40" s="171"/>
      <c r="T40" s="138">
        <v>971155</v>
      </c>
    </row>
    <row r="41" spans="1:25" x14ac:dyDescent="0.25">
      <c r="A41" s="171"/>
      <c r="B41" s="171"/>
      <c r="C41" s="171"/>
      <c r="D41" s="171"/>
      <c r="E41" s="171"/>
      <c r="F41" s="171"/>
      <c r="G41" s="171" t="s">
        <v>512</v>
      </c>
      <c r="H41" s="171"/>
      <c r="I41" s="171"/>
      <c r="J41" s="161">
        <v>109998.6</v>
      </c>
      <c r="L41" s="171"/>
      <c r="M41" s="171"/>
      <c r="N41" s="171"/>
      <c r="O41" s="171"/>
      <c r="P41" s="171"/>
      <c r="Q41" s="171" t="s">
        <v>512</v>
      </c>
      <c r="R41" s="171"/>
      <c r="S41" s="171"/>
      <c r="T41" s="138">
        <v>116544.6</v>
      </c>
    </row>
    <row r="42" spans="1:25" x14ac:dyDescent="0.25">
      <c r="A42" s="171"/>
      <c r="B42" s="171"/>
      <c r="C42" s="171"/>
      <c r="D42" s="171"/>
      <c r="E42" s="171"/>
      <c r="F42" s="171"/>
      <c r="G42" s="171" t="s">
        <v>513</v>
      </c>
      <c r="H42" s="171"/>
      <c r="I42" s="171"/>
      <c r="J42" s="161">
        <v>27499.65</v>
      </c>
      <c r="L42" s="171"/>
      <c r="M42" s="171"/>
      <c r="N42" s="171"/>
      <c r="O42" s="171"/>
      <c r="P42" s="171"/>
      <c r="Q42" s="171" t="s">
        <v>513</v>
      </c>
      <c r="R42" s="171"/>
      <c r="S42" s="171"/>
      <c r="T42" s="138">
        <v>29136.15</v>
      </c>
      <c r="W42" s="23"/>
    </row>
    <row r="43" spans="1:25" x14ac:dyDescent="0.25">
      <c r="A43" s="171"/>
      <c r="B43" s="171"/>
      <c r="C43" s="171"/>
      <c r="D43" s="171"/>
      <c r="E43" s="171"/>
      <c r="F43" s="171"/>
      <c r="G43" s="171" t="s">
        <v>64</v>
      </c>
      <c r="H43" s="171"/>
      <c r="I43" s="171"/>
      <c r="J43" s="161">
        <v>370211.78</v>
      </c>
      <c r="L43" s="171"/>
      <c r="M43" s="171"/>
      <c r="N43" s="171"/>
      <c r="O43" s="171"/>
      <c r="P43" s="171"/>
      <c r="Q43" s="171" t="s">
        <v>64</v>
      </c>
      <c r="R43" s="171"/>
      <c r="S43" s="171"/>
      <c r="T43" s="138">
        <v>342345.79</v>
      </c>
      <c r="W43" s="23"/>
    </row>
    <row r="44" spans="1:25" x14ac:dyDescent="0.25">
      <c r="A44" s="171"/>
      <c r="B44" s="171"/>
      <c r="C44" s="171"/>
      <c r="D44" s="171"/>
      <c r="E44" s="171"/>
      <c r="F44" s="171"/>
      <c r="G44" s="171" t="s">
        <v>65</v>
      </c>
      <c r="H44" s="171"/>
      <c r="I44" s="171"/>
      <c r="J44" s="161">
        <v>73896.47</v>
      </c>
      <c r="L44" s="171"/>
      <c r="M44" s="171"/>
      <c r="N44" s="171"/>
      <c r="O44" s="171"/>
      <c r="P44" s="171"/>
      <c r="Q44" s="171" t="s">
        <v>65</v>
      </c>
      <c r="R44" s="171"/>
      <c r="S44" s="171"/>
      <c r="T44" s="138">
        <v>104139.77</v>
      </c>
    </row>
    <row r="45" spans="1:25" ht="15.75" thickBot="1" x14ac:dyDescent="0.3">
      <c r="A45" s="171"/>
      <c r="B45" s="171"/>
      <c r="C45" s="171"/>
      <c r="D45" s="171"/>
      <c r="E45" s="171"/>
      <c r="F45" s="171"/>
      <c r="G45" s="171" t="s">
        <v>66</v>
      </c>
      <c r="H45" s="171"/>
      <c r="I45" s="171"/>
      <c r="J45" s="209">
        <v>36989.620000000003</v>
      </c>
      <c r="L45" s="171"/>
      <c r="M45" s="171"/>
      <c r="N45" s="171"/>
      <c r="O45" s="171"/>
      <c r="P45" s="171"/>
      <c r="Q45" s="171" t="s">
        <v>66</v>
      </c>
      <c r="R45" s="171"/>
      <c r="S45" s="171"/>
      <c r="T45" s="143">
        <v>66539.44</v>
      </c>
    </row>
    <row r="46" spans="1:25" x14ac:dyDescent="0.25">
      <c r="A46" s="213"/>
      <c r="B46" s="213"/>
      <c r="C46" s="213"/>
      <c r="D46" s="213"/>
      <c r="E46" s="213"/>
      <c r="F46" s="213" t="s">
        <v>67</v>
      </c>
      <c r="G46" s="213"/>
      <c r="H46" s="213"/>
      <c r="I46" s="213"/>
      <c r="J46" s="214">
        <f>ROUND(SUM(J39:J45),5)</f>
        <v>1571851.13</v>
      </c>
      <c r="K46" s="215"/>
      <c r="L46" s="213"/>
      <c r="M46" s="213"/>
      <c r="N46" s="213"/>
      <c r="O46" s="213"/>
      <c r="P46" s="213" t="s">
        <v>67</v>
      </c>
      <c r="Q46" s="213"/>
      <c r="R46" s="213"/>
      <c r="S46" s="213"/>
      <c r="T46" s="214">
        <f>ROUND(SUM(T39:T45),5)</f>
        <v>1629860.75</v>
      </c>
    </row>
    <row r="47" spans="1:25" x14ac:dyDescent="0.25">
      <c r="A47" s="171"/>
      <c r="B47" s="171"/>
      <c r="C47" s="171"/>
      <c r="D47" s="171"/>
      <c r="E47" s="171"/>
      <c r="F47" s="171" t="s">
        <v>514</v>
      </c>
      <c r="G47" s="171"/>
      <c r="H47" s="171"/>
      <c r="I47" s="171"/>
      <c r="J47" s="161"/>
      <c r="L47" s="171"/>
      <c r="M47" s="171"/>
      <c r="N47" s="171"/>
      <c r="O47" s="171"/>
      <c r="P47" s="171" t="s">
        <v>514</v>
      </c>
      <c r="Q47" s="171"/>
      <c r="R47" s="171"/>
      <c r="S47" s="171"/>
      <c r="T47" s="138"/>
    </row>
    <row r="48" spans="1:25" ht="15.75" thickBot="1" x14ac:dyDescent="0.3">
      <c r="A48" s="171"/>
      <c r="B48" s="171"/>
      <c r="C48" s="171"/>
      <c r="D48" s="171"/>
      <c r="E48" s="171"/>
      <c r="F48" s="171"/>
      <c r="G48" s="171" t="s">
        <v>515</v>
      </c>
      <c r="H48" s="171"/>
      <c r="I48" s="171"/>
      <c r="J48" s="162">
        <v>23208</v>
      </c>
      <c r="L48" s="171"/>
      <c r="M48" s="171"/>
      <c r="N48" s="171"/>
      <c r="O48" s="171"/>
      <c r="P48" s="171"/>
      <c r="Q48" s="171" t="s">
        <v>515</v>
      </c>
      <c r="R48" s="171"/>
      <c r="S48" s="171"/>
      <c r="T48" s="143">
        <v>142248</v>
      </c>
    </row>
    <row r="49" spans="1:20" ht="15.75" thickBot="1" x14ac:dyDescent="0.3">
      <c r="A49" s="171"/>
      <c r="B49" s="171"/>
      <c r="C49" s="171"/>
      <c r="D49" s="171"/>
      <c r="E49" s="171"/>
      <c r="F49" s="171" t="s">
        <v>516</v>
      </c>
      <c r="G49" s="171"/>
      <c r="H49" s="171"/>
      <c r="I49" s="171"/>
      <c r="J49" s="210">
        <f>ROUND(SUM(J47:J48),5)</f>
        <v>23208</v>
      </c>
      <c r="L49" s="171"/>
      <c r="M49" s="171"/>
      <c r="N49" s="171"/>
      <c r="O49" s="171"/>
      <c r="P49" s="171" t="s">
        <v>516</v>
      </c>
      <c r="Q49" s="171"/>
      <c r="R49" s="171"/>
      <c r="S49" s="171"/>
      <c r="T49" s="138">
        <f>ROUND(SUM(T47:T48),5)</f>
        <v>142248</v>
      </c>
    </row>
    <row r="50" spans="1:20" ht="15.75" thickBot="1" x14ac:dyDescent="0.3">
      <c r="A50" s="171"/>
      <c r="B50" s="171"/>
      <c r="C50" s="171"/>
      <c r="D50" s="171"/>
      <c r="E50" s="171"/>
      <c r="F50" s="171"/>
      <c r="G50" s="171"/>
      <c r="H50" s="171"/>
      <c r="I50" s="171"/>
      <c r="J50" s="210"/>
      <c r="L50" s="171"/>
      <c r="M50" s="171"/>
      <c r="N50" s="171"/>
      <c r="O50" s="171"/>
      <c r="P50" s="171" t="s">
        <v>624</v>
      </c>
      <c r="Q50" s="171"/>
      <c r="R50" s="171"/>
      <c r="S50" s="171"/>
      <c r="T50" s="139">
        <v>30564.18</v>
      </c>
    </row>
    <row r="51" spans="1:20" ht="15.75" thickBot="1" x14ac:dyDescent="0.3">
      <c r="A51" s="171"/>
      <c r="B51" s="171"/>
      <c r="C51" s="171"/>
      <c r="D51" s="171"/>
      <c r="E51" s="171" t="s">
        <v>71</v>
      </c>
      <c r="F51" s="171"/>
      <c r="G51" s="171"/>
      <c r="H51" s="171"/>
      <c r="I51" s="171"/>
      <c r="J51" s="210">
        <f>ROUND(J15+J21+J32+J38+J46+J49,5)</f>
        <v>7706127.1900000004</v>
      </c>
      <c r="L51" s="171"/>
      <c r="M51" s="171"/>
      <c r="N51" s="171"/>
      <c r="O51" s="171" t="s">
        <v>71</v>
      </c>
      <c r="P51" s="171"/>
      <c r="Q51" s="171"/>
      <c r="R51" s="171"/>
      <c r="S51" s="171"/>
      <c r="T51" s="140">
        <f>ROUND(T15+T21+T32+T38+T46+SUM(T49:T50),5)</f>
        <v>9390060.6600000001</v>
      </c>
    </row>
    <row r="52" spans="1:20" ht="15.75" thickBot="1" x14ac:dyDescent="0.3">
      <c r="A52" s="213"/>
      <c r="B52" s="213"/>
      <c r="C52" s="213"/>
      <c r="D52" s="213" t="s">
        <v>72</v>
      </c>
      <c r="E52" s="213"/>
      <c r="F52" s="213"/>
      <c r="G52" s="213"/>
      <c r="H52" s="213"/>
      <c r="I52" s="213"/>
      <c r="J52" s="216">
        <f>ROUND(SUM(J13:J13)+J51,5)</f>
        <v>7706127.1900000004</v>
      </c>
      <c r="K52" s="215"/>
      <c r="L52" s="213"/>
      <c r="M52" s="213"/>
      <c r="N52" s="213" t="s">
        <v>72</v>
      </c>
      <c r="O52" s="213"/>
      <c r="P52" s="213"/>
      <c r="Q52" s="213"/>
      <c r="R52" s="213"/>
      <c r="S52" s="213"/>
      <c r="T52" s="216">
        <f>ROUND(SUM(T13:T14)+T51,5)</f>
        <v>9398537.4499999993</v>
      </c>
    </row>
    <row r="53" spans="1:20" x14ac:dyDescent="0.25">
      <c r="A53" s="171"/>
      <c r="B53" s="171"/>
      <c r="C53" s="171" t="s">
        <v>73</v>
      </c>
      <c r="D53" s="171"/>
      <c r="E53" s="171"/>
      <c r="F53" s="171"/>
      <c r="G53" s="171"/>
      <c r="H53" s="171"/>
      <c r="I53" s="171"/>
      <c r="J53" s="161">
        <f>ROUND(J12-J52,5)</f>
        <v>6268649.6200000001</v>
      </c>
      <c r="L53" s="171"/>
      <c r="M53" s="171" t="s">
        <v>73</v>
      </c>
      <c r="N53" s="171"/>
      <c r="O53" s="171"/>
      <c r="P53" s="171"/>
      <c r="Q53" s="171"/>
      <c r="R53" s="171"/>
      <c r="S53" s="171"/>
      <c r="T53" s="138">
        <f>ROUND(T12-T52,5)</f>
        <v>4559627.4800000004</v>
      </c>
    </row>
    <row r="54" spans="1:20" x14ac:dyDescent="0.25">
      <c r="A54" s="171"/>
      <c r="B54" s="171"/>
      <c r="C54" s="171"/>
      <c r="D54" s="171" t="s">
        <v>74</v>
      </c>
      <c r="E54" s="171"/>
      <c r="F54" s="171"/>
      <c r="G54" s="171"/>
      <c r="H54" s="171"/>
      <c r="I54" s="171"/>
      <c r="J54" s="161"/>
      <c r="L54" s="171"/>
      <c r="M54" s="171"/>
      <c r="N54" s="171" t="s">
        <v>74</v>
      </c>
      <c r="O54" s="171"/>
      <c r="P54" s="171"/>
      <c r="Q54" s="171"/>
      <c r="R54" s="171"/>
      <c r="S54" s="171"/>
      <c r="T54" s="138"/>
    </row>
    <row r="55" spans="1:20" x14ac:dyDescent="0.25">
      <c r="A55" s="171"/>
      <c r="B55" s="171"/>
      <c r="C55" s="171"/>
      <c r="D55" s="171"/>
      <c r="E55" s="171" t="s">
        <v>75</v>
      </c>
      <c r="F55" s="171"/>
      <c r="G55" s="171"/>
      <c r="H55" s="171"/>
      <c r="I55" s="171"/>
      <c r="J55" s="161"/>
      <c r="L55" s="171"/>
      <c r="M55" s="171"/>
      <c r="N55" s="171"/>
      <c r="O55" s="171" t="s">
        <v>75</v>
      </c>
      <c r="P55" s="171"/>
      <c r="Q55" s="171"/>
      <c r="R55" s="171"/>
      <c r="S55" s="171"/>
      <c r="T55" s="138"/>
    </row>
    <row r="56" spans="1:20" x14ac:dyDescent="0.25">
      <c r="A56" s="171"/>
      <c r="B56" s="171"/>
      <c r="C56" s="171"/>
      <c r="D56" s="171"/>
      <c r="E56" s="171"/>
      <c r="F56" s="171" t="s">
        <v>189</v>
      </c>
      <c r="G56" s="171"/>
      <c r="H56" s="171"/>
      <c r="I56" s="171"/>
      <c r="J56" s="161"/>
      <c r="L56" s="171"/>
      <c r="M56" s="171"/>
      <c r="N56" s="171"/>
      <c r="O56" s="171"/>
      <c r="P56" s="171" t="s">
        <v>189</v>
      </c>
      <c r="Q56" s="171"/>
      <c r="R56" s="171"/>
      <c r="S56" s="171"/>
      <c r="T56" s="138"/>
    </row>
    <row r="57" spans="1:20" x14ac:dyDescent="0.25">
      <c r="A57" s="171"/>
      <c r="B57" s="171"/>
      <c r="C57" s="171"/>
      <c r="D57" s="171"/>
      <c r="E57" s="171"/>
      <c r="F57" s="171"/>
      <c r="G57" s="171" t="s">
        <v>76</v>
      </c>
      <c r="H57" s="171"/>
      <c r="I57" s="171"/>
      <c r="J57" s="161"/>
      <c r="L57" s="171"/>
      <c r="M57" s="171"/>
      <c r="N57" s="171"/>
      <c r="O57" s="171"/>
      <c r="P57" s="171"/>
      <c r="Q57" s="171" t="s">
        <v>76</v>
      </c>
      <c r="R57" s="171"/>
      <c r="S57" s="171"/>
      <c r="T57" s="138"/>
    </row>
    <row r="58" spans="1:20" x14ac:dyDescent="0.25">
      <c r="A58" s="171"/>
      <c r="B58" s="171"/>
      <c r="C58" s="171"/>
      <c r="D58" s="171"/>
      <c r="E58" s="171"/>
      <c r="F58" s="171"/>
      <c r="G58" s="171"/>
      <c r="H58" s="171" t="s">
        <v>77</v>
      </c>
      <c r="I58" s="171"/>
      <c r="J58" s="161">
        <v>6000</v>
      </c>
      <c r="L58" s="171"/>
      <c r="M58" s="171"/>
      <c r="N58" s="171"/>
      <c r="O58" s="171"/>
      <c r="P58" s="171"/>
      <c r="Q58" s="171"/>
      <c r="R58" s="171" t="s">
        <v>77</v>
      </c>
      <c r="S58" s="171"/>
      <c r="T58" s="138">
        <v>6000</v>
      </c>
    </row>
    <row r="59" spans="1:20" x14ac:dyDescent="0.25">
      <c r="A59" s="171"/>
      <c r="B59" s="171"/>
      <c r="C59" s="171"/>
      <c r="D59" s="171"/>
      <c r="E59" s="171"/>
      <c r="F59" s="171"/>
      <c r="G59" s="171"/>
      <c r="H59" s="171" t="s">
        <v>78</v>
      </c>
      <c r="I59" s="171"/>
      <c r="J59" s="161">
        <v>43581.2</v>
      </c>
      <c r="L59" s="171"/>
      <c r="M59" s="171"/>
      <c r="N59" s="171"/>
      <c r="O59" s="171"/>
      <c r="P59" s="171"/>
      <c r="Q59" s="171"/>
      <c r="R59" s="171" t="s">
        <v>78</v>
      </c>
      <c r="S59" s="171"/>
      <c r="T59" s="138">
        <v>43581.2</v>
      </c>
    </row>
    <row r="60" spans="1:20" x14ac:dyDescent="0.25">
      <c r="A60" s="171"/>
      <c r="B60" s="171"/>
      <c r="C60" s="171"/>
      <c r="D60" s="171"/>
      <c r="E60" s="171"/>
      <c r="F60" s="171"/>
      <c r="G60" s="171"/>
      <c r="H60" s="171" t="s">
        <v>80</v>
      </c>
      <c r="I60" s="171"/>
      <c r="J60" s="161">
        <v>720</v>
      </c>
      <c r="L60" s="171"/>
      <c r="M60" s="171"/>
      <c r="N60" s="171"/>
      <c r="O60" s="171"/>
      <c r="P60" s="171"/>
      <c r="Q60" s="171"/>
      <c r="R60" s="171" t="s">
        <v>80</v>
      </c>
      <c r="S60" s="171"/>
      <c r="T60" s="138">
        <v>720</v>
      </c>
    </row>
    <row r="61" spans="1:20" x14ac:dyDescent="0.25">
      <c r="A61" s="171"/>
      <c r="B61" s="171"/>
      <c r="C61" s="171"/>
      <c r="D61" s="171"/>
      <c r="E61" s="171"/>
      <c r="F61" s="171"/>
      <c r="G61" s="171"/>
      <c r="H61" s="171" t="s">
        <v>453</v>
      </c>
      <c r="I61" s="171"/>
      <c r="J61" s="161">
        <v>2998.8</v>
      </c>
      <c r="L61" s="171"/>
      <c r="M61" s="171"/>
      <c r="N61" s="171"/>
      <c r="O61" s="171"/>
      <c r="P61" s="171"/>
      <c r="Q61" s="171"/>
      <c r="R61" s="171" t="s">
        <v>81</v>
      </c>
      <c r="S61" s="171"/>
      <c r="T61" s="138"/>
    </row>
    <row r="62" spans="1:20" ht="15.75" thickBot="1" x14ac:dyDescent="0.3">
      <c r="A62" s="171"/>
      <c r="B62" s="171"/>
      <c r="C62" s="171"/>
      <c r="D62" s="171"/>
      <c r="E62" s="171"/>
      <c r="F62" s="171"/>
      <c r="G62" s="171"/>
      <c r="H62" s="171" t="s">
        <v>81</v>
      </c>
      <c r="I62" s="171"/>
      <c r="J62" s="161"/>
      <c r="L62" s="171"/>
      <c r="M62" s="171"/>
      <c r="N62" s="171"/>
      <c r="O62" s="171"/>
      <c r="P62" s="171"/>
      <c r="Q62" s="171"/>
      <c r="R62" s="171"/>
      <c r="S62" s="171" t="s">
        <v>82</v>
      </c>
      <c r="T62" s="143">
        <v>11655</v>
      </c>
    </row>
    <row r="63" spans="1:20" ht="15.75" thickBot="1" x14ac:dyDescent="0.3">
      <c r="A63" s="171"/>
      <c r="B63" s="171"/>
      <c r="C63" s="171"/>
      <c r="D63" s="171"/>
      <c r="E63" s="171"/>
      <c r="F63" s="171"/>
      <c r="G63" s="171"/>
      <c r="H63" s="171"/>
      <c r="I63" s="171" t="s">
        <v>82</v>
      </c>
      <c r="J63" s="209">
        <v>11655</v>
      </c>
      <c r="L63" s="171"/>
      <c r="M63" s="171"/>
      <c r="N63" s="171"/>
      <c r="O63" s="171"/>
      <c r="P63" s="171"/>
      <c r="Q63" s="171"/>
      <c r="R63" s="171" t="s">
        <v>83</v>
      </c>
      <c r="S63" s="171"/>
      <c r="T63" s="138">
        <f>ROUND(SUM(T61:T62),5)</f>
        <v>11655</v>
      </c>
    </row>
    <row r="64" spans="1:20" x14ac:dyDescent="0.25">
      <c r="A64" s="171"/>
      <c r="B64" s="171"/>
      <c r="C64" s="171"/>
      <c r="D64" s="171"/>
      <c r="E64" s="171"/>
      <c r="F64" s="171"/>
      <c r="G64" s="171"/>
      <c r="H64" s="171" t="s">
        <v>83</v>
      </c>
      <c r="I64" s="171"/>
      <c r="J64" s="161">
        <f>ROUND(SUM(J62:J63),5)</f>
        <v>11655</v>
      </c>
      <c r="L64" s="171"/>
      <c r="M64" s="171"/>
      <c r="N64" s="171"/>
      <c r="O64" s="171"/>
      <c r="P64" s="171"/>
      <c r="Q64" s="171"/>
      <c r="R64" s="171" t="s">
        <v>190</v>
      </c>
      <c r="S64" s="171"/>
      <c r="T64" s="138">
        <v>75282</v>
      </c>
    </row>
    <row r="65" spans="1:20" x14ac:dyDescent="0.25">
      <c r="A65" s="171"/>
      <c r="B65" s="171"/>
      <c r="C65" s="171"/>
      <c r="D65" s="171"/>
      <c r="E65" s="171"/>
      <c r="F65" s="171"/>
      <c r="G65" s="171"/>
      <c r="H65" s="171" t="s">
        <v>190</v>
      </c>
      <c r="I65" s="171"/>
      <c r="J65" s="161">
        <v>75282</v>
      </c>
      <c r="L65" s="171"/>
      <c r="M65" s="171"/>
      <c r="N65" s="171"/>
      <c r="O65" s="171"/>
      <c r="P65" s="171"/>
      <c r="Q65" s="171"/>
      <c r="R65" s="171" t="s">
        <v>84</v>
      </c>
      <c r="S65" s="171"/>
      <c r="T65" s="138">
        <v>79068</v>
      </c>
    </row>
    <row r="66" spans="1:20" x14ac:dyDescent="0.25">
      <c r="A66" s="171"/>
      <c r="B66" s="171"/>
      <c r="C66" s="171"/>
      <c r="D66" s="171"/>
      <c r="E66" s="171"/>
      <c r="F66" s="171"/>
      <c r="G66" s="171"/>
      <c r="H66" s="171" t="s">
        <v>84</v>
      </c>
      <c r="I66" s="171"/>
      <c r="J66" s="161">
        <v>79068</v>
      </c>
      <c r="L66" s="171"/>
      <c r="M66" s="171"/>
      <c r="N66" s="171"/>
      <c r="O66" s="171"/>
      <c r="P66" s="171"/>
      <c r="Q66" s="171"/>
      <c r="R66" s="171" t="s">
        <v>517</v>
      </c>
      <c r="S66" s="171"/>
      <c r="T66" s="138"/>
    </row>
    <row r="67" spans="1:20" x14ac:dyDescent="0.25">
      <c r="A67" s="171"/>
      <c r="B67" s="171"/>
      <c r="C67" s="171"/>
      <c r="D67" s="171"/>
      <c r="E67" s="171"/>
      <c r="F67" s="171"/>
      <c r="G67" s="171"/>
      <c r="H67" s="171" t="s">
        <v>517</v>
      </c>
      <c r="I67" s="171"/>
      <c r="J67" s="161"/>
      <c r="L67" s="171"/>
      <c r="M67" s="171"/>
      <c r="N67" s="171"/>
      <c r="O67" s="171"/>
      <c r="P67" s="171"/>
      <c r="Q67" s="171"/>
      <c r="R67" s="171"/>
      <c r="S67" s="171" t="s">
        <v>518</v>
      </c>
      <c r="T67" s="138">
        <v>7101.61</v>
      </c>
    </row>
    <row r="68" spans="1:20" ht="15.75" thickBot="1" x14ac:dyDescent="0.3">
      <c r="A68" s="171"/>
      <c r="B68" s="171"/>
      <c r="C68" s="171"/>
      <c r="D68" s="171"/>
      <c r="E68" s="171"/>
      <c r="F68" s="171"/>
      <c r="G68" s="171"/>
      <c r="H68" s="171"/>
      <c r="I68" s="171" t="s">
        <v>518</v>
      </c>
      <c r="J68" s="161">
        <v>7101.61</v>
      </c>
      <c r="L68" s="171"/>
      <c r="M68" s="171"/>
      <c r="N68" s="171"/>
      <c r="O68" s="171"/>
      <c r="P68" s="171"/>
      <c r="Q68" s="171"/>
      <c r="R68" s="171"/>
      <c r="S68" s="171" t="s">
        <v>519</v>
      </c>
      <c r="T68" s="143">
        <v>8465.0400000000009</v>
      </c>
    </row>
    <row r="69" spans="1:20" ht="15.75" thickBot="1" x14ac:dyDescent="0.3">
      <c r="A69" s="171"/>
      <c r="B69" s="171"/>
      <c r="C69" s="171"/>
      <c r="D69" s="171"/>
      <c r="E69" s="171"/>
      <c r="F69" s="171"/>
      <c r="G69" s="171"/>
      <c r="H69" s="171"/>
      <c r="I69" s="171" t="s">
        <v>519</v>
      </c>
      <c r="J69" s="209">
        <v>8465.0400000000009</v>
      </c>
      <c r="L69" s="171"/>
      <c r="M69" s="171"/>
      <c r="N69" s="171"/>
      <c r="O69" s="171"/>
      <c r="P69" s="171"/>
      <c r="Q69" s="171"/>
      <c r="R69" s="171" t="s">
        <v>520</v>
      </c>
      <c r="S69" s="171"/>
      <c r="T69" s="138">
        <f>ROUND(SUM(T66:T68),5)</f>
        <v>15566.65</v>
      </c>
    </row>
    <row r="70" spans="1:20" ht="15.75" thickBot="1" x14ac:dyDescent="0.3">
      <c r="A70" s="171"/>
      <c r="B70" s="171"/>
      <c r="C70" s="171"/>
      <c r="D70" s="171"/>
      <c r="E70" s="171"/>
      <c r="F70" s="171"/>
      <c r="G70" s="171"/>
      <c r="H70" s="171" t="s">
        <v>520</v>
      </c>
      <c r="I70" s="171"/>
      <c r="J70" s="161">
        <f>ROUND(SUM(J67:J69),5)</f>
        <v>15566.65</v>
      </c>
      <c r="L70" s="171"/>
      <c r="M70" s="171"/>
      <c r="N70" s="171"/>
      <c r="O70" s="171"/>
      <c r="P70" s="171"/>
      <c r="Q70" s="171"/>
      <c r="R70" s="171" t="s">
        <v>521</v>
      </c>
      <c r="S70" s="171"/>
      <c r="T70" s="143">
        <v>6000</v>
      </c>
    </row>
    <row r="71" spans="1:20" ht="15.75" thickBot="1" x14ac:dyDescent="0.3">
      <c r="A71" s="171"/>
      <c r="B71" s="171"/>
      <c r="C71" s="171"/>
      <c r="D71" s="171"/>
      <c r="E71" s="171"/>
      <c r="F71" s="171"/>
      <c r="G71" s="171"/>
      <c r="H71" s="171" t="s">
        <v>521</v>
      </c>
      <c r="I71" s="171"/>
      <c r="J71" s="209">
        <v>6000</v>
      </c>
      <c r="L71" s="171"/>
      <c r="M71" s="171"/>
      <c r="N71" s="171"/>
      <c r="O71" s="171"/>
      <c r="P71" s="171"/>
      <c r="Q71" s="171" t="s">
        <v>85</v>
      </c>
      <c r="R71" s="171"/>
      <c r="S71" s="171"/>
      <c r="T71" s="138">
        <f>ROUND(SUM(T57:T60)+SUM(T63:T65)+SUM(T69:T70),5)</f>
        <v>237872.85</v>
      </c>
    </row>
    <row r="72" spans="1:20" x14ac:dyDescent="0.25">
      <c r="A72" s="171"/>
      <c r="B72" s="171"/>
      <c r="C72" s="171"/>
      <c r="D72" s="171"/>
      <c r="E72" s="171"/>
      <c r="F72" s="171"/>
      <c r="G72" s="171" t="s">
        <v>85</v>
      </c>
      <c r="H72" s="171"/>
      <c r="I72" s="171"/>
      <c r="J72" s="161">
        <f>ROUND(SUM(J57:J61)+SUM(J64:J66)+SUM(J70:J71),5)</f>
        <v>240871.65</v>
      </c>
      <c r="L72" s="171"/>
      <c r="M72" s="171"/>
      <c r="N72" s="171"/>
      <c r="O72" s="171"/>
      <c r="P72" s="171"/>
      <c r="Q72" s="171" t="s">
        <v>86</v>
      </c>
      <c r="R72" s="171"/>
      <c r="S72" s="171"/>
      <c r="T72" s="138"/>
    </row>
    <row r="73" spans="1:20" x14ac:dyDescent="0.25">
      <c r="A73" s="171"/>
      <c r="B73" s="171"/>
      <c r="C73" s="171"/>
      <c r="D73" s="171"/>
      <c r="E73" s="171"/>
      <c r="F73" s="171"/>
      <c r="G73" s="171" t="s">
        <v>86</v>
      </c>
      <c r="H73" s="171"/>
      <c r="I73" s="171"/>
      <c r="J73" s="161"/>
      <c r="L73" s="171"/>
      <c r="M73" s="171"/>
      <c r="N73" s="171"/>
      <c r="O73" s="171"/>
      <c r="P73" s="171"/>
      <c r="Q73" s="171"/>
      <c r="R73" s="171" t="s">
        <v>87</v>
      </c>
      <c r="S73" s="171"/>
      <c r="T73" s="138">
        <v>264000</v>
      </c>
    </row>
    <row r="74" spans="1:20" x14ac:dyDescent="0.25">
      <c r="A74" s="171"/>
      <c r="B74" s="171"/>
      <c r="C74" s="171"/>
      <c r="D74" s="171"/>
      <c r="E74" s="171"/>
      <c r="F74" s="171"/>
      <c r="G74" s="171"/>
      <c r="H74" s="171" t="s">
        <v>87</v>
      </c>
      <c r="I74" s="171"/>
      <c r="J74" s="161">
        <v>117000</v>
      </c>
      <c r="L74" s="171"/>
      <c r="M74" s="171"/>
      <c r="N74" s="171"/>
      <c r="O74" s="171"/>
      <c r="P74" s="171"/>
      <c r="Q74" s="171"/>
      <c r="R74" s="171" t="s">
        <v>522</v>
      </c>
      <c r="S74" s="171"/>
      <c r="T74" s="138">
        <v>31680</v>
      </c>
    </row>
    <row r="75" spans="1:20" x14ac:dyDescent="0.25">
      <c r="A75" s="171"/>
      <c r="B75" s="171"/>
      <c r="C75" s="171"/>
      <c r="D75" s="171"/>
      <c r="E75" s="171"/>
      <c r="F75" s="171"/>
      <c r="G75" s="171"/>
      <c r="H75" s="171" t="s">
        <v>522</v>
      </c>
      <c r="I75" s="171"/>
      <c r="J75" s="161">
        <v>23880</v>
      </c>
      <c r="L75" s="171"/>
      <c r="M75" s="171"/>
      <c r="N75" s="171"/>
      <c r="O75" s="171"/>
      <c r="P75" s="171"/>
      <c r="Q75" s="171"/>
      <c r="R75" s="171" t="s">
        <v>523</v>
      </c>
      <c r="S75" s="171"/>
      <c r="T75" s="138">
        <v>7920</v>
      </c>
    </row>
    <row r="76" spans="1:20" x14ac:dyDescent="0.25">
      <c r="A76" s="171"/>
      <c r="B76" s="171"/>
      <c r="C76" s="171"/>
      <c r="D76" s="171"/>
      <c r="E76" s="171"/>
      <c r="F76" s="171"/>
      <c r="G76" s="171"/>
      <c r="H76" s="171" t="s">
        <v>523</v>
      </c>
      <c r="I76" s="171"/>
      <c r="J76" s="161">
        <v>5970</v>
      </c>
      <c r="L76" s="171"/>
      <c r="M76" s="171"/>
      <c r="N76" s="171"/>
      <c r="O76" s="171"/>
      <c r="P76" s="171"/>
      <c r="Q76" s="171"/>
      <c r="R76" s="171" t="s">
        <v>524</v>
      </c>
      <c r="S76" s="171"/>
      <c r="T76" s="138">
        <v>73000</v>
      </c>
    </row>
    <row r="77" spans="1:20" x14ac:dyDescent="0.25">
      <c r="A77" s="171"/>
      <c r="B77" s="171"/>
      <c r="C77" s="171"/>
      <c r="D77" s="171"/>
      <c r="E77" s="171"/>
      <c r="F77" s="171"/>
      <c r="G77" s="171"/>
      <c r="H77" s="171" t="s">
        <v>524</v>
      </c>
      <c r="I77" s="171"/>
      <c r="J77" s="161">
        <v>18000</v>
      </c>
      <c r="L77" s="171"/>
      <c r="M77" s="171"/>
      <c r="N77" s="171"/>
      <c r="O77" s="171"/>
      <c r="P77" s="171"/>
      <c r="Q77" s="171"/>
      <c r="R77" s="171" t="s">
        <v>88</v>
      </c>
      <c r="S77" s="171"/>
      <c r="T77" s="138">
        <v>0</v>
      </c>
    </row>
    <row r="78" spans="1:20" ht="15.75" thickBot="1" x14ac:dyDescent="0.3">
      <c r="A78" s="171"/>
      <c r="B78" s="171"/>
      <c r="C78" s="171"/>
      <c r="D78" s="171"/>
      <c r="E78" s="171"/>
      <c r="F78" s="171"/>
      <c r="G78" s="171"/>
      <c r="H78" s="171" t="s">
        <v>88</v>
      </c>
      <c r="I78" s="171"/>
      <c r="J78" s="161">
        <v>10000</v>
      </c>
      <c r="L78" s="171"/>
      <c r="M78" s="171"/>
      <c r="N78" s="171"/>
      <c r="O78" s="171"/>
      <c r="P78" s="171"/>
      <c r="Q78" s="171"/>
      <c r="R78" s="171" t="s">
        <v>89</v>
      </c>
      <c r="S78" s="171"/>
      <c r="T78" s="143">
        <v>38000</v>
      </c>
    </row>
    <row r="79" spans="1:20" ht="15.75" thickBot="1" x14ac:dyDescent="0.3">
      <c r="A79" s="171"/>
      <c r="B79" s="171"/>
      <c r="C79" s="171"/>
      <c r="D79" s="171"/>
      <c r="E79" s="171"/>
      <c r="F79" s="171"/>
      <c r="G79" s="171"/>
      <c r="H79" s="171" t="s">
        <v>89</v>
      </c>
      <c r="I79" s="171"/>
      <c r="J79" s="209">
        <v>38000</v>
      </c>
      <c r="L79" s="171"/>
      <c r="M79" s="171"/>
      <c r="N79" s="171"/>
      <c r="O79" s="171"/>
      <c r="P79" s="171"/>
      <c r="Q79" s="171" t="s">
        <v>91</v>
      </c>
      <c r="R79" s="171"/>
      <c r="S79" s="171"/>
      <c r="T79" s="138">
        <f>ROUND(SUM(T72:T78),5)</f>
        <v>414600</v>
      </c>
    </row>
    <row r="80" spans="1:20" x14ac:dyDescent="0.25">
      <c r="A80" s="171"/>
      <c r="B80" s="171"/>
      <c r="C80" s="171"/>
      <c r="D80" s="171"/>
      <c r="E80" s="171"/>
      <c r="F80" s="171"/>
      <c r="G80" s="171" t="s">
        <v>91</v>
      </c>
      <c r="H80" s="171"/>
      <c r="I80" s="171"/>
      <c r="J80" s="161">
        <f>ROUND(SUM(J73:J79),5)</f>
        <v>212850</v>
      </c>
      <c r="L80" s="171"/>
      <c r="M80" s="171"/>
      <c r="N80" s="171"/>
      <c r="O80" s="171"/>
      <c r="P80" s="171"/>
      <c r="Q80" s="171" t="s">
        <v>92</v>
      </c>
      <c r="R80" s="171"/>
      <c r="S80" s="171"/>
      <c r="T80" s="138"/>
    </row>
    <row r="81" spans="1:20" x14ac:dyDescent="0.25">
      <c r="A81" s="171"/>
      <c r="B81" s="171"/>
      <c r="C81" s="171"/>
      <c r="D81" s="171"/>
      <c r="E81" s="171"/>
      <c r="F81" s="171"/>
      <c r="G81" s="171" t="s">
        <v>92</v>
      </c>
      <c r="H81" s="171"/>
      <c r="I81" s="171"/>
      <c r="J81" s="161"/>
      <c r="L81" s="171"/>
      <c r="M81" s="171"/>
      <c r="N81" s="171"/>
      <c r="O81" s="171"/>
      <c r="P81" s="171"/>
      <c r="Q81" s="171"/>
      <c r="R81" s="171" t="s">
        <v>93</v>
      </c>
      <c r="S81" s="171"/>
      <c r="T81" s="138">
        <v>1338.88</v>
      </c>
    </row>
    <row r="82" spans="1:20" x14ac:dyDescent="0.25">
      <c r="A82" s="171"/>
      <c r="B82" s="171"/>
      <c r="C82" s="171"/>
      <c r="D82" s="171"/>
      <c r="E82" s="171"/>
      <c r="F82" s="171"/>
      <c r="G82" s="171"/>
      <c r="H82" s="171" t="s">
        <v>93</v>
      </c>
      <c r="I82" s="171"/>
      <c r="J82" s="161">
        <v>33338.879999999997</v>
      </c>
      <c r="L82" s="171"/>
      <c r="M82" s="171"/>
      <c r="N82" s="171"/>
      <c r="O82" s="171"/>
      <c r="P82" s="171"/>
      <c r="Q82" s="171"/>
      <c r="R82" s="171" t="s">
        <v>525</v>
      </c>
      <c r="S82" s="171"/>
      <c r="T82" s="138">
        <v>6700.27</v>
      </c>
    </row>
    <row r="83" spans="1:20" x14ac:dyDescent="0.25">
      <c r="A83" s="171"/>
      <c r="B83" s="171"/>
      <c r="C83" s="171"/>
      <c r="D83" s="171"/>
      <c r="E83" s="171"/>
      <c r="F83" s="171"/>
      <c r="G83" s="171"/>
      <c r="H83" s="171" t="s">
        <v>525</v>
      </c>
      <c r="I83" s="171"/>
      <c r="J83" s="161">
        <v>6700.27</v>
      </c>
      <c r="L83" s="171"/>
      <c r="M83" s="171"/>
      <c r="N83" s="171"/>
      <c r="O83" s="171"/>
      <c r="P83" s="171"/>
      <c r="Q83" s="171"/>
      <c r="R83" s="171" t="s">
        <v>94</v>
      </c>
      <c r="S83" s="171"/>
      <c r="T83" s="138">
        <v>10672.31</v>
      </c>
    </row>
    <row r="84" spans="1:20" x14ac:dyDescent="0.25">
      <c r="A84" s="171"/>
      <c r="B84" s="171"/>
      <c r="C84" s="171"/>
      <c r="D84" s="171"/>
      <c r="E84" s="171"/>
      <c r="F84" s="171"/>
      <c r="G84" s="171"/>
      <c r="H84" s="171" t="s">
        <v>94</v>
      </c>
      <c r="I84" s="171"/>
      <c r="J84" s="161">
        <v>10234.799999999999</v>
      </c>
      <c r="L84" s="171"/>
      <c r="M84" s="171"/>
      <c r="N84" s="171"/>
      <c r="O84" s="171"/>
      <c r="P84" s="171"/>
      <c r="Q84" s="171"/>
      <c r="R84" s="171" t="s">
        <v>95</v>
      </c>
      <c r="S84" s="171"/>
      <c r="T84" s="138">
        <v>9077.4599999999991</v>
      </c>
    </row>
    <row r="85" spans="1:20" ht="15.75" thickBot="1" x14ac:dyDescent="0.3">
      <c r="A85" s="171"/>
      <c r="B85" s="171"/>
      <c r="C85" s="171"/>
      <c r="D85" s="171"/>
      <c r="E85" s="171"/>
      <c r="F85" s="171"/>
      <c r="G85" s="171"/>
      <c r="H85" s="171" t="s">
        <v>95</v>
      </c>
      <c r="I85" s="171"/>
      <c r="J85" s="161">
        <v>22861.86</v>
      </c>
      <c r="L85" s="171"/>
      <c r="M85" s="171"/>
      <c r="N85" s="171"/>
      <c r="O85" s="171"/>
      <c r="P85" s="171"/>
      <c r="Q85" s="171"/>
      <c r="R85" s="171" t="s">
        <v>526</v>
      </c>
      <c r="S85" s="171"/>
      <c r="T85" s="143">
        <v>43301.88</v>
      </c>
    </row>
    <row r="86" spans="1:20" ht="15.75" thickBot="1" x14ac:dyDescent="0.3">
      <c r="A86" s="171"/>
      <c r="B86" s="171"/>
      <c r="C86" s="171"/>
      <c r="D86" s="171"/>
      <c r="E86" s="171"/>
      <c r="F86" s="171"/>
      <c r="G86" s="171"/>
      <c r="H86" s="171" t="s">
        <v>526</v>
      </c>
      <c r="I86" s="171"/>
      <c r="J86" s="209">
        <v>43301.88</v>
      </c>
      <c r="L86" s="171"/>
      <c r="M86" s="171"/>
      <c r="N86" s="171"/>
      <c r="O86" s="171"/>
      <c r="P86" s="171"/>
      <c r="Q86" s="171" t="s">
        <v>96</v>
      </c>
      <c r="R86" s="171"/>
      <c r="S86" s="171"/>
      <c r="T86" s="138">
        <f>ROUND(SUM(T80:T85),5)</f>
        <v>71090.8</v>
      </c>
    </row>
    <row r="87" spans="1:20" x14ac:dyDescent="0.25">
      <c r="A87" s="171"/>
      <c r="B87" s="171"/>
      <c r="C87" s="171"/>
      <c r="D87" s="171"/>
      <c r="E87" s="171"/>
      <c r="F87" s="171"/>
      <c r="G87" s="171" t="s">
        <v>96</v>
      </c>
      <c r="H87" s="171"/>
      <c r="I87" s="171"/>
      <c r="J87" s="161">
        <f>ROUND(SUM(J81:J86),5)</f>
        <v>116437.69</v>
      </c>
      <c r="L87" s="171"/>
      <c r="M87" s="171"/>
      <c r="N87" s="171"/>
      <c r="O87" s="171"/>
      <c r="P87" s="171"/>
      <c r="Q87" s="171" t="s">
        <v>97</v>
      </c>
      <c r="R87" s="171"/>
      <c r="S87" s="171"/>
      <c r="T87" s="138"/>
    </row>
    <row r="88" spans="1:20" x14ac:dyDescent="0.25">
      <c r="A88" s="171"/>
      <c r="B88" s="171"/>
      <c r="C88" s="171"/>
      <c r="D88" s="171"/>
      <c r="E88" s="171"/>
      <c r="F88" s="171"/>
      <c r="G88" s="171" t="s">
        <v>97</v>
      </c>
      <c r="H88" s="171"/>
      <c r="I88" s="171"/>
      <c r="J88" s="161"/>
      <c r="L88" s="171"/>
      <c r="M88" s="171"/>
      <c r="N88" s="171"/>
      <c r="O88" s="171"/>
      <c r="P88" s="171"/>
      <c r="Q88" s="171"/>
      <c r="R88" s="171" t="s">
        <v>98</v>
      </c>
      <c r="S88" s="171"/>
      <c r="T88" s="138">
        <v>70</v>
      </c>
    </row>
    <row r="89" spans="1:20" x14ac:dyDescent="0.25">
      <c r="A89" s="171"/>
      <c r="B89" s="171"/>
      <c r="C89" s="171"/>
      <c r="D89" s="171"/>
      <c r="E89" s="171"/>
      <c r="F89" s="171"/>
      <c r="G89" s="171"/>
      <c r="H89" s="171" t="s">
        <v>98</v>
      </c>
      <c r="I89" s="171"/>
      <c r="J89" s="161">
        <v>70</v>
      </c>
      <c r="L89" s="171"/>
      <c r="M89" s="171"/>
      <c r="N89" s="171"/>
      <c r="O89" s="171"/>
      <c r="P89" s="171"/>
      <c r="Q89" s="171"/>
      <c r="R89" s="171" t="s">
        <v>99</v>
      </c>
      <c r="S89" s="171"/>
      <c r="T89" s="138">
        <v>1000</v>
      </c>
    </row>
    <row r="90" spans="1:20" x14ac:dyDescent="0.25">
      <c r="A90" s="171"/>
      <c r="B90" s="171"/>
      <c r="C90" s="171"/>
      <c r="D90" s="171"/>
      <c r="E90" s="171"/>
      <c r="F90" s="171"/>
      <c r="G90" s="171"/>
      <c r="H90" s="171" t="s">
        <v>99</v>
      </c>
      <c r="I90" s="171"/>
      <c r="J90" s="161">
        <v>1000</v>
      </c>
      <c r="L90" s="171"/>
      <c r="M90" s="171"/>
      <c r="N90" s="171"/>
      <c r="O90" s="171"/>
      <c r="P90" s="171"/>
      <c r="Q90" s="171"/>
      <c r="R90" s="171" t="s">
        <v>100</v>
      </c>
      <c r="S90" s="171"/>
      <c r="T90" s="138">
        <v>7000</v>
      </c>
    </row>
    <row r="91" spans="1:20" ht="15.75" thickBot="1" x14ac:dyDescent="0.3">
      <c r="A91" s="171"/>
      <c r="B91" s="171"/>
      <c r="C91" s="171"/>
      <c r="D91" s="171"/>
      <c r="E91" s="171"/>
      <c r="F91" s="171"/>
      <c r="G91" s="171"/>
      <c r="H91" s="171" t="s">
        <v>100</v>
      </c>
      <c r="I91" s="171"/>
      <c r="J91" s="161">
        <v>7000</v>
      </c>
      <c r="L91" s="171"/>
      <c r="M91" s="171"/>
      <c r="N91" s="171"/>
      <c r="O91" s="171"/>
      <c r="P91" s="171"/>
      <c r="Q91" s="171"/>
      <c r="R91" s="171" t="s">
        <v>527</v>
      </c>
      <c r="S91" s="171"/>
      <c r="T91" s="143">
        <v>9000</v>
      </c>
    </row>
    <row r="92" spans="1:20" ht="15.75" thickBot="1" x14ac:dyDescent="0.3">
      <c r="A92" s="171"/>
      <c r="B92" s="171"/>
      <c r="C92" s="171"/>
      <c r="D92" s="171"/>
      <c r="E92" s="171"/>
      <c r="F92" s="171"/>
      <c r="G92" s="171"/>
      <c r="H92" s="171" t="s">
        <v>527</v>
      </c>
      <c r="I92" s="171"/>
      <c r="J92" s="209">
        <v>9000</v>
      </c>
      <c r="L92" s="171"/>
      <c r="M92" s="171"/>
      <c r="N92" s="171"/>
      <c r="O92" s="171"/>
      <c r="P92" s="171"/>
      <c r="Q92" s="171" t="s">
        <v>102</v>
      </c>
      <c r="R92" s="171"/>
      <c r="S92" s="171"/>
      <c r="T92" s="138">
        <f>ROUND(SUM(T87:T91),5)</f>
        <v>17070</v>
      </c>
    </row>
    <row r="93" spans="1:20" x14ac:dyDescent="0.25">
      <c r="A93" s="171"/>
      <c r="B93" s="171"/>
      <c r="C93" s="171"/>
      <c r="D93" s="171"/>
      <c r="E93" s="171"/>
      <c r="F93" s="171"/>
      <c r="G93" s="171" t="s">
        <v>102</v>
      </c>
      <c r="H93" s="171"/>
      <c r="I93" s="171"/>
      <c r="J93" s="161">
        <f>ROUND(SUM(J88:J92),5)</f>
        <v>17070</v>
      </c>
      <c r="L93" s="171"/>
      <c r="M93" s="171"/>
      <c r="N93" s="171"/>
      <c r="O93" s="171"/>
      <c r="P93" s="171"/>
      <c r="Q93" s="171" t="s">
        <v>103</v>
      </c>
      <c r="R93" s="171"/>
      <c r="S93" s="171"/>
      <c r="T93" s="138"/>
    </row>
    <row r="94" spans="1:20" x14ac:dyDescent="0.25">
      <c r="A94" s="171"/>
      <c r="B94" s="171"/>
      <c r="C94" s="171"/>
      <c r="D94" s="171"/>
      <c r="E94" s="171"/>
      <c r="F94" s="171"/>
      <c r="G94" s="171" t="s">
        <v>103</v>
      </c>
      <c r="H94" s="171"/>
      <c r="I94" s="171"/>
      <c r="J94" s="161"/>
      <c r="L94" s="171"/>
      <c r="M94" s="171"/>
      <c r="N94" s="171"/>
      <c r="O94" s="171"/>
      <c r="P94" s="171"/>
      <c r="Q94" s="171"/>
      <c r="R94" s="171" t="s">
        <v>104</v>
      </c>
      <c r="S94" s="171"/>
      <c r="T94" s="138">
        <v>23941</v>
      </c>
    </row>
    <row r="95" spans="1:20" x14ac:dyDescent="0.25">
      <c r="A95" s="171"/>
      <c r="B95" s="171"/>
      <c r="C95" s="171"/>
      <c r="D95" s="171"/>
      <c r="E95" s="171"/>
      <c r="F95" s="171"/>
      <c r="G95" s="171"/>
      <c r="H95" s="171" t="s">
        <v>104</v>
      </c>
      <c r="I95" s="171"/>
      <c r="J95" s="161">
        <v>23941</v>
      </c>
      <c r="L95" s="171"/>
      <c r="M95" s="171"/>
      <c r="N95" s="171"/>
      <c r="O95" s="171"/>
      <c r="P95" s="171"/>
      <c r="Q95" s="171"/>
      <c r="R95" s="171" t="s">
        <v>105</v>
      </c>
      <c r="S95" s="171"/>
      <c r="T95" s="138">
        <v>7200</v>
      </c>
    </row>
    <row r="96" spans="1:20" x14ac:dyDescent="0.25">
      <c r="A96" s="171"/>
      <c r="B96" s="171"/>
      <c r="C96" s="171"/>
      <c r="D96" s="171"/>
      <c r="E96" s="171"/>
      <c r="F96" s="171"/>
      <c r="G96" s="171"/>
      <c r="H96" s="171" t="s">
        <v>105</v>
      </c>
      <c r="I96" s="171"/>
      <c r="J96" s="161">
        <v>7200</v>
      </c>
      <c r="L96" s="171"/>
      <c r="M96" s="171"/>
      <c r="N96" s="171"/>
      <c r="O96" s="171"/>
      <c r="P96" s="171"/>
      <c r="Q96" s="171"/>
      <c r="R96" s="171" t="s">
        <v>106</v>
      </c>
      <c r="S96" s="171"/>
      <c r="T96" s="138">
        <v>8342.5</v>
      </c>
    </row>
    <row r="97" spans="1:20" x14ac:dyDescent="0.25">
      <c r="A97" s="171"/>
      <c r="B97" s="171"/>
      <c r="C97" s="171"/>
      <c r="D97" s="171"/>
      <c r="E97" s="171"/>
      <c r="F97" s="171"/>
      <c r="G97" s="171"/>
      <c r="H97" s="171" t="s">
        <v>106</v>
      </c>
      <c r="I97" s="171"/>
      <c r="J97" s="161">
        <v>8342.5</v>
      </c>
      <c r="L97" s="171"/>
      <c r="M97" s="171"/>
      <c r="N97" s="171"/>
      <c r="O97" s="171"/>
      <c r="P97" s="171"/>
      <c r="Q97" s="171"/>
      <c r="R97" s="171" t="s">
        <v>455</v>
      </c>
      <c r="S97" s="171"/>
      <c r="T97" s="138">
        <v>83334</v>
      </c>
    </row>
    <row r="98" spans="1:20" x14ac:dyDescent="0.25">
      <c r="A98" s="171"/>
      <c r="B98" s="171"/>
      <c r="C98" s="171"/>
      <c r="D98" s="171"/>
      <c r="E98" s="171"/>
      <c r="F98" s="171"/>
      <c r="G98" s="171"/>
      <c r="H98" s="171" t="s">
        <v>455</v>
      </c>
      <c r="I98" s="171"/>
      <c r="J98" s="161">
        <v>87210</v>
      </c>
      <c r="L98" s="171"/>
      <c r="M98" s="171"/>
      <c r="N98" s="171"/>
      <c r="O98" s="171"/>
      <c r="P98" s="171"/>
      <c r="Q98" s="171"/>
      <c r="R98" s="171" t="s">
        <v>107</v>
      </c>
      <c r="S98" s="171"/>
      <c r="T98" s="138">
        <v>3300</v>
      </c>
    </row>
    <row r="99" spans="1:20" x14ac:dyDescent="0.25">
      <c r="A99" s="171"/>
      <c r="B99" s="171"/>
      <c r="C99" s="171"/>
      <c r="D99" s="171"/>
      <c r="E99" s="171"/>
      <c r="F99" s="171"/>
      <c r="G99" s="171"/>
      <c r="H99" s="171" t="s">
        <v>107</v>
      </c>
      <c r="I99" s="171"/>
      <c r="J99" s="161">
        <v>3300</v>
      </c>
      <c r="L99" s="171"/>
      <c r="M99" s="171"/>
      <c r="N99" s="171"/>
      <c r="O99" s="171"/>
      <c r="P99" s="171"/>
      <c r="Q99" s="171"/>
      <c r="R99" s="171" t="s">
        <v>528</v>
      </c>
      <c r="S99" s="171"/>
      <c r="T99" s="138">
        <v>136850.54</v>
      </c>
    </row>
    <row r="100" spans="1:20" x14ac:dyDescent="0.25">
      <c r="A100" s="171"/>
      <c r="B100" s="171"/>
      <c r="C100" s="171"/>
      <c r="D100" s="171"/>
      <c r="E100" s="171"/>
      <c r="F100" s="171"/>
      <c r="G100" s="171"/>
      <c r="H100" s="171" t="s">
        <v>528</v>
      </c>
      <c r="I100" s="171"/>
      <c r="J100" s="161">
        <v>136850.54</v>
      </c>
      <c r="L100" s="171"/>
      <c r="M100" s="171"/>
      <c r="N100" s="171"/>
      <c r="O100" s="171"/>
      <c r="P100" s="171"/>
      <c r="Q100" s="171"/>
      <c r="R100" s="171" t="s">
        <v>529</v>
      </c>
      <c r="S100" s="171"/>
      <c r="T100" s="138">
        <v>134366.23000000001</v>
      </c>
    </row>
    <row r="101" spans="1:20" x14ac:dyDescent="0.25">
      <c r="A101" s="171"/>
      <c r="B101" s="171"/>
      <c r="C101" s="171"/>
      <c r="D101" s="171"/>
      <c r="E101" s="171"/>
      <c r="F101" s="171"/>
      <c r="G101" s="171"/>
      <c r="H101" s="171" t="s">
        <v>529</v>
      </c>
      <c r="I101" s="171"/>
      <c r="J101" s="161">
        <v>134366.23000000001</v>
      </c>
      <c r="L101" s="171"/>
      <c r="M101" s="171"/>
      <c r="N101" s="171"/>
      <c r="O101" s="171"/>
      <c r="P101" s="171"/>
      <c r="Q101" s="171"/>
      <c r="R101" s="171" t="s">
        <v>530</v>
      </c>
      <c r="S101" s="171"/>
      <c r="T101" s="138">
        <v>85420.41</v>
      </c>
    </row>
    <row r="102" spans="1:20" ht="15.75" thickBot="1" x14ac:dyDescent="0.3">
      <c r="A102" s="171"/>
      <c r="B102" s="171"/>
      <c r="C102" s="171"/>
      <c r="D102" s="171"/>
      <c r="E102" s="171"/>
      <c r="F102" s="171"/>
      <c r="G102" s="171"/>
      <c r="H102" s="171" t="s">
        <v>530</v>
      </c>
      <c r="I102" s="171"/>
      <c r="J102" s="161">
        <v>85420.41</v>
      </c>
      <c r="L102" s="171"/>
      <c r="M102" s="171"/>
      <c r="N102" s="171"/>
      <c r="O102" s="171"/>
      <c r="P102" s="171"/>
      <c r="Q102" s="171"/>
      <c r="R102" s="171" t="s">
        <v>475</v>
      </c>
      <c r="S102" s="171"/>
      <c r="T102" s="143">
        <v>5600</v>
      </c>
    </row>
    <row r="103" spans="1:20" ht="15.75" thickBot="1" x14ac:dyDescent="0.3">
      <c r="A103" s="171"/>
      <c r="B103" s="171"/>
      <c r="C103" s="171"/>
      <c r="D103" s="171"/>
      <c r="E103" s="171"/>
      <c r="F103" s="171"/>
      <c r="G103" s="171"/>
      <c r="H103" s="171" t="s">
        <v>475</v>
      </c>
      <c r="I103" s="171"/>
      <c r="J103" s="209">
        <v>5600</v>
      </c>
      <c r="L103" s="171"/>
      <c r="M103" s="171"/>
      <c r="N103" s="171"/>
      <c r="O103" s="171"/>
      <c r="P103" s="171"/>
      <c r="Q103" s="171" t="s">
        <v>108</v>
      </c>
      <c r="R103" s="171"/>
      <c r="S103" s="171"/>
      <c r="T103" s="138">
        <f>ROUND(SUM(T93:T102),5)</f>
        <v>488354.68</v>
      </c>
    </row>
    <row r="104" spans="1:20" x14ac:dyDescent="0.25">
      <c r="A104" s="171"/>
      <c r="B104" s="171"/>
      <c r="C104" s="171"/>
      <c r="D104" s="171"/>
      <c r="E104" s="171"/>
      <c r="F104" s="171"/>
      <c r="G104" s="171" t="s">
        <v>108</v>
      </c>
      <c r="H104" s="171"/>
      <c r="I104" s="171"/>
      <c r="J104" s="161">
        <f>ROUND(SUM(J94:J103),5)</f>
        <v>492230.68</v>
      </c>
      <c r="L104" s="171"/>
      <c r="M104" s="171"/>
      <c r="N104" s="171"/>
      <c r="O104" s="171"/>
      <c r="P104" s="171"/>
      <c r="Q104" s="171" t="s">
        <v>456</v>
      </c>
      <c r="R104" s="171"/>
      <c r="S104" s="171"/>
      <c r="T104" s="138"/>
    </row>
    <row r="105" spans="1:20" x14ac:dyDescent="0.25">
      <c r="A105" s="171"/>
      <c r="B105" s="171"/>
      <c r="C105" s="171"/>
      <c r="D105" s="171"/>
      <c r="E105" s="171"/>
      <c r="F105" s="171"/>
      <c r="G105" s="171" t="s">
        <v>456</v>
      </c>
      <c r="H105" s="171"/>
      <c r="I105" s="171"/>
      <c r="J105" s="161"/>
      <c r="L105" s="171"/>
      <c r="M105" s="171"/>
      <c r="N105" s="171"/>
      <c r="O105" s="171"/>
      <c r="P105" s="171"/>
      <c r="Q105" s="171"/>
      <c r="R105" s="171" t="s">
        <v>531</v>
      </c>
      <c r="S105" s="171"/>
      <c r="T105" s="138">
        <v>204226.38</v>
      </c>
    </row>
    <row r="106" spans="1:20" ht="15.75" thickBot="1" x14ac:dyDescent="0.3">
      <c r="A106" s="171"/>
      <c r="B106" s="171"/>
      <c r="C106" s="171"/>
      <c r="D106" s="171"/>
      <c r="E106" s="171"/>
      <c r="F106" s="171"/>
      <c r="G106" s="171"/>
      <c r="H106" s="171" t="s">
        <v>531</v>
      </c>
      <c r="I106" s="171"/>
      <c r="J106" s="161">
        <v>214314.28</v>
      </c>
      <c r="L106" s="171"/>
      <c r="M106" s="171"/>
      <c r="N106" s="171"/>
      <c r="O106" s="171"/>
      <c r="P106" s="171"/>
      <c r="Q106" s="171"/>
      <c r="R106" s="171" t="s">
        <v>476</v>
      </c>
      <c r="S106" s="171"/>
      <c r="T106" s="139">
        <v>6059.77</v>
      </c>
    </row>
    <row r="107" spans="1:20" ht="15.75" thickBot="1" x14ac:dyDescent="0.3">
      <c r="A107" s="171"/>
      <c r="B107" s="171"/>
      <c r="C107" s="171"/>
      <c r="D107" s="171"/>
      <c r="E107" s="171"/>
      <c r="F107" s="171"/>
      <c r="G107" s="171"/>
      <c r="H107" s="171" t="s">
        <v>476</v>
      </c>
      <c r="I107" s="171"/>
      <c r="J107" s="162">
        <v>6059.77</v>
      </c>
      <c r="L107" s="171"/>
      <c r="M107" s="171"/>
      <c r="N107" s="171"/>
      <c r="O107" s="171"/>
      <c r="P107" s="171"/>
      <c r="Q107" s="171" t="s">
        <v>458</v>
      </c>
      <c r="R107" s="171"/>
      <c r="S107" s="171"/>
      <c r="T107" s="141">
        <f>ROUND(SUM(T104:T106),5)</f>
        <v>210286.15</v>
      </c>
    </row>
    <row r="108" spans="1:20" ht="15.75" thickBot="1" x14ac:dyDescent="0.3">
      <c r="A108" s="171"/>
      <c r="B108" s="171"/>
      <c r="C108" s="171"/>
      <c r="D108" s="171"/>
      <c r="E108" s="171"/>
      <c r="F108" s="171"/>
      <c r="G108" s="171" t="s">
        <v>458</v>
      </c>
      <c r="H108" s="171"/>
      <c r="I108" s="171"/>
      <c r="J108" s="208">
        <f>ROUND(SUM(J105:J107),5)</f>
        <v>220374.05</v>
      </c>
      <c r="L108" s="171"/>
      <c r="M108" s="171"/>
      <c r="N108" s="171"/>
      <c r="O108" s="171"/>
      <c r="P108" s="171" t="s">
        <v>191</v>
      </c>
      <c r="Q108" s="171"/>
      <c r="R108" s="171"/>
      <c r="S108" s="171"/>
      <c r="T108" s="138">
        <f>ROUND(T56+T71+T79+T86+T92+T103+T107,5)</f>
        <v>1439274.48</v>
      </c>
    </row>
    <row r="109" spans="1:20" x14ac:dyDescent="0.25">
      <c r="A109" s="171"/>
      <c r="B109" s="171"/>
      <c r="C109" s="171"/>
      <c r="D109" s="171"/>
      <c r="E109" s="171"/>
      <c r="F109" s="171" t="s">
        <v>191</v>
      </c>
      <c r="G109" s="171"/>
      <c r="H109" s="171"/>
      <c r="I109" s="171"/>
      <c r="J109" s="161">
        <f>ROUND(J56+J72+J80+J87+J93+J104+J108,5)</f>
        <v>1299834.07</v>
      </c>
      <c r="L109" s="171"/>
      <c r="M109" s="171"/>
      <c r="N109" s="171"/>
      <c r="O109" s="171"/>
      <c r="P109" s="171" t="s">
        <v>109</v>
      </c>
      <c r="Q109" s="171"/>
      <c r="R109" s="171"/>
      <c r="S109" s="171"/>
      <c r="T109" s="138"/>
    </row>
    <row r="110" spans="1:20" x14ac:dyDescent="0.25">
      <c r="A110" s="171"/>
      <c r="B110" s="171"/>
      <c r="C110" s="171"/>
      <c r="D110" s="171"/>
      <c r="E110" s="171"/>
      <c r="F110" s="171" t="s">
        <v>109</v>
      </c>
      <c r="G110" s="171"/>
      <c r="H110" s="171"/>
      <c r="I110" s="171"/>
      <c r="J110" s="161"/>
      <c r="L110" s="171"/>
      <c r="M110" s="171"/>
      <c r="N110" s="171"/>
      <c r="O110" s="171"/>
      <c r="P110" s="171"/>
      <c r="Q110" s="171" t="s">
        <v>110</v>
      </c>
      <c r="R110" s="171"/>
      <c r="S110" s="171"/>
      <c r="T110" s="138"/>
    </row>
    <row r="111" spans="1:20" x14ac:dyDescent="0.25">
      <c r="A111" s="171"/>
      <c r="B111" s="171"/>
      <c r="C111" s="171"/>
      <c r="D111" s="171"/>
      <c r="E111" s="171"/>
      <c r="F111" s="171"/>
      <c r="G111" s="171" t="s">
        <v>110</v>
      </c>
      <c r="H111" s="171"/>
      <c r="I111" s="171"/>
      <c r="J111" s="161"/>
      <c r="L111" s="171"/>
      <c r="M111" s="171"/>
      <c r="N111" s="171"/>
      <c r="O111" s="171"/>
      <c r="P111" s="171"/>
      <c r="Q111" s="171"/>
      <c r="R111" s="171" t="s">
        <v>112</v>
      </c>
      <c r="S111" s="171"/>
      <c r="T111" s="138">
        <v>100916.8</v>
      </c>
    </row>
    <row r="112" spans="1:20" x14ac:dyDescent="0.25">
      <c r="A112" s="171"/>
      <c r="B112" s="171"/>
      <c r="C112" s="171"/>
      <c r="D112" s="171"/>
      <c r="E112" s="171"/>
      <c r="F112" s="171"/>
      <c r="G112" s="171"/>
      <c r="H112" s="171" t="s">
        <v>112</v>
      </c>
      <c r="I112" s="171"/>
      <c r="J112" s="161">
        <v>100916.8</v>
      </c>
      <c r="L112" s="171"/>
      <c r="M112" s="171"/>
      <c r="N112" s="171"/>
      <c r="O112" s="171"/>
      <c r="P112" s="171"/>
      <c r="Q112" s="171"/>
      <c r="R112" s="171" t="s">
        <v>113</v>
      </c>
      <c r="S112" s="171"/>
      <c r="T112" s="138">
        <v>31980</v>
      </c>
    </row>
    <row r="113" spans="1:20" x14ac:dyDescent="0.25">
      <c r="A113" s="171"/>
      <c r="B113" s="171"/>
      <c r="C113" s="171"/>
      <c r="D113" s="171"/>
      <c r="E113" s="171"/>
      <c r="F113" s="171"/>
      <c r="G113" s="171"/>
      <c r="H113" s="171" t="s">
        <v>113</v>
      </c>
      <c r="I113" s="171"/>
      <c r="J113" s="161">
        <v>31980</v>
      </c>
      <c r="L113" s="171"/>
      <c r="M113" s="171"/>
      <c r="N113" s="171"/>
      <c r="O113" s="171"/>
      <c r="P113" s="171"/>
      <c r="Q113" s="171"/>
      <c r="R113" s="171" t="s">
        <v>532</v>
      </c>
      <c r="S113" s="171"/>
      <c r="T113" s="138">
        <v>43776</v>
      </c>
    </row>
    <row r="114" spans="1:20" x14ac:dyDescent="0.25">
      <c r="A114" s="171"/>
      <c r="B114" s="171"/>
      <c r="C114" s="171"/>
      <c r="D114" s="171"/>
      <c r="E114" s="171"/>
      <c r="F114" s="171"/>
      <c r="G114" s="171"/>
      <c r="H114" s="171" t="s">
        <v>532</v>
      </c>
      <c r="I114" s="171"/>
      <c r="J114" s="161">
        <v>43776</v>
      </c>
      <c r="L114" s="171"/>
      <c r="M114" s="171"/>
      <c r="N114" s="171"/>
      <c r="O114" s="171"/>
      <c r="P114" s="171"/>
      <c r="Q114" s="171"/>
      <c r="R114" s="171" t="s">
        <v>114</v>
      </c>
      <c r="S114" s="171"/>
      <c r="T114" s="138">
        <v>4458.37</v>
      </c>
    </row>
    <row r="115" spans="1:20" x14ac:dyDescent="0.25">
      <c r="A115" s="171"/>
      <c r="B115" s="171"/>
      <c r="C115" s="171"/>
      <c r="D115" s="171"/>
      <c r="E115" s="171"/>
      <c r="F115" s="171"/>
      <c r="G115" s="171"/>
      <c r="H115" s="171" t="s">
        <v>114</v>
      </c>
      <c r="I115" s="171"/>
      <c r="J115" s="161">
        <v>4458.37</v>
      </c>
      <c r="L115" s="171"/>
      <c r="M115" s="171"/>
      <c r="N115" s="171"/>
      <c r="O115" s="171"/>
      <c r="P115" s="171"/>
      <c r="Q115" s="171"/>
      <c r="R115" s="171" t="s">
        <v>533</v>
      </c>
      <c r="S115" s="171"/>
      <c r="T115" s="138">
        <v>2094.23</v>
      </c>
    </row>
    <row r="116" spans="1:20" x14ac:dyDescent="0.25">
      <c r="A116" s="171"/>
      <c r="B116" s="171"/>
      <c r="C116" s="171"/>
      <c r="D116" s="171"/>
      <c r="E116" s="171"/>
      <c r="F116" s="171"/>
      <c r="G116" s="171"/>
      <c r="H116" s="171" t="s">
        <v>459</v>
      </c>
      <c r="I116" s="171"/>
      <c r="J116" s="161">
        <v>9424.7999999999993</v>
      </c>
      <c r="L116" s="171"/>
      <c r="M116" s="171"/>
      <c r="N116" s="171"/>
      <c r="O116" s="171"/>
      <c r="P116" s="171"/>
      <c r="Q116" s="171"/>
      <c r="R116" s="171" t="s">
        <v>534</v>
      </c>
      <c r="S116" s="171"/>
      <c r="T116" s="138">
        <v>7000</v>
      </c>
    </row>
    <row r="117" spans="1:20" x14ac:dyDescent="0.25">
      <c r="A117" s="171"/>
      <c r="B117" s="171"/>
      <c r="C117" s="171"/>
      <c r="D117" s="171"/>
      <c r="E117" s="171"/>
      <c r="F117" s="171"/>
      <c r="G117" s="171"/>
      <c r="H117" s="171" t="s">
        <v>533</v>
      </c>
      <c r="I117" s="171"/>
      <c r="J117" s="161">
        <v>2094.23</v>
      </c>
      <c r="L117" s="171"/>
      <c r="M117" s="171"/>
      <c r="N117" s="171"/>
      <c r="O117" s="171"/>
      <c r="P117" s="171"/>
      <c r="Q117" s="171"/>
      <c r="R117" s="171" t="s">
        <v>115</v>
      </c>
      <c r="S117" s="171"/>
      <c r="T117" s="138">
        <v>2100</v>
      </c>
    </row>
    <row r="118" spans="1:20" ht="15.75" thickBot="1" x14ac:dyDescent="0.3">
      <c r="A118" s="171"/>
      <c r="B118" s="171"/>
      <c r="C118" s="171"/>
      <c r="D118" s="171"/>
      <c r="E118" s="171"/>
      <c r="F118" s="171"/>
      <c r="G118" s="171"/>
      <c r="H118" s="171" t="s">
        <v>534</v>
      </c>
      <c r="I118" s="171"/>
      <c r="J118" s="161">
        <v>7000</v>
      </c>
      <c r="L118" s="171"/>
      <c r="M118" s="171"/>
      <c r="N118" s="171"/>
      <c r="O118" s="171"/>
      <c r="P118" s="171"/>
      <c r="Q118" s="171"/>
      <c r="R118" s="171" t="s">
        <v>535</v>
      </c>
      <c r="S118" s="171"/>
      <c r="T118" s="143">
        <v>3000</v>
      </c>
    </row>
    <row r="119" spans="1:20" x14ac:dyDescent="0.25">
      <c r="A119" s="171"/>
      <c r="B119" s="171"/>
      <c r="C119" s="171"/>
      <c r="D119" s="171"/>
      <c r="E119" s="171"/>
      <c r="F119" s="171"/>
      <c r="G119" s="171"/>
      <c r="H119" s="171" t="s">
        <v>115</v>
      </c>
      <c r="I119" s="171"/>
      <c r="J119" s="161">
        <v>2100</v>
      </c>
      <c r="L119" s="171"/>
      <c r="M119" s="171"/>
      <c r="N119" s="171"/>
      <c r="O119" s="171"/>
      <c r="P119" s="171"/>
      <c r="Q119" s="171" t="s">
        <v>116</v>
      </c>
      <c r="R119" s="171"/>
      <c r="S119" s="171"/>
      <c r="T119" s="138">
        <f>ROUND(SUM(T110:T118),5)</f>
        <v>195325.4</v>
      </c>
    </row>
    <row r="120" spans="1:20" ht="15.75" thickBot="1" x14ac:dyDescent="0.3">
      <c r="A120" s="171"/>
      <c r="B120" s="171"/>
      <c r="C120" s="171"/>
      <c r="D120" s="171"/>
      <c r="E120" s="171"/>
      <c r="F120" s="171"/>
      <c r="G120" s="171"/>
      <c r="H120" s="171" t="s">
        <v>535</v>
      </c>
      <c r="I120" s="171"/>
      <c r="J120" s="209">
        <v>3000</v>
      </c>
      <c r="L120" s="171"/>
      <c r="M120" s="171"/>
      <c r="N120" s="171"/>
      <c r="O120" s="171"/>
      <c r="P120" s="171"/>
      <c r="Q120" s="171" t="s">
        <v>117</v>
      </c>
      <c r="R120" s="171"/>
      <c r="S120" s="171"/>
      <c r="T120" s="138"/>
    </row>
    <row r="121" spans="1:20" x14ac:dyDescent="0.25">
      <c r="A121" s="171"/>
      <c r="B121" s="171"/>
      <c r="C121" s="171"/>
      <c r="D121" s="171"/>
      <c r="E121" s="171"/>
      <c r="F121" s="171"/>
      <c r="G121" s="171" t="s">
        <v>116</v>
      </c>
      <c r="H121" s="171"/>
      <c r="I121" s="171"/>
      <c r="J121" s="161">
        <f>ROUND(SUM(J111:J120),5)</f>
        <v>204750.2</v>
      </c>
      <c r="L121" s="171"/>
      <c r="M121" s="171"/>
      <c r="N121" s="171"/>
      <c r="O121" s="171"/>
      <c r="P121" s="171"/>
      <c r="Q121" s="171"/>
      <c r="R121" s="171" t="s">
        <v>118</v>
      </c>
      <c r="S121" s="171"/>
      <c r="T121" s="138">
        <v>65080</v>
      </c>
    </row>
    <row r="122" spans="1:20" x14ac:dyDescent="0.25">
      <c r="A122" s="171"/>
      <c r="B122" s="171"/>
      <c r="C122" s="171"/>
      <c r="D122" s="171"/>
      <c r="E122" s="171"/>
      <c r="F122" s="171"/>
      <c r="G122" s="171" t="s">
        <v>117</v>
      </c>
      <c r="H122" s="171"/>
      <c r="I122" s="171"/>
      <c r="J122" s="161"/>
      <c r="L122" s="171"/>
      <c r="M122" s="171"/>
      <c r="N122" s="171"/>
      <c r="O122" s="171"/>
      <c r="P122" s="171"/>
      <c r="Q122" s="171"/>
      <c r="R122" s="171" t="s">
        <v>536</v>
      </c>
      <c r="S122" s="171"/>
      <c r="T122" s="138">
        <v>4200</v>
      </c>
    </row>
    <row r="123" spans="1:20" x14ac:dyDescent="0.25">
      <c r="A123" s="171"/>
      <c r="B123" s="171"/>
      <c r="C123" s="171"/>
      <c r="D123" s="171"/>
      <c r="E123" s="171"/>
      <c r="F123" s="171"/>
      <c r="G123" s="171"/>
      <c r="H123" s="171" t="s">
        <v>118</v>
      </c>
      <c r="I123" s="171"/>
      <c r="J123" s="161">
        <v>170080</v>
      </c>
      <c r="L123" s="171"/>
      <c r="M123" s="171"/>
      <c r="N123" s="171"/>
      <c r="O123" s="171"/>
      <c r="P123" s="171"/>
      <c r="Q123" s="171"/>
      <c r="R123" s="171" t="s">
        <v>537</v>
      </c>
      <c r="S123" s="171"/>
      <c r="T123" s="138">
        <v>1050</v>
      </c>
    </row>
    <row r="124" spans="1:20" ht="15.75" thickBot="1" x14ac:dyDescent="0.3">
      <c r="A124" s="171"/>
      <c r="B124" s="171"/>
      <c r="C124" s="171"/>
      <c r="D124" s="171"/>
      <c r="E124" s="171"/>
      <c r="F124" s="171"/>
      <c r="G124" s="171"/>
      <c r="H124" s="171" t="s">
        <v>536</v>
      </c>
      <c r="I124" s="171"/>
      <c r="J124" s="161">
        <v>16800</v>
      </c>
      <c r="L124" s="171"/>
      <c r="M124" s="171"/>
      <c r="N124" s="171"/>
      <c r="O124" s="171"/>
      <c r="P124" s="171"/>
      <c r="Q124" s="171"/>
      <c r="R124" s="171" t="s">
        <v>119</v>
      </c>
      <c r="S124" s="171"/>
      <c r="T124" s="143">
        <v>30000</v>
      </c>
    </row>
    <row r="125" spans="1:20" x14ac:dyDescent="0.25">
      <c r="A125" s="171"/>
      <c r="B125" s="171"/>
      <c r="C125" s="171"/>
      <c r="D125" s="171"/>
      <c r="E125" s="171"/>
      <c r="F125" s="171"/>
      <c r="G125" s="171"/>
      <c r="H125" s="171" t="s">
        <v>537</v>
      </c>
      <c r="I125" s="171"/>
      <c r="J125" s="161">
        <v>4200</v>
      </c>
      <c r="L125" s="171"/>
      <c r="M125" s="171"/>
      <c r="N125" s="171"/>
      <c r="O125" s="171"/>
      <c r="P125" s="171"/>
      <c r="Q125" s="171" t="s">
        <v>120</v>
      </c>
      <c r="R125" s="171"/>
      <c r="S125" s="171"/>
      <c r="T125" s="138">
        <f>ROUND(SUM(T120:T124),5)</f>
        <v>100330</v>
      </c>
    </row>
    <row r="126" spans="1:20" ht="15.75" thickBot="1" x14ac:dyDescent="0.3">
      <c r="A126" s="171"/>
      <c r="B126" s="171"/>
      <c r="C126" s="171"/>
      <c r="D126" s="171"/>
      <c r="E126" s="171"/>
      <c r="F126" s="171"/>
      <c r="G126" s="171"/>
      <c r="H126" s="171" t="s">
        <v>119</v>
      </c>
      <c r="I126" s="171"/>
      <c r="J126" s="209">
        <v>70000</v>
      </c>
      <c r="L126" s="171"/>
      <c r="M126" s="171"/>
      <c r="N126" s="171"/>
      <c r="O126" s="171"/>
      <c r="P126" s="171"/>
      <c r="Q126" s="171" t="s">
        <v>121</v>
      </c>
      <c r="R126" s="171"/>
      <c r="S126" s="171"/>
      <c r="T126" s="138"/>
    </row>
    <row r="127" spans="1:20" x14ac:dyDescent="0.25">
      <c r="A127" s="171"/>
      <c r="B127" s="171"/>
      <c r="C127" s="171"/>
      <c r="D127" s="171"/>
      <c r="E127" s="171"/>
      <c r="F127" s="171"/>
      <c r="G127" s="171" t="s">
        <v>120</v>
      </c>
      <c r="H127" s="171"/>
      <c r="I127" s="171"/>
      <c r="J127" s="161">
        <f>ROUND(SUM(J122:J126),5)</f>
        <v>261080</v>
      </c>
      <c r="L127" s="171"/>
      <c r="M127" s="171"/>
      <c r="N127" s="171"/>
      <c r="O127" s="171"/>
      <c r="P127" s="171"/>
      <c r="Q127" s="171"/>
      <c r="R127" s="171" t="s">
        <v>538</v>
      </c>
      <c r="S127" s="171"/>
      <c r="T127" s="138">
        <v>26240.12</v>
      </c>
    </row>
    <row r="128" spans="1:20" x14ac:dyDescent="0.25">
      <c r="A128" s="171"/>
      <c r="B128" s="171"/>
      <c r="C128" s="171"/>
      <c r="D128" s="171"/>
      <c r="E128" s="171"/>
      <c r="F128" s="171"/>
      <c r="G128" s="171" t="s">
        <v>121</v>
      </c>
      <c r="H128" s="171"/>
      <c r="I128" s="171"/>
      <c r="J128" s="161"/>
      <c r="L128" s="171"/>
      <c r="M128" s="171"/>
      <c r="N128" s="171"/>
      <c r="O128" s="171"/>
      <c r="P128" s="171"/>
      <c r="Q128" s="171"/>
      <c r="R128" s="171" t="s">
        <v>539</v>
      </c>
      <c r="S128" s="171"/>
      <c r="T128" s="138">
        <v>10079.4</v>
      </c>
    </row>
    <row r="129" spans="1:20" x14ac:dyDescent="0.25">
      <c r="A129" s="171"/>
      <c r="B129" s="171"/>
      <c r="C129" s="171"/>
      <c r="D129" s="171"/>
      <c r="E129" s="171"/>
      <c r="F129" s="171"/>
      <c r="G129" s="171"/>
      <c r="H129" s="171" t="s">
        <v>538</v>
      </c>
      <c r="I129" s="171"/>
      <c r="J129" s="161">
        <v>21984.44</v>
      </c>
      <c r="L129" s="171"/>
      <c r="M129" s="171"/>
      <c r="N129" s="171"/>
      <c r="O129" s="171"/>
      <c r="P129" s="171"/>
      <c r="Q129" s="171"/>
      <c r="R129" s="171" t="s">
        <v>460</v>
      </c>
      <c r="S129" s="171"/>
      <c r="T129" s="138">
        <v>3433.89</v>
      </c>
    </row>
    <row r="130" spans="1:20" ht="15.75" thickBot="1" x14ac:dyDescent="0.3">
      <c r="A130" s="171"/>
      <c r="B130" s="171"/>
      <c r="C130" s="171"/>
      <c r="D130" s="171"/>
      <c r="E130" s="171"/>
      <c r="F130" s="171"/>
      <c r="G130" s="171"/>
      <c r="H130" s="171" t="s">
        <v>539</v>
      </c>
      <c r="I130" s="171"/>
      <c r="J130" s="161">
        <v>9631.9</v>
      </c>
      <c r="L130" s="171"/>
      <c r="M130" s="171"/>
      <c r="N130" s="171"/>
      <c r="O130" s="171"/>
      <c r="P130" s="171"/>
      <c r="Q130" s="171"/>
      <c r="R130" s="171" t="s">
        <v>461</v>
      </c>
      <c r="S130" s="171"/>
      <c r="T130" s="143">
        <v>5051.03</v>
      </c>
    </row>
    <row r="131" spans="1:20" x14ac:dyDescent="0.25">
      <c r="A131" s="171"/>
      <c r="B131" s="171"/>
      <c r="C131" s="171"/>
      <c r="D131" s="171"/>
      <c r="E131" s="171"/>
      <c r="F131" s="171"/>
      <c r="G131" s="171"/>
      <c r="H131" s="171" t="s">
        <v>460</v>
      </c>
      <c r="I131" s="171"/>
      <c r="J131" s="161">
        <v>2422.62</v>
      </c>
      <c r="L131" s="171"/>
      <c r="M131" s="171"/>
      <c r="N131" s="171"/>
      <c r="O131" s="171"/>
      <c r="P131" s="171"/>
      <c r="Q131" s="171" t="s">
        <v>122</v>
      </c>
      <c r="R131" s="171"/>
      <c r="S131" s="171"/>
      <c r="T131" s="138">
        <f>ROUND(SUM(T126:T130),5)</f>
        <v>44804.44</v>
      </c>
    </row>
    <row r="132" spans="1:20" ht="15.75" thickBot="1" x14ac:dyDescent="0.3">
      <c r="A132" s="171"/>
      <c r="B132" s="171"/>
      <c r="C132" s="171"/>
      <c r="D132" s="171"/>
      <c r="E132" s="171"/>
      <c r="F132" s="171"/>
      <c r="G132" s="171"/>
      <c r="H132" s="171" t="s">
        <v>461</v>
      </c>
      <c r="I132" s="171"/>
      <c r="J132" s="209">
        <v>5500.01</v>
      </c>
      <c r="L132" s="171"/>
      <c r="M132" s="171"/>
      <c r="N132" s="171"/>
      <c r="O132" s="171"/>
      <c r="P132" s="171"/>
      <c r="Q132" s="171" t="s">
        <v>123</v>
      </c>
      <c r="R132" s="171"/>
      <c r="S132" s="171"/>
      <c r="T132" s="138"/>
    </row>
    <row r="133" spans="1:20" x14ac:dyDescent="0.25">
      <c r="A133" s="171"/>
      <c r="B133" s="171"/>
      <c r="C133" s="171"/>
      <c r="D133" s="171"/>
      <c r="E133" s="171"/>
      <c r="F133" s="171"/>
      <c r="G133" s="171" t="s">
        <v>122</v>
      </c>
      <c r="H133" s="171"/>
      <c r="I133" s="171"/>
      <c r="J133" s="161">
        <f>ROUND(SUM(J128:J132),5)</f>
        <v>39538.97</v>
      </c>
      <c r="L133" s="171"/>
      <c r="M133" s="171"/>
      <c r="N133" s="171"/>
      <c r="O133" s="171"/>
      <c r="P133" s="171"/>
      <c r="Q133" s="171"/>
      <c r="R133" s="171" t="s">
        <v>540</v>
      </c>
      <c r="S133" s="171"/>
      <c r="T133" s="138">
        <v>550</v>
      </c>
    </row>
    <row r="134" spans="1:20" x14ac:dyDescent="0.25">
      <c r="A134" s="171"/>
      <c r="B134" s="171"/>
      <c r="C134" s="171"/>
      <c r="D134" s="171"/>
      <c r="E134" s="171"/>
      <c r="F134" s="171"/>
      <c r="G134" s="171" t="s">
        <v>123</v>
      </c>
      <c r="H134" s="171"/>
      <c r="I134" s="171"/>
      <c r="J134" s="161"/>
      <c r="L134" s="171"/>
      <c r="M134" s="171"/>
      <c r="N134" s="171"/>
      <c r="O134" s="171"/>
      <c r="P134" s="171"/>
      <c r="Q134" s="171"/>
      <c r="R134" s="171" t="s">
        <v>463</v>
      </c>
      <c r="S134" s="171"/>
      <c r="T134" s="138">
        <v>4337.22</v>
      </c>
    </row>
    <row r="135" spans="1:20" ht="15.75" thickBot="1" x14ac:dyDescent="0.3">
      <c r="A135" s="171"/>
      <c r="B135" s="171"/>
      <c r="C135" s="171"/>
      <c r="D135" s="171"/>
      <c r="E135" s="171"/>
      <c r="F135" s="171"/>
      <c r="G135" s="171"/>
      <c r="H135" s="171" t="s">
        <v>540</v>
      </c>
      <c r="I135" s="171"/>
      <c r="J135" s="161">
        <v>550</v>
      </c>
      <c r="L135" s="171"/>
      <c r="M135" s="171"/>
      <c r="N135" s="171"/>
      <c r="O135" s="171"/>
      <c r="P135" s="171"/>
      <c r="Q135" s="171"/>
      <c r="R135" s="171" t="s">
        <v>124</v>
      </c>
      <c r="S135" s="171"/>
      <c r="T135" s="143">
        <v>31800</v>
      </c>
    </row>
    <row r="136" spans="1:20" x14ac:dyDescent="0.25">
      <c r="A136" s="171"/>
      <c r="B136" s="171"/>
      <c r="C136" s="171"/>
      <c r="D136" s="171"/>
      <c r="E136" s="171"/>
      <c r="F136" s="171"/>
      <c r="G136" s="171"/>
      <c r="H136" s="171" t="s">
        <v>463</v>
      </c>
      <c r="I136" s="171"/>
      <c r="J136" s="161">
        <v>4337.22</v>
      </c>
      <c r="L136" s="171"/>
      <c r="M136" s="171"/>
      <c r="N136" s="171"/>
      <c r="O136" s="171"/>
      <c r="P136" s="171"/>
      <c r="Q136" s="171" t="s">
        <v>125</v>
      </c>
      <c r="R136" s="171"/>
      <c r="S136" s="171"/>
      <c r="T136" s="138">
        <f>ROUND(SUM(T132:T135),5)</f>
        <v>36687.22</v>
      </c>
    </row>
    <row r="137" spans="1:20" ht="15.75" thickBot="1" x14ac:dyDescent="0.3">
      <c r="A137" s="171"/>
      <c r="B137" s="171"/>
      <c r="C137" s="171"/>
      <c r="D137" s="171"/>
      <c r="E137" s="171"/>
      <c r="F137" s="171"/>
      <c r="G137" s="171"/>
      <c r="H137" s="171" t="s">
        <v>124</v>
      </c>
      <c r="I137" s="171"/>
      <c r="J137" s="209">
        <v>31800</v>
      </c>
      <c r="L137" s="171"/>
      <c r="M137" s="171"/>
      <c r="N137" s="171"/>
      <c r="O137" s="171"/>
      <c r="P137" s="171"/>
      <c r="Q137" s="171" t="s">
        <v>126</v>
      </c>
      <c r="R137" s="171"/>
      <c r="S137" s="171"/>
      <c r="T137" s="138"/>
    </row>
    <row r="138" spans="1:20" x14ac:dyDescent="0.25">
      <c r="A138" s="171"/>
      <c r="B138" s="171"/>
      <c r="C138" s="171"/>
      <c r="D138" s="171"/>
      <c r="E138" s="171"/>
      <c r="F138" s="171"/>
      <c r="G138" s="171" t="s">
        <v>125</v>
      </c>
      <c r="H138" s="171"/>
      <c r="I138" s="171"/>
      <c r="J138" s="161">
        <f>ROUND(SUM(J134:J137),5)</f>
        <v>36687.22</v>
      </c>
      <c r="L138" s="171"/>
      <c r="M138" s="171"/>
      <c r="N138" s="171"/>
      <c r="O138" s="171"/>
      <c r="P138" s="171"/>
      <c r="Q138" s="171"/>
      <c r="R138" s="171" t="s">
        <v>127</v>
      </c>
      <c r="S138" s="171"/>
      <c r="T138" s="138">
        <v>2690</v>
      </c>
    </row>
    <row r="139" spans="1:20" x14ac:dyDescent="0.25">
      <c r="A139" s="171"/>
      <c r="B139" s="171"/>
      <c r="C139" s="171"/>
      <c r="D139" s="171"/>
      <c r="E139" s="171"/>
      <c r="F139" s="171"/>
      <c r="G139" s="171" t="s">
        <v>126</v>
      </c>
      <c r="H139" s="171"/>
      <c r="I139" s="171"/>
      <c r="J139" s="161"/>
      <c r="L139" s="171"/>
      <c r="M139" s="171"/>
      <c r="N139" s="171"/>
      <c r="O139" s="171"/>
      <c r="P139" s="171"/>
      <c r="Q139" s="171"/>
      <c r="R139" s="171" t="s">
        <v>128</v>
      </c>
      <c r="S139" s="171"/>
      <c r="T139" s="138">
        <v>11542</v>
      </c>
    </row>
    <row r="140" spans="1:20" x14ac:dyDescent="0.25">
      <c r="A140" s="171"/>
      <c r="B140" s="171"/>
      <c r="C140" s="171"/>
      <c r="D140" s="171"/>
      <c r="E140" s="171"/>
      <c r="F140" s="171"/>
      <c r="G140" s="171"/>
      <c r="H140" s="171" t="s">
        <v>127</v>
      </c>
      <c r="I140" s="171"/>
      <c r="J140" s="161">
        <v>2690</v>
      </c>
      <c r="L140" s="171"/>
      <c r="M140" s="171"/>
      <c r="N140" s="171"/>
      <c r="O140" s="171"/>
      <c r="P140" s="171"/>
      <c r="Q140" s="171"/>
      <c r="R140" s="171" t="s">
        <v>129</v>
      </c>
      <c r="S140" s="171"/>
      <c r="T140" s="138">
        <v>5612</v>
      </c>
    </row>
    <row r="141" spans="1:20" x14ac:dyDescent="0.25">
      <c r="A141" s="171"/>
      <c r="B141" s="171"/>
      <c r="C141" s="171"/>
      <c r="D141" s="171"/>
      <c r="E141" s="171"/>
      <c r="F141" s="171"/>
      <c r="G141" s="171"/>
      <c r="H141" s="171" t="s">
        <v>128</v>
      </c>
      <c r="I141" s="171"/>
      <c r="J141" s="161">
        <v>11542</v>
      </c>
      <c r="L141" s="171"/>
      <c r="M141" s="171"/>
      <c r="N141" s="171"/>
      <c r="O141" s="171"/>
      <c r="P141" s="171"/>
      <c r="Q141" s="171"/>
      <c r="R141" s="171" t="s">
        <v>541</v>
      </c>
      <c r="S141" s="171"/>
      <c r="T141" s="138">
        <v>8000</v>
      </c>
    </row>
    <row r="142" spans="1:20" x14ac:dyDescent="0.25">
      <c r="A142" s="171"/>
      <c r="B142" s="171"/>
      <c r="C142" s="171"/>
      <c r="D142" s="171"/>
      <c r="E142" s="171"/>
      <c r="F142" s="171"/>
      <c r="G142" s="171"/>
      <c r="H142" s="171" t="s">
        <v>129</v>
      </c>
      <c r="I142" s="171"/>
      <c r="J142" s="161">
        <v>5612</v>
      </c>
      <c r="L142" s="171"/>
      <c r="M142" s="171"/>
      <c r="N142" s="171"/>
      <c r="O142" s="171"/>
      <c r="P142" s="171"/>
      <c r="Q142" s="171"/>
      <c r="R142" s="171" t="s">
        <v>542</v>
      </c>
      <c r="S142" s="171"/>
      <c r="T142" s="138">
        <v>46831.96</v>
      </c>
    </row>
    <row r="143" spans="1:20" ht="15.75" thickBot="1" x14ac:dyDescent="0.3">
      <c r="A143" s="171"/>
      <c r="B143" s="171"/>
      <c r="C143" s="171"/>
      <c r="D143" s="171"/>
      <c r="E143" s="171"/>
      <c r="F143" s="171"/>
      <c r="G143" s="171"/>
      <c r="H143" s="171" t="s">
        <v>541</v>
      </c>
      <c r="I143" s="171"/>
      <c r="J143" s="161">
        <v>8000</v>
      </c>
      <c r="L143" s="171"/>
      <c r="M143" s="171"/>
      <c r="N143" s="171"/>
      <c r="O143" s="171"/>
      <c r="P143" s="171"/>
      <c r="Q143" s="171"/>
      <c r="R143" s="171" t="s">
        <v>543</v>
      </c>
      <c r="S143" s="171"/>
      <c r="T143" s="143">
        <v>53882.96</v>
      </c>
    </row>
    <row r="144" spans="1:20" x14ac:dyDescent="0.25">
      <c r="A144" s="171"/>
      <c r="B144" s="171"/>
      <c r="C144" s="171"/>
      <c r="D144" s="171"/>
      <c r="E144" s="171"/>
      <c r="F144" s="171"/>
      <c r="G144" s="171"/>
      <c r="H144" s="171" t="s">
        <v>542</v>
      </c>
      <c r="I144" s="171"/>
      <c r="J144" s="161">
        <v>46831.96</v>
      </c>
      <c r="L144" s="171"/>
      <c r="M144" s="171"/>
      <c r="N144" s="171"/>
      <c r="O144" s="171"/>
      <c r="P144" s="171"/>
      <c r="Q144" s="171" t="s">
        <v>130</v>
      </c>
      <c r="R144" s="171"/>
      <c r="S144" s="171"/>
      <c r="T144" s="138">
        <f>ROUND(SUM(T137:T143),5)</f>
        <v>128558.92</v>
      </c>
    </row>
    <row r="145" spans="1:20" ht="15.75" thickBot="1" x14ac:dyDescent="0.3">
      <c r="A145" s="171"/>
      <c r="B145" s="171"/>
      <c r="C145" s="171"/>
      <c r="D145" s="171"/>
      <c r="E145" s="171"/>
      <c r="F145" s="171"/>
      <c r="G145" s="171"/>
      <c r="H145" s="171" t="s">
        <v>543</v>
      </c>
      <c r="I145" s="171"/>
      <c r="J145" s="209">
        <v>53882.96</v>
      </c>
      <c r="L145" s="171"/>
      <c r="M145" s="171"/>
      <c r="N145" s="171"/>
      <c r="O145" s="171"/>
      <c r="P145" s="171"/>
      <c r="Q145" s="171" t="s">
        <v>131</v>
      </c>
      <c r="R145" s="171"/>
      <c r="S145" s="171"/>
      <c r="T145" s="138"/>
    </row>
    <row r="146" spans="1:20" ht="15.75" thickBot="1" x14ac:dyDescent="0.3">
      <c r="A146" s="171"/>
      <c r="B146" s="171"/>
      <c r="C146" s="171"/>
      <c r="D146" s="171"/>
      <c r="E146" s="171"/>
      <c r="F146" s="171"/>
      <c r="G146" s="171" t="s">
        <v>130</v>
      </c>
      <c r="H146" s="171"/>
      <c r="I146" s="171"/>
      <c r="J146" s="161">
        <f>ROUND(SUM(J139:J145),5)</f>
        <v>128558.92</v>
      </c>
      <c r="L146" s="171"/>
      <c r="M146" s="171"/>
      <c r="N146" s="171"/>
      <c r="O146" s="171"/>
      <c r="P146" s="171"/>
      <c r="Q146" s="171"/>
      <c r="R146" s="171" t="s">
        <v>132</v>
      </c>
      <c r="S146" s="171"/>
      <c r="T146" s="139">
        <v>2500</v>
      </c>
    </row>
    <row r="147" spans="1:20" ht="15.75" thickBot="1" x14ac:dyDescent="0.3">
      <c r="A147" s="171"/>
      <c r="B147" s="171"/>
      <c r="C147" s="171"/>
      <c r="D147" s="171"/>
      <c r="E147" s="171"/>
      <c r="F147" s="171"/>
      <c r="G147" s="171" t="s">
        <v>131</v>
      </c>
      <c r="H147" s="171"/>
      <c r="I147" s="171"/>
      <c r="J147" s="161"/>
      <c r="L147" s="171"/>
      <c r="M147" s="171"/>
      <c r="N147" s="171"/>
      <c r="O147" s="171"/>
      <c r="P147" s="171"/>
      <c r="Q147" s="171" t="s">
        <v>133</v>
      </c>
      <c r="R147" s="171"/>
      <c r="S147" s="171"/>
      <c r="T147" s="141">
        <f>ROUND(SUM(T145:T146),5)</f>
        <v>2500</v>
      </c>
    </row>
    <row r="148" spans="1:20" ht="15.75" thickBot="1" x14ac:dyDescent="0.3">
      <c r="A148" s="171"/>
      <c r="B148" s="171"/>
      <c r="C148" s="171"/>
      <c r="D148" s="171"/>
      <c r="E148" s="171"/>
      <c r="F148" s="171"/>
      <c r="G148" s="171"/>
      <c r="H148" s="171" t="s">
        <v>132</v>
      </c>
      <c r="I148" s="171"/>
      <c r="J148" s="162">
        <v>2500</v>
      </c>
      <c r="L148" s="171"/>
      <c r="M148" s="171"/>
      <c r="N148" s="171"/>
      <c r="O148" s="171"/>
      <c r="P148" s="171" t="s">
        <v>134</v>
      </c>
      <c r="Q148" s="171"/>
      <c r="R148" s="171"/>
      <c r="S148" s="171"/>
      <c r="T148" s="138">
        <f>ROUND(T109+T119+T125+T131+T136+T144+T147,5)</f>
        <v>508205.98</v>
      </c>
    </row>
    <row r="149" spans="1:20" ht="15.75" thickBot="1" x14ac:dyDescent="0.3">
      <c r="A149" s="171"/>
      <c r="B149" s="171"/>
      <c r="C149" s="171"/>
      <c r="D149" s="171"/>
      <c r="E149" s="171"/>
      <c r="F149" s="171"/>
      <c r="G149" s="171" t="s">
        <v>133</v>
      </c>
      <c r="H149" s="171"/>
      <c r="I149" s="171"/>
      <c r="J149" s="208">
        <f>ROUND(SUM(J147:J148),5)</f>
        <v>2500</v>
      </c>
      <c r="L149" s="171"/>
      <c r="M149" s="171"/>
      <c r="N149" s="171"/>
      <c r="O149" s="171"/>
      <c r="P149" s="171" t="s">
        <v>135</v>
      </c>
      <c r="Q149" s="171"/>
      <c r="R149" s="171"/>
      <c r="S149" s="171"/>
      <c r="T149" s="138"/>
    </row>
    <row r="150" spans="1:20" x14ac:dyDescent="0.25">
      <c r="A150" s="171"/>
      <c r="B150" s="171"/>
      <c r="C150" s="171"/>
      <c r="D150" s="171"/>
      <c r="E150" s="171"/>
      <c r="F150" s="171" t="s">
        <v>134</v>
      </c>
      <c r="G150" s="171"/>
      <c r="H150" s="171"/>
      <c r="I150" s="171"/>
      <c r="J150" s="161">
        <f>ROUND(J110+J121+J127+J133+J138+J146+J149,5)</f>
        <v>673115.31</v>
      </c>
      <c r="L150" s="171"/>
      <c r="M150" s="171"/>
      <c r="N150" s="171"/>
      <c r="O150" s="171"/>
      <c r="P150" s="171"/>
      <c r="Q150" s="171" t="s">
        <v>192</v>
      </c>
      <c r="R150" s="171"/>
      <c r="S150" s="171"/>
      <c r="T150" s="138"/>
    </row>
    <row r="151" spans="1:20" x14ac:dyDescent="0.25">
      <c r="A151" s="171"/>
      <c r="B151" s="171"/>
      <c r="C151" s="171"/>
      <c r="D151" s="171"/>
      <c r="E151" s="171"/>
      <c r="F151" s="171" t="s">
        <v>135</v>
      </c>
      <c r="G151" s="171"/>
      <c r="H151" s="171"/>
      <c r="I151" s="171"/>
      <c r="J151" s="161"/>
      <c r="L151" s="171"/>
      <c r="M151" s="171"/>
      <c r="N151" s="171"/>
      <c r="O151" s="171"/>
      <c r="P151" s="171"/>
      <c r="Q151" s="171"/>
      <c r="R151" s="171" t="s">
        <v>544</v>
      </c>
      <c r="S151" s="171"/>
      <c r="T151" s="138">
        <v>1555</v>
      </c>
    </row>
    <row r="152" spans="1:20" x14ac:dyDescent="0.25">
      <c r="A152" s="171"/>
      <c r="B152" s="171"/>
      <c r="C152" s="171"/>
      <c r="D152" s="171"/>
      <c r="E152" s="171"/>
      <c r="F152" s="171"/>
      <c r="G152" s="171" t="s">
        <v>192</v>
      </c>
      <c r="H152" s="171"/>
      <c r="I152" s="171"/>
      <c r="J152" s="161"/>
      <c r="L152" s="171"/>
      <c r="M152" s="171"/>
      <c r="N152" s="171"/>
      <c r="O152" s="171"/>
      <c r="P152" s="171"/>
      <c r="Q152" s="171"/>
      <c r="R152" s="171" t="s">
        <v>545</v>
      </c>
      <c r="S152" s="171"/>
      <c r="T152" s="138">
        <v>2367.5500000000002</v>
      </c>
    </row>
    <row r="153" spans="1:20" ht="15.75" thickBot="1" x14ac:dyDescent="0.3">
      <c r="A153" s="171"/>
      <c r="B153" s="171"/>
      <c r="C153" s="171"/>
      <c r="D153" s="171"/>
      <c r="E153" s="171"/>
      <c r="F153" s="171"/>
      <c r="G153" s="171"/>
      <c r="H153" s="171" t="s">
        <v>544</v>
      </c>
      <c r="I153" s="171"/>
      <c r="J153" s="161">
        <v>1555</v>
      </c>
      <c r="L153" s="171"/>
      <c r="M153" s="171"/>
      <c r="N153" s="171"/>
      <c r="O153" s="171"/>
      <c r="P153" s="171"/>
      <c r="Q153" s="171"/>
      <c r="R153" s="171" t="s">
        <v>547</v>
      </c>
      <c r="S153" s="171"/>
      <c r="T153" s="143">
        <v>18</v>
      </c>
    </row>
    <row r="154" spans="1:20" x14ac:dyDescent="0.25">
      <c r="A154" s="171"/>
      <c r="B154" s="171"/>
      <c r="C154" s="171"/>
      <c r="D154" s="171"/>
      <c r="E154" s="171"/>
      <c r="F154" s="171"/>
      <c r="G154" s="171"/>
      <c r="H154" s="171" t="s">
        <v>545</v>
      </c>
      <c r="I154" s="171"/>
      <c r="J154" s="161">
        <v>1843.22</v>
      </c>
      <c r="L154" s="171"/>
      <c r="M154" s="171"/>
      <c r="N154" s="171"/>
      <c r="O154" s="171"/>
      <c r="P154" s="171"/>
      <c r="Q154" s="171" t="s">
        <v>194</v>
      </c>
      <c r="R154" s="171"/>
      <c r="S154" s="171"/>
      <c r="T154" s="138">
        <f>ROUND(SUM(T150:T153),5)</f>
        <v>3940.55</v>
      </c>
    </row>
    <row r="155" spans="1:20" x14ac:dyDescent="0.25">
      <c r="A155" s="171"/>
      <c r="B155" s="171"/>
      <c r="C155" s="171"/>
      <c r="D155" s="171"/>
      <c r="E155" s="171"/>
      <c r="F155" s="171"/>
      <c r="G155" s="171"/>
      <c r="H155" s="171" t="s">
        <v>546</v>
      </c>
      <c r="I155" s="171"/>
      <c r="J155" s="161">
        <v>1000</v>
      </c>
      <c r="L155" s="171"/>
      <c r="M155" s="171"/>
      <c r="N155" s="171"/>
      <c r="O155" s="171"/>
      <c r="P155" s="171"/>
      <c r="Q155" s="171" t="s">
        <v>195</v>
      </c>
      <c r="R155" s="171"/>
      <c r="S155" s="171"/>
      <c r="T155" s="138"/>
    </row>
    <row r="156" spans="1:20" ht="15.75" thickBot="1" x14ac:dyDescent="0.3">
      <c r="A156" s="171"/>
      <c r="B156" s="171"/>
      <c r="C156" s="171"/>
      <c r="D156" s="171"/>
      <c r="E156" s="171"/>
      <c r="F156" s="171"/>
      <c r="G156" s="171"/>
      <c r="H156" s="171" t="s">
        <v>547</v>
      </c>
      <c r="I156" s="171"/>
      <c r="J156" s="209">
        <v>18</v>
      </c>
      <c r="L156" s="171"/>
      <c r="M156" s="171"/>
      <c r="N156" s="171"/>
      <c r="O156" s="171"/>
      <c r="P156" s="171"/>
      <c r="Q156" s="171"/>
      <c r="R156" s="171" t="s">
        <v>137</v>
      </c>
      <c r="S156" s="171"/>
      <c r="T156" s="138">
        <v>33201</v>
      </c>
    </row>
    <row r="157" spans="1:20" ht="15.75" thickBot="1" x14ac:dyDescent="0.3">
      <c r="A157" s="171"/>
      <c r="B157" s="171"/>
      <c r="C157" s="171"/>
      <c r="D157" s="171"/>
      <c r="E157" s="171"/>
      <c r="F157" s="171"/>
      <c r="G157" s="171" t="s">
        <v>194</v>
      </c>
      <c r="H157" s="171"/>
      <c r="I157" s="171"/>
      <c r="J157" s="161">
        <f>ROUND(SUM(J152:J156),5)</f>
        <v>4416.22</v>
      </c>
      <c r="L157" s="171"/>
      <c r="M157" s="171"/>
      <c r="N157" s="171"/>
      <c r="O157" s="171"/>
      <c r="P157" s="171"/>
      <c r="Q157" s="171"/>
      <c r="R157" s="171" t="s">
        <v>548</v>
      </c>
      <c r="S157" s="171"/>
      <c r="T157" s="139">
        <v>9452.4</v>
      </c>
    </row>
    <row r="158" spans="1:20" ht="15.75" thickBot="1" x14ac:dyDescent="0.3">
      <c r="A158" s="171"/>
      <c r="B158" s="171"/>
      <c r="C158" s="171"/>
      <c r="D158" s="171"/>
      <c r="E158" s="171"/>
      <c r="F158" s="171"/>
      <c r="G158" s="171" t="s">
        <v>195</v>
      </c>
      <c r="H158" s="171"/>
      <c r="I158" s="171"/>
      <c r="J158" s="161"/>
      <c r="L158" s="171"/>
      <c r="M158" s="171"/>
      <c r="N158" s="171"/>
      <c r="O158" s="171"/>
      <c r="P158" s="171"/>
      <c r="Q158" s="171" t="s">
        <v>196</v>
      </c>
      <c r="R158" s="171"/>
      <c r="S158" s="171"/>
      <c r="T158" s="141">
        <f>ROUND(SUM(T155:T157),5)</f>
        <v>42653.4</v>
      </c>
    </row>
    <row r="159" spans="1:20" ht="15.75" thickBot="1" x14ac:dyDescent="0.3">
      <c r="A159" s="171"/>
      <c r="B159" s="171"/>
      <c r="C159" s="171"/>
      <c r="D159" s="171"/>
      <c r="E159" s="171"/>
      <c r="F159" s="171"/>
      <c r="G159" s="171"/>
      <c r="H159" s="171" t="s">
        <v>548</v>
      </c>
      <c r="I159" s="171"/>
      <c r="J159" s="162">
        <v>9452.4</v>
      </c>
      <c r="L159" s="171"/>
      <c r="M159" s="171"/>
      <c r="N159" s="171"/>
      <c r="O159" s="171"/>
      <c r="P159" s="171" t="s">
        <v>138</v>
      </c>
      <c r="Q159" s="171"/>
      <c r="R159" s="171"/>
      <c r="S159" s="171"/>
      <c r="T159" s="138">
        <f>ROUND(T149+T154+T158,5)</f>
        <v>46593.95</v>
      </c>
    </row>
    <row r="160" spans="1:20" ht="15.75" thickBot="1" x14ac:dyDescent="0.3">
      <c r="A160" s="171"/>
      <c r="B160" s="171"/>
      <c r="C160" s="171"/>
      <c r="D160" s="171"/>
      <c r="E160" s="171"/>
      <c r="F160" s="171"/>
      <c r="G160" s="171" t="s">
        <v>196</v>
      </c>
      <c r="H160" s="171"/>
      <c r="I160" s="171"/>
      <c r="J160" s="208">
        <f>ROUND(SUM(J158:J159),5)</f>
        <v>9452.4</v>
      </c>
      <c r="L160" s="171"/>
      <c r="M160" s="171"/>
      <c r="N160" s="171"/>
      <c r="O160" s="171"/>
      <c r="P160" s="171" t="s">
        <v>206</v>
      </c>
      <c r="Q160" s="171"/>
      <c r="R160" s="171"/>
      <c r="S160" s="171"/>
      <c r="T160" s="138"/>
    </row>
    <row r="161" spans="1:25" x14ac:dyDescent="0.25">
      <c r="A161" s="171"/>
      <c r="B161" s="171"/>
      <c r="C161" s="171"/>
      <c r="D161" s="171"/>
      <c r="E161" s="171"/>
      <c r="F161" s="171" t="s">
        <v>138</v>
      </c>
      <c r="G161" s="171"/>
      <c r="H161" s="171"/>
      <c r="I161" s="171"/>
      <c r="J161" s="161">
        <f>ROUND(J151+J157+J160,5)</f>
        <v>13868.62</v>
      </c>
      <c r="L161" s="171"/>
      <c r="M161" s="171"/>
      <c r="N161" s="171"/>
      <c r="O161" s="171"/>
      <c r="P161" s="171"/>
      <c r="Q161" s="171" t="s">
        <v>184</v>
      </c>
      <c r="R161" s="171"/>
      <c r="S161" s="171"/>
      <c r="T161" s="138"/>
      <c r="V161" s="104"/>
      <c r="X161" s="158"/>
      <c r="Y161" s="158"/>
    </row>
    <row r="162" spans="1:25" x14ac:dyDescent="0.25">
      <c r="A162" s="171"/>
      <c r="B162" s="171"/>
      <c r="C162" s="171"/>
      <c r="D162" s="171"/>
      <c r="E162" s="171"/>
      <c r="F162" s="171" t="s">
        <v>178</v>
      </c>
      <c r="G162" s="171"/>
      <c r="H162" s="171"/>
      <c r="I162" s="171"/>
      <c r="J162" s="161"/>
      <c r="L162" s="171"/>
      <c r="M162" s="171"/>
      <c r="N162" s="171"/>
      <c r="O162" s="171"/>
      <c r="P162" s="171"/>
      <c r="Q162" s="171"/>
      <c r="R162" s="171" t="s">
        <v>464</v>
      </c>
      <c r="S162" s="171"/>
      <c r="T162" s="138">
        <v>60078</v>
      </c>
      <c r="V162" s="158"/>
      <c r="W162" s="205"/>
    </row>
    <row r="163" spans="1:25" x14ac:dyDescent="0.25">
      <c r="A163" s="171"/>
      <c r="B163" s="171"/>
      <c r="C163" s="171"/>
      <c r="D163" s="171"/>
      <c r="E163" s="171"/>
      <c r="F163" s="171"/>
      <c r="G163" s="171" t="s">
        <v>549</v>
      </c>
      <c r="H163" s="171"/>
      <c r="I163" s="171"/>
      <c r="J163" s="161"/>
      <c r="L163" s="171"/>
      <c r="M163" s="171"/>
      <c r="N163" s="171"/>
      <c r="O163" s="171"/>
      <c r="P163" s="171"/>
      <c r="Q163" s="171"/>
      <c r="R163" s="171" t="s">
        <v>185</v>
      </c>
      <c r="S163" s="171"/>
      <c r="T163" s="138"/>
    </row>
    <row r="164" spans="1:25" ht="15.75" thickBot="1" x14ac:dyDescent="0.3">
      <c r="A164" s="171"/>
      <c r="B164" s="171"/>
      <c r="C164" s="171"/>
      <c r="D164" s="171"/>
      <c r="E164" s="171"/>
      <c r="F164" s="171"/>
      <c r="G164" s="171"/>
      <c r="H164" s="171" t="s">
        <v>550</v>
      </c>
      <c r="I164" s="171"/>
      <c r="J164" s="162">
        <v>0</v>
      </c>
      <c r="L164" s="171"/>
      <c r="M164" s="171"/>
      <c r="N164" s="171"/>
      <c r="O164" s="171"/>
      <c r="P164" s="171"/>
      <c r="Q164" s="171"/>
      <c r="R164" s="171"/>
      <c r="S164" s="171" t="s">
        <v>262</v>
      </c>
      <c r="T164" s="138">
        <v>26897</v>
      </c>
    </row>
    <row r="165" spans="1:25" ht="15.75" thickBot="1" x14ac:dyDescent="0.3">
      <c r="A165" s="171"/>
      <c r="B165" s="171"/>
      <c r="C165" s="171"/>
      <c r="D165" s="171"/>
      <c r="E165" s="171"/>
      <c r="F165" s="171"/>
      <c r="G165" s="171" t="s">
        <v>551</v>
      </c>
      <c r="H165" s="171"/>
      <c r="I165" s="171"/>
      <c r="J165" s="208">
        <f>ROUND(SUM(J163:J164),5)</f>
        <v>0</v>
      </c>
      <c r="L165" s="171"/>
      <c r="M165" s="171"/>
      <c r="N165" s="171"/>
      <c r="O165" s="171"/>
      <c r="P165" s="171"/>
      <c r="Q165" s="171"/>
      <c r="R165" s="171"/>
      <c r="S165" s="171" t="s">
        <v>552</v>
      </c>
      <c r="T165" s="143">
        <v>696</v>
      </c>
    </row>
    <row r="166" spans="1:25" x14ac:dyDescent="0.25">
      <c r="A166" s="171"/>
      <c r="B166" s="171"/>
      <c r="C166" s="171"/>
      <c r="D166" s="171"/>
      <c r="E166" s="171"/>
      <c r="F166" s="171" t="s">
        <v>183</v>
      </c>
      <c r="G166" s="171"/>
      <c r="H166" s="171"/>
      <c r="I166" s="171"/>
      <c r="J166" s="161">
        <f>ROUND(J162+J165,5)</f>
        <v>0</v>
      </c>
      <c r="L166" s="171"/>
      <c r="M166" s="171"/>
      <c r="N166" s="171"/>
      <c r="O166" s="171"/>
      <c r="P166" s="171"/>
      <c r="Q166" s="171"/>
      <c r="R166" s="171" t="s">
        <v>263</v>
      </c>
      <c r="S166" s="171"/>
      <c r="T166" s="138">
        <f>ROUND(SUM(T163:T165),5)</f>
        <v>27593</v>
      </c>
    </row>
    <row r="167" spans="1:25" ht="15.75" thickBot="1" x14ac:dyDescent="0.3">
      <c r="A167" s="171"/>
      <c r="B167" s="171"/>
      <c r="C167" s="171"/>
      <c r="D167" s="171"/>
      <c r="E167" s="171"/>
      <c r="F167" s="171" t="s">
        <v>206</v>
      </c>
      <c r="G167" s="171"/>
      <c r="H167" s="171"/>
      <c r="I167" s="171"/>
      <c r="J167" s="161"/>
      <c r="L167" s="171"/>
      <c r="M167" s="171"/>
      <c r="N167" s="171"/>
      <c r="O167" s="171"/>
      <c r="P167" s="171"/>
      <c r="Q167" s="171"/>
      <c r="R167" s="171" t="s">
        <v>553</v>
      </c>
      <c r="S167" s="171"/>
      <c r="T167" s="143">
        <v>6528.07</v>
      </c>
    </row>
    <row r="168" spans="1:25" x14ac:dyDescent="0.25">
      <c r="A168" s="171"/>
      <c r="B168" s="171"/>
      <c r="C168" s="171"/>
      <c r="D168" s="171"/>
      <c r="E168" s="171"/>
      <c r="F168" s="171"/>
      <c r="G168" s="171" t="s">
        <v>184</v>
      </c>
      <c r="H168" s="171"/>
      <c r="I168" s="171"/>
      <c r="J168" s="161"/>
      <c r="L168" s="171"/>
      <c r="M168" s="171"/>
      <c r="N168" s="171"/>
      <c r="O168" s="171"/>
      <c r="P168" s="171"/>
      <c r="Q168" s="171" t="s">
        <v>186</v>
      </c>
      <c r="R168" s="171"/>
      <c r="S168" s="171"/>
      <c r="T168" s="138">
        <f>ROUND(SUM(T161:T162)+SUM(T166:T167),5)</f>
        <v>94199.07</v>
      </c>
    </row>
    <row r="169" spans="1:25" x14ac:dyDescent="0.25">
      <c r="A169" s="171"/>
      <c r="B169" s="171"/>
      <c r="C169" s="171"/>
      <c r="D169" s="171"/>
      <c r="E169" s="171"/>
      <c r="F169" s="171"/>
      <c r="G169" s="171"/>
      <c r="H169" s="171" t="s">
        <v>464</v>
      </c>
      <c r="I169" s="171"/>
      <c r="J169" s="161">
        <v>30628</v>
      </c>
      <c r="L169" s="171"/>
      <c r="M169" s="171"/>
      <c r="N169" s="171"/>
      <c r="O169" s="171"/>
      <c r="P169" s="171"/>
      <c r="Q169" s="171" t="s">
        <v>207</v>
      </c>
      <c r="R169" s="171"/>
      <c r="S169" s="171"/>
      <c r="T169" s="138"/>
    </row>
    <row r="170" spans="1:25" x14ac:dyDescent="0.25">
      <c r="A170" s="171"/>
      <c r="B170" s="171"/>
      <c r="C170" s="171"/>
      <c r="D170" s="171"/>
      <c r="E170" s="171"/>
      <c r="F170" s="171"/>
      <c r="G170" s="171"/>
      <c r="H170" s="171" t="s">
        <v>185</v>
      </c>
      <c r="I170" s="171"/>
      <c r="J170" s="161"/>
      <c r="L170" s="171"/>
      <c r="M170" s="171"/>
      <c r="N170" s="171"/>
      <c r="O170" s="171"/>
      <c r="P170" s="171"/>
      <c r="Q170" s="171"/>
      <c r="R170" s="171" t="s">
        <v>211</v>
      </c>
      <c r="S170" s="171"/>
      <c r="T170" s="138">
        <v>50000</v>
      </c>
    </row>
    <row r="171" spans="1:25" x14ac:dyDescent="0.25">
      <c r="A171" s="171"/>
      <c r="B171" s="171"/>
      <c r="C171" s="171"/>
      <c r="D171" s="171"/>
      <c r="E171" s="171"/>
      <c r="F171" s="171"/>
      <c r="G171" s="171"/>
      <c r="H171" s="171"/>
      <c r="I171" s="171" t="s">
        <v>262</v>
      </c>
      <c r="J171" s="161">
        <v>26897</v>
      </c>
      <c r="L171" s="171"/>
      <c r="M171" s="171"/>
      <c r="N171" s="171"/>
      <c r="O171" s="171"/>
      <c r="P171" s="171"/>
      <c r="Q171" s="171"/>
      <c r="R171" s="171" t="s">
        <v>554</v>
      </c>
      <c r="S171" s="171"/>
      <c r="T171" s="138">
        <v>4800</v>
      </c>
    </row>
    <row r="172" spans="1:25" ht="15.75" thickBot="1" x14ac:dyDescent="0.3">
      <c r="A172" s="171"/>
      <c r="B172" s="171"/>
      <c r="C172" s="171"/>
      <c r="D172" s="171"/>
      <c r="E172" s="171"/>
      <c r="F172" s="171"/>
      <c r="G172" s="171"/>
      <c r="H172" s="171"/>
      <c r="I172" s="171" t="s">
        <v>552</v>
      </c>
      <c r="J172" s="209">
        <v>696</v>
      </c>
      <c r="L172" s="171"/>
      <c r="M172" s="171"/>
      <c r="N172" s="171"/>
      <c r="O172" s="171"/>
      <c r="P172" s="171"/>
      <c r="Q172" s="171"/>
      <c r="R172" s="171" t="s">
        <v>555</v>
      </c>
      <c r="S172" s="171"/>
      <c r="T172" s="143">
        <v>1200</v>
      </c>
    </row>
    <row r="173" spans="1:25" x14ac:dyDescent="0.25">
      <c r="A173" s="171"/>
      <c r="B173" s="171"/>
      <c r="C173" s="171"/>
      <c r="D173" s="171"/>
      <c r="E173" s="171"/>
      <c r="F173" s="171"/>
      <c r="G173" s="171"/>
      <c r="H173" s="171" t="s">
        <v>263</v>
      </c>
      <c r="I173" s="171"/>
      <c r="J173" s="161">
        <f>ROUND(SUM(J170:J172),5)</f>
        <v>27593</v>
      </c>
      <c r="L173" s="171"/>
      <c r="M173" s="171"/>
      <c r="N173" s="171"/>
      <c r="O173" s="171"/>
      <c r="P173" s="171"/>
      <c r="Q173" s="171" t="s">
        <v>208</v>
      </c>
      <c r="R173" s="171"/>
      <c r="S173" s="171"/>
      <c r="T173" s="138">
        <f>ROUND(SUM(T169:T172),5)</f>
        <v>56000</v>
      </c>
      <c r="V173" s="104"/>
    </row>
    <row r="174" spans="1:25" ht="15.75" thickBot="1" x14ac:dyDescent="0.3">
      <c r="A174" s="171"/>
      <c r="B174" s="171"/>
      <c r="C174" s="171"/>
      <c r="D174" s="171"/>
      <c r="E174" s="171"/>
      <c r="F174" s="171"/>
      <c r="G174" s="171"/>
      <c r="H174" s="171" t="s">
        <v>553</v>
      </c>
      <c r="I174" s="171"/>
      <c r="J174" s="209">
        <v>827.88</v>
      </c>
      <c r="L174" s="171"/>
      <c r="M174" s="171"/>
      <c r="N174" s="171"/>
      <c r="O174" s="171"/>
      <c r="P174" s="171"/>
      <c r="Q174" s="171" t="s">
        <v>187</v>
      </c>
      <c r="R174" s="171"/>
      <c r="S174" s="171"/>
      <c r="T174" s="138"/>
      <c r="V174" s="104"/>
    </row>
    <row r="175" spans="1:25" x14ac:dyDescent="0.25">
      <c r="A175" s="171"/>
      <c r="B175" s="171"/>
      <c r="C175" s="171"/>
      <c r="D175" s="171"/>
      <c r="E175" s="171"/>
      <c r="F175" s="171"/>
      <c r="G175" s="171" t="s">
        <v>186</v>
      </c>
      <c r="H175" s="171"/>
      <c r="I175" s="171"/>
      <c r="J175" s="161">
        <f>ROUND(SUM(J168:J169)+SUM(J173:J174),5)</f>
        <v>59048.88</v>
      </c>
      <c r="L175" s="171"/>
      <c r="M175" s="171"/>
      <c r="N175" s="171"/>
      <c r="O175" s="171"/>
      <c r="P175" s="171"/>
      <c r="Q175" s="171"/>
      <c r="R175" s="171" t="s">
        <v>556</v>
      </c>
      <c r="S175" s="171"/>
      <c r="T175" s="138">
        <v>86</v>
      </c>
      <c r="V175" s="104"/>
      <c r="X175" s="158"/>
      <c r="Y175" s="158"/>
    </row>
    <row r="176" spans="1:25" ht="15.75" thickBot="1" x14ac:dyDescent="0.3">
      <c r="A176" s="171"/>
      <c r="B176" s="171"/>
      <c r="C176" s="171"/>
      <c r="D176" s="171"/>
      <c r="E176" s="171"/>
      <c r="F176" s="171"/>
      <c r="G176" s="171" t="s">
        <v>207</v>
      </c>
      <c r="H176" s="171"/>
      <c r="I176" s="171"/>
      <c r="J176" s="161"/>
      <c r="L176" s="171"/>
      <c r="M176" s="171"/>
      <c r="N176" s="171"/>
      <c r="O176" s="171"/>
      <c r="P176" s="171"/>
      <c r="Q176" s="171"/>
      <c r="R176" s="171" t="s">
        <v>209</v>
      </c>
      <c r="S176" s="171"/>
      <c r="T176" s="139">
        <v>45000</v>
      </c>
      <c r="V176" s="192"/>
      <c r="W176" s="205"/>
    </row>
    <row r="177" spans="1:22" ht="15.75" thickBot="1" x14ac:dyDescent="0.3">
      <c r="A177" s="171"/>
      <c r="B177" s="171"/>
      <c r="C177" s="171"/>
      <c r="D177" s="171"/>
      <c r="E177" s="171"/>
      <c r="F177" s="171"/>
      <c r="G177" s="171"/>
      <c r="H177" s="171" t="s">
        <v>211</v>
      </c>
      <c r="I177" s="171"/>
      <c r="J177" s="161">
        <v>92000</v>
      </c>
      <c r="L177" s="171"/>
      <c r="M177" s="171"/>
      <c r="N177" s="171"/>
      <c r="O177" s="171"/>
      <c r="P177" s="171"/>
      <c r="Q177" s="171" t="s">
        <v>188</v>
      </c>
      <c r="R177" s="171"/>
      <c r="S177" s="171"/>
      <c r="T177" s="141">
        <f>ROUND(SUM(T174:T176),5)</f>
        <v>45086</v>
      </c>
      <c r="V177" s="23"/>
    </row>
    <row r="178" spans="1:22" x14ac:dyDescent="0.25">
      <c r="A178" s="171"/>
      <c r="B178" s="171"/>
      <c r="C178" s="171"/>
      <c r="D178" s="171"/>
      <c r="E178" s="171"/>
      <c r="F178" s="171"/>
      <c r="G178" s="171"/>
      <c r="H178" s="171" t="s">
        <v>554</v>
      </c>
      <c r="I178" s="171"/>
      <c r="J178" s="161">
        <v>4800</v>
      </c>
      <c r="L178" s="171"/>
      <c r="M178" s="171"/>
      <c r="N178" s="171"/>
      <c r="O178" s="171"/>
      <c r="P178" s="171" t="s">
        <v>210</v>
      </c>
      <c r="Q178" s="171"/>
      <c r="R178" s="171"/>
      <c r="S178" s="171"/>
      <c r="T178" s="138">
        <f>ROUND(T160+T168+T173+T177,5)</f>
        <v>195285.07</v>
      </c>
      <c r="V178" s="20"/>
    </row>
    <row r="179" spans="1:22" ht="15.75" thickBot="1" x14ac:dyDescent="0.3">
      <c r="A179" s="171"/>
      <c r="B179" s="171"/>
      <c r="C179" s="171"/>
      <c r="D179" s="171"/>
      <c r="E179" s="171"/>
      <c r="F179" s="171"/>
      <c r="G179" s="171"/>
      <c r="H179" s="171" t="s">
        <v>555</v>
      </c>
      <c r="I179" s="171"/>
      <c r="J179" s="209">
        <v>1200</v>
      </c>
      <c r="L179" s="171"/>
      <c r="M179" s="171"/>
      <c r="N179" s="171"/>
      <c r="O179" s="171"/>
      <c r="P179" s="171" t="s">
        <v>465</v>
      </c>
      <c r="Q179" s="171"/>
      <c r="R179" s="171"/>
      <c r="S179" s="171"/>
      <c r="T179" s="138"/>
      <c r="V179" s="21"/>
    </row>
    <row r="180" spans="1:22" x14ac:dyDescent="0.25">
      <c r="A180" s="171"/>
      <c r="B180" s="171"/>
      <c r="C180" s="171"/>
      <c r="D180" s="171"/>
      <c r="E180" s="171"/>
      <c r="F180" s="171"/>
      <c r="G180" s="171" t="s">
        <v>208</v>
      </c>
      <c r="H180" s="171"/>
      <c r="I180" s="171"/>
      <c r="J180" s="161">
        <f>ROUND(SUM(J176:J179),5)</f>
        <v>98000</v>
      </c>
      <c r="L180" s="171"/>
      <c r="M180" s="171"/>
      <c r="N180" s="171"/>
      <c r="O180" s="171"/>
      <c r="P180" s="171"/>
      <c r="Q180" s="171" t="s">
        <v>557</v>
      </c>
      <c r="R180" s="171"/>
      <c r="S180" s="171"/>
      <c r="T180" s="138">
        <v>182371.67</v>
      </c>
    </row>
    <row r="181" spans="1:22" ht="15.75" thickBot="1" x14ac:dyDescent="0.3">
      <c r="A181" s="171"/>
      <c r="B181" s="171"/>
      <c r="C181" s="171"/>
      <c r="D181" s="171"/>
      <c r="E181" s="171"/>
      <c r="F181" s="171"/>
      <c r="G181" s="171" t="s">
        <v>187</v>
      </c>
      <c r="H181" s="171"/>
      <c r="I181" s="171"/>
      <c r="J181" s="161"/>
      <c r="L181" s="171"/>
      <c r="M181" s="171"/>
      <c r="N181" s="171"/>
      <c r="O181" s="171"/>
      <c r="P181" s="171"/>
      <c r="Q181" s="171" t="s">
        <v>466</v>
      </c>
      <c r="R181" s="171"/>
      <c r="S181" s="171"/>
      <c r="T181" s="143">
        <v>60078</v>
      </c>
    </row>
    <row r="182" spans="1:22" x14ac:dyDescent="0.25">
      <c r="A182" s="171"/>
      <c r="B182" s="171"/>
      <c r="C182" s="171"/>
      <c r="D182" s="171"/>
      <c r="E182" s="171"/>
      <c r="F182" s="171"/>
      <c r="G182" s="171"/>
      <c r="H182" s="171" t="s">
        <v>556</v>
      </c>
      <c r="I182" s="171"/>
      <c r="J182" s="161">
        <v>86</v>
      </c>
      <c r="L182" s="171"/>
      <c r="M182" s="171"/>
      <c r="N182" s="171"/>
      <c r="O182" s="171"/>
      <c r="P182" s="171" t="s">
        <v>467</v>
      </c>
      <c r="Q182" s="171"/>
      <c r="R182" s="171"/>
      <c r="S182" s="171"/>
      <c r="T182" s="138">
        <f>ROUND(SUM(T179:T181),5)</f>
        <v>242449.67</v>
      </c>
    </row>
    <row r="183" spans="1:22" ht="15.75" thickBot="1" x14ac:dyDescent="0.3">
      <c r="A183" s="171"/>
      <c r="B183" s="171"/>
      <c r="C183" s="171"/>
      <c r="D183" s="171"/>
      <c r="E183" s="171"/>
      <c r="F183" s="171"/>
      <c r="G183" s="171"/>
      <c r="H183" s="171" t="s">
        <v>209</v>
      </c>
      <c r="I183" s="171"/>
      <c r="J183" s="162">
        <v>45000</v>
      </c>
      <c r="L183" s="171"/>
      <c r="M183" s="171"/>
      <c r="N183" s="171"/>
      <c r="O183" s="171"/>
      <c r="P183" s="171"/>
      <c r="Q183" s="171"/>
      <c r="R183" s="171"/>
      <c r="S183" s="171"/>
      <c r="T183" s="138"/>
    </row>
    <row r="184" spans="1:22" ht="15.75" thickBot="1" x14ac:dyDescent="0.3">
      <c r="A184" s="171"/>
      <c r="B184" s="171"/>
      <c r="C184" s="171"/>
      <c r="D184" s="171"/>
      <c r="E184" s="171"/>
      <c r="F184" s="171"/>
      <c r="G184" s="171" t="s">
        <v>188</v>
      </c>
      <c r="H184" s="171"/>
      <c r="I184" s="171"/>
      <c r="J184" s="208">
        <f>ROUND(SUM(J181:J183),5)</f>
        <v>45086</v>
      </c>
      <c r="L184" s="171"/>
      <c r="M184" s="171"/>
      <c r="N184" s="171"/>
      <c r="O184" s="171"/>
      <c r="P184" s="171"/>
      <c r="Q184" s="171"/>
      <c r="R184" s="171"/>
      <c r="S184" s="171"/>
      <c r="T184" s="138"/>
    </row>
    <row r="185" spans="1:22" x14ac:dyDescent="0.25">
      <c r="A185" s="171"/>
      <c r="B185" s="171"/>
      <c r="C185" s="171"/>
      <c r="D185" s="171"/>
      <c r="E185" s="171"/>
      <c r="F185" s="171" t="s">
        <v>210</v>
      </c>
      <c r="G185" s="171"/>
      <c r="H185" s="171"/>
      <c r="I185" s="171"/>
      <c r="J185" s="161">
        <f>ROUND(J167+J175+J180+J184,5)</f>
        <v>202134.88</v>
      </c>
      <c r="L185" s="171"/>
      <c r="M185" s="171"/>
      <c r="N185" s="171"/>
      <c r="O185" s="171"/>
      <c r="P185" s="171"/>
      <c r="Q185" s="171"/>
      <c r="R185" s="171"/>
      <c r="S185" s="171"/>
      <c r="T185" s="138"/>
    </row>
    <row r="186" spans="1:22" x14ac:dyDescent="0.25">
      <c r="A186" s="171"/>
      <c r="B186" s="171"/>
      <c r="C186" s="171"/>
      <c r="D186" s="171"/>
      <c r="E186" s="171"/>
      <c r="F186" s="171" t="s">
        <v>465</v>
      </c>
      <c r="G186" s="171"/>
      <c r="H186" s="171"/>
      <c r="I186" s="171"/>
      <c r="J186" s="161"/>
      <c r="L186" s="171"/>
      <c r="M186" s="171"/>
      <c r="N186" s="171"/>
      <c r="O186" s="171"/>
      <c r="P186" s="171"/>
      <c r="Q186" s="171"/>
      <c r="R186" s="171"/>
      <c r="S186" s="171"/>
      <c r="T186" s="138"/>
    </row>
    <row r="187" spans="1:22" x14ac:dyDescent="0.25">
      <c r="A187" s="171"/>
      <c r="B187" s="171"/>
      <c r="C187" s="171"/>
      <c r="D187" s="171"/>
      <c r="E187" s="171"/>
      <c r="F187" s="171"/>
      <c r="G187" s="171" t="s">
        <v>483</v>
      </c>
      <c r="H187" s="171"/>
      <c r="I187" s="171"/>
      <c r="J187" s="161">
        <v>1500</v>
      </c>
      <c r="L187" s="171"/>
      <c r="M187" s="171"/>
      <c r="N187" s="171"/>
      <c r="O187" s="171"/>
      <c r="P187" s="171"/>
      <c r="Q187" s="171"/>
      <c r="R187" s="171"/>
      <c r="S187" s="171"/>
      <c r="T187" s="138"/>
    </row>
    <row r="188" spans="1:22" x14ac:dyDescent="0.25">
      <c r="A188" s="171"/>
      <c r="B188" s="171"/>
      <c r="C188" s="171"/>
      <c r="D188" s="171"/>
      <c r="E188" s="171"/>
      <c r="F188" s="171"/>
      <c r="G188" s="171" t="s">
        <v>557</v>
      </c>
      <c r="H188" s="171"/>
      <c r="I188" s="171"/>
      <c r="J188" s="161">
        <v>182371.67</v>
      </c>
      <c r="L188" s="171"/>
      <c r="M188" s="171"/>
      <c r="N188" s="171"/>
      <c r="O188" s="171"/>
      <c r="P188" s="171"/>
      <c r="Q188" s="171"/>
      <c r="R188" s="171"/>
      <c r="S188" s="171"/>
      <c r="T188" s="138"/>
    </row>
    <row r="189" spans="1:22" ht="15.75" thickBot="1" x14ac:dyDescent="0.3">
      <c r="A189" s="171"/>
      <c r="B189" s="171"/>
      <c r="C189" s="171"/>
      <c r="D189" s="171"/>
      <c r="E189" s="171"/>
      <c r="F189" s="171"/>
      <c r="G189" s="171" t="s">
        <v>466</v>
      </c>
      <c r="H189" s="171"/>
      <c r="I189" s="171"/>
      <c r="J189" s="209">
        <v>58140</v>
      </c>
      <c r="L189" s="171"/>
      <c r="M189" s="171"/>
      <c r="N189" s="171"/>
      <c r="O189" s="171"/>
      <c r="P189" s="171"/>
      <c r="Q189" s="171"/>
      <c r="R189" s="171"/>
      <c r="S189" s="171"/>
      <c r="T189" s="138"/>
    </row>
    <row r="190" spans="1:22" x14ac:dyDescent="0.25">
      <c r="A190" s="171"/>
      <c r="B190" s="171"/>
      <c r="C190" s="171"/>
      <c r="D190" s="171"/>
      <c r="E190" s="171"/>
      <c r="F190" s="171" t="s">
        <v>467</v>
      </c>
      <c r="G190" s="171"/>
      <c r="H190" s="171"/>
      <c r="I190" s="171"/>
      <c r="J190" s="161">
        <f>ROUND(SUM(J186:J189),5)</f>
        <v>242011.67</v>
      </c>
      <c r="L190" s="171"/>
      <c r="M190" s="171"/>
      <c r="N190" s="171"/>
      <c r="O190" s="171"/>
      <c r="P190" s="171"/>
      <c r="Q190" s="171"/>
      <c r="R190" s="171"/>
      <c r="S190" s="171"/>
      <c r="T190" s="138"/>
    </row>
    <row r="191" spans="1:22" x14ac:dyDescent="0.25">
      <c r="A191" s="171"/>
      <c r="B191" s="171"/>
      <c r="C191" s="171"/>
      <c r="D191" s="171"/>
      <c r="E191" s="171"/>
      <c r="F191" s="171" t="s">
        <v>139</v>
      </c>
      <c r="G191" s="171"/>
      <c r="H191" s="171"/>
      <c r="I191" s="171"/>
      <c r="J191" s="161"/>
      <c r="L191" s="171"/>
      <c r="M191" s="171"/>
      <c r="N191" s="171"/>
      <c r="O191" s="171"/>
      <c r="P191" s="171" t="s">
        <v>139</v>
      </c>
      <c r="Q191" s="171"/>
      <c r="R191" s="171"/>
      <c r="S191" s="171"/>
      <c r="T191" s="138"/>
    </row>
    <row r="192" spans="1:22" x14ac:dyDescent="0.25">
      <c r="A192" s="171"/>
      <c r="B192" s="171"/>
      <c r="C192" s="171"/>
      <c r="D192" s="171"/>
      <c r="E192" s="171"/>
      <c r="F192" s="171"/>
      <c r="G192" s="171" t="s">
        <v>558</v>
      </c>
      <c r="H192" s="171"/>
      <c r="I192" s="171"/>
      <c r="J192" s="161"/>
      <c r="L192" s="171"/>
      <c r="M192" s="171"/>
      <c r="N192" s="171"/>
      <c r="O192" s="171"/>
      <c r="P192" s="171"/>
      <c r="Q192" s="171" t="s">
        <v>558</v>
      </c>
      <c r="R192" s="171"/>
      <c r="S192" s="171"/>
      <c r="T192" s="138"/>
    </row>
    <row r="193" spans="1:24" x14ac:dyDescent="0.25">
      <c r="A193" s="171"/>
      <c r="B193" s="171"/>
      <c r="C193" s="171"/>
      <c r="D193" s="171"/>
      <c r="E193" s="171"/>
      <c r="F193" s="171"/>
      <c r="G193" s="171"/>
      <c r="H193" s="171" t="s">
        <v>559</v>
      </c>
      <c r="I193" s="171"/>
      <c r="J193" s="161">
        <v>245268.75</v>
      </c>
      <c r="L193" s="171"/>
      <c r="M193" s="171"/>
      <c r="N193" s="171"/>
      <c r="O193" s="171"/>
      <c r="P193" s="171"/>
      <c r="Q193" s="171"/>
      <c r="R193" s="171" t="s">
        <v>559</v>
      </c>
      <c r="S193" s="171"/>
      <c r="T193" s="138">
        <v>245268.75</v>
      </c>
    </row>
    <row r="194" spans="1:24" x14ac:dyDescent="0.25">
      <c r="A194" s="171"/>
      <c r="B194" s="171"/>
      <c r="C194" s="171"/>
      <c r="D194" s="171"/>
      <c r="E194" s="171"/>
      <c r="F194" s="171"/>
      <c r="G194" s="171"/>
      <c r="H194" s="171" t="s">
        <v>560</v>
      </c>
      <c r="I194" s="171"/>
      <c r="J194" s="161">
        <v>42375</v>
      </c>
      <c r="L194" s="171"/>
      <c r="M194" s="171"/>
      <c r="N194" s="171"/>
      <c r="O194" s="171"/>
      <c r="P194" s="171"/>
      <c r="Q194" s="171"/>
      <c r="R194" s="171" t="s">
        <v>560</v>
      </c>
      <c r="S194" s="171"/>
      <c r="T194" s="138">
        <v>42375</v>
      </c>
    </row>
    <row r="195" spans="1:24" x14ac:dyDescent="0.25">
      <c r="A195" s="171"/>
      <c r="B195" s="171"/>
      <c r="C195" s="171"/>
      <c r="D195" s="171"/>
      <c r="E195" s="171"/>
      <c r="F195" s="171"/>
      <c r="G195" s="171"/>
      <c r="H195" s="171" t="s">
        <v>561</v>
      </c>
      <c r="I195" s="171"/>
      <c r="J195" s="161">
        <v>14350</v>
      </c>
      <c r="L195" s="171"/>
      <c r="M195" s="171"/>
      <c r="N195" s="171"/>
      <c r="O195" s="171"/>
      <c r="P195" s="171"/>
      <c r="Q195" s="171"/>
      <c r="R195" s="171" t="s">
        <v>561</v>
      </c>
      <c r="S195" s="171"/>
      <c r="T195" s="138">
        <v>14350</v>
      </c>
      <c r="X195" s="21"/>
    </row>
    <row r="196" spans="1:24" x14ac:dyDescent="0.25">
      <c r="A196" s="171"/>
      <c r="B196" s="171"/>
      <c r="C196" s="171"/>
      <c r="D196" s="171"/>
      <c r="E196" s="171"/>
      <c r="F196" s="171"/>
      <c r="G196" s="171"/>
      <c r="H196" s="171" t="s">
        <v>562</v>
      </c>
      <c r="I196" s="171"/>
      <c r="J196" s="161">
        <v>172361.25</v>
      </c>
      <c r="L196" s="171"/>
      <c r="M196" s="171"/>
      <c r="N196" s="171"/>
      <c r="O196" s="171"/>
      <c r="P196" s="171"/>
      <c r="Q196" s="171"/>
      <c r="R196" s="171" t="s">
        <v>562</v>
      </c>
      <c r="S196" s="171"/>
      <c r="T196" s="138">
        <v>172361.25</v>
      </c>
      <c r="X196" s="21"/>
    </row>
    <row r="197" spans="1:24" x14ac:dyDescent="0.25">
      <c r="A197" s="171"/>
      <c r="B197" s="171"/>
      <c r="C197" s="171"/>
      <c r="D197" s="171"/>
      <c r="E197" s="171"/>
      <c r="F197" s="171"/>
      <c r="G197" s="171"/>
      <c r="H197" s="171" t="s">
        <v>563</v>
      </c>
      <c r="I197" s="171"/>
      <c r="J197" s="161">
        <v>65343.75</v>
      </c>
      <c r="L197" s="171"/>
      <c r="M197" s="171"/>
      <c r="N197" s="171"/>
      <c r="O197" s="171"/>
      <c r="P197" s="171"/>
      <c r="Q197" s="171"/>
      <c r="R197" s="171" t="s">
        <v>563</v>
      </c>
      <c r="S197" s="171"/>
      <c r="T197" s="138">
        <v>65343.75</v>
      </c>
      <c r="X197" s="21"/>
    </row>
    <row r="198" spans="1:24" x14ac:dyDescent="0.25">
      <c r="A198" s="171"/>
      <c r="B198" s="171"/>
      <c r="C198" s="171"/>
      <c r="D198" s="171"/>
      <c r="E198" s="171"/>
      <c r="F198" s="171"/>
      <c r="G198" s="171"/>
      <c r="H198" s="171" t="s">
        <v>564</v>
      </c>
      <c r="I198" s="171"/>
      <c r="J198" s="161">
        <v>645465</v>
      </c>
      <c r="L198" s="171"/>
      <c r="M198" s="171"/>
      <c r="N198" s="171"/>
      <c r="O198" s="171"/>
      <c r="P198" s="171"/>
      <c r="Q198" s="171"/>
      <c r="R198" s="171" t="s">
        <v>564</v>
      </c>
      <c r="S198" s="171"/>
      <c r="T198" s="138">
        <v>645465</v>
      </c>
    </row>
    <row r="199" spans="1:24" x14ac:dyDescent="0.25">
      <c r="A199" s="171"/>
      <c r="B199" s="171"/>
      <c r="C199" s="171"/>
      <c r="D199" s="171"/>
      <c r="E199" s="171"/>
      <c r="F199" s="171"/>
      <c r="G199" s="171"/>
      <c r="H199" s="171" t="s">
        <v>565</v>
      </c>
      <c r="I199" s="171"/>
      <c r="J199" s="161">
        <v>47895.83</v>
      </c>
      <c r="L199" s="171"/>
      <c r="M199" s="171"/>
      <c r="N199" s="171"/>
      <c r="O199" s="171"/>
      <c r="P199" s="171"/>
      <c r="Q199" s="171"/>
      <c r="R199" s="171" t="s">
        <v>565</v>
      </c>
      <c r="S199" s="171"/>
      <c r="T199" s="138">
        <v>47895.83</v>
      </c>
    </row>
    <row r="200" spans="1:24" x14ac:dyDescent="0.25">
      <c r="A200" s="171"/>
      <c r="B200" s="171"/>
      <c r="C200" s="171"/>
      <c r="D200" s="171"/>
      <c r="E200" s="171"/>
      <c r="F200" s="171"/>
      <c r="G200" s="171"/>
      <c r="H200" s="171" t="s">
        <v>566</v>
      </c>
      <c r="I200" s="171"/>
      <c r="J200" s="161">
        <v>34460</v>
      </c>
      <c r="L200" s="171"/>
      <c r="M200" s="171"/>
      <c r="N200" s="171"/>
      <c r="O200" s="171"/>
      <c r="P200" s="171"/>
      <c r="Q200" s="171"/>
      <c r="R200" s="171" t="s">
        <v>566</v>
      </c>
      <c r="S200" s="171"/>
      <c r="T200" s="138">
        <v>34460</v>
      </c>
    </row>
    <row r="201" spans="1:24" x14ac:dyDescent="0.25">
      <c r="A201" s="171"/>
      <c r="B201" s="171"/>
      <c r="C201" s="171"/>
      <c r="D201" s="171"/>
      <c r="E201" s="171"/>
      <c r="F201" s="171"/>
      <c r="G201" s="171"/>
      <c r="H201" s="171" t="s">
        <v>567</v>
      </c>
      <c r="I201" s="171"/>
      <c r="J201" s="161">
        <v>93194.59</v>
      </c>
      <c r="L201" s="171"/>
      <c r="M201" s="171"/>
      <c r="N201" s="171"/>
      <c r="O201" s="171"/>
      <c r="P201" s="171"/>
      <c r="Q201" s="171"/>
      <c r="R201" s="171" t="s">
        <v>567</v>
      </c>
      <c r="S201" s="171"/>
      <c r="T201" s="138">
        <v>93194.59</v>
      </c>
    </row>
    <row r="202" spans="1:24" x14ac:dyDescent="0.25">
      <c r="A202" s="171"/>
      <c r="B202" s="171"/>
      <c r="C202" s="171"/>
      <c r="D202" s="171"/>
      <c r="E202" s="171"/>
      <c r="F202" s="171"/>
      <c r="G202" s="171"/>
      <c r="H202" s="171" t="s">
        <v>568</v>
      </c>
      <c r="I202" s="171"/>
      <c r="J202" s="161">
        <v>14870.83</v>
      </c>
      <c r="L202" s="171"/>
      <c r="M202" s="171"/>
      <c r="N202" s="171"/>
      <c r="O202" s="171"/>
      <c r="P202" s="171"/>
      <c r="Q202" s="171"/>
      <c r="R202" s="171" t="s">
        <v>568</v>
      </c>
      <c r="S202" s="171"/>
      <c r="T202" s="138">
        <v>14870.83</v>
      </c>
    </row>
    <row r="203" spans="1:24" ht="15.75" thickBot="1" x14ac:dyDescent="0.3">
      <c r="A203" s="171"/>
      <c r="B203" s="171"/>
      <c r="C203" s="171"/>
      <c r="D203" s="171"/>
      <c r="E203" s="171"/>
      <c r="F203" s="171"/>
      <c r="G203" s="171"/>
      <c r="H203" s="171" t="s">
        <v>569</v>
      </c>
      <c r="I203" s="171"/>
      <c r="J203" s="209">
        <v>270000</v>
      </c>
      <c r="L203" s="171"/>
      <c r="M203" s="171"/>
      <c r="N203" s="171"/>
      <c r="O203" s="171"/>
      <c r="P203" s="171"/>
      <c r="Q203" s="171"/>
      <c r="R203" s="171" t="s">
        <v>569</v>
      </c>
      <c r="S203" s="171"/>
      <c r="T203" s="143">
        <v>270000</v>
      </c>
    </row>
    <row r="204" spans="1:24" x14ac:dyDescent="0.25">
      <c r="A204" s="171"/>
      <c r="B204" s="171"/>
      <c r="C204" s="171"/>
      <c r="D204" s="171"/>
      <c r="E204" s="171"/>
      <c r="F204" s="171"/>
      <c r="G204" s="171" t="s">
        <v>570</v>
      </c>
      <c r="H204" s="171"/>
      <c r="I204" s="171"/>
      <c r="J204" s="161">
        <f>ROUND(SUM(J192:J203),5)</f>
        <v>1645585</v>
      </c>
      <c r="L204" s="171"/>
      <c r="M204" s="171"/>
      <c r="N204" s="171"/>
      <c r="O204" s="171"/>
      <c r="P204" s="171"/>
      <c r="Q204" s="171" t="s">
        <v>570</v>
      </c>
      <c r="R204" s="171"/>
      <c r="S204" s="171"/>
      <c r="T204" s="138">
        <f>ROUND(SUM(T192:T203),5)</f>
        <v>1645585</v>
      </c>
      <c r="V204" s="20"/>
    </row>
    <row r="205" spans="1:24" x14ac:dyDescent="0.25">
      <c r="A205" s="171"/>
      <c r="B205" s="171"/>
      <c r="C205" s="171"/>
      <c r="D205" s="171"/>
      <c r="E205" s="171"/>
      <c r="F205" s="171"/>
      <c r="G205" s="171"/>
      <c r="H205" s="171"/>
      <c r="I205" s="171"/>
      <c r="J205" s="161"/>
      <c r="L205" s="171"/>
      <c r="M205" s="171"/>
      <c r="N205" s="171"/>
      <c r="O205" s="171"/>
      <c r="P205" s="171"/>
      <c r="Q205" s="171"/>
      <c r="R205" s="171"/>
      <c r="S205" s="171"/>
      <c r="T205" s="138"/>
    </row>
    <row r="206" spans="1:24" x14ac:dyDescent="0.25">
      <c r="A206" s="171"/>
      <c r="B206" s="171"/>
      <c r="C206" s="171"/>
      <c r="D206" s="171"/>
      <c r="E206" s="171"/>
      <c r="F206" s="171"/>
      <c r="G206" s="171" t="s">
        <v>468</v>
      </c>
      <c r="H206" s="171"/>
      <c r="I206" s="171"/>
      <c r="J206" s="161"/>
      <c r="L206" s="171"/>
      <c r="M206" s="171"/>
      <c r="N206" s="171"/>
      <c r="O206" s="171"/>
      <c r="P206" s="171"/>
      <c r="Q206" s="171" t="s">
        <v>468</v>
      </c>
      <c r="R206" s="171"/>
      <c r="S206" s="171"/>
      <c r="T206" s="138"/>
    </row>
    <row r="207" spans="1:24" x14ac:dyDescent="0.25">
      <c r="A207" s="171"/>
      <c r="B207" s="171"/>
      <c r="C207" s="171"/>
      <c r="D207" s="171"/>
      <c r="E207" s="171"/>
      <c r="F207" s="171"/>
      <c r="G207" s="171"/>
      <c r="H207" s="171" t="s">
        <v>571</v>
      </c>
      <c r="I207" s="171"/>
      <c r="J207" s="161">
        <v>-296281.28000000003</v>
      </c>
      <c r="L207" s="171"/>
      <c r="M207" s="171"/>
      <c r="N207" s="171"/>
      <c r="O207" s="171"/>
      <c r="P207" s="171"/>
      <c r="Q207" s="171"/>
      <c r="R207" s="171" t="s">
        <v>571</v>
      </c>
      <c r="S207" s="171"/>
      <c r="T207" s="138">
        <v>-296281.28000000003</v>
      </c>
    </row>
    <row r="208" spans="1:24" x14ac:dyDescent="0.25">
      <c r="A208" s="171"/>
      <c r="B208" s="171"/>
      <c r="C208" s="171"/>
      <c r="D208" s="171"/>
      <c r="E208" s="171"/>
      <c r="F208" s="171"/>
      <c r="G208" s="171"/>
      <c r="H208" s="171" t="s">
        <v>140</v>
      </c>
      <c r="I208" s="171"/>
      <c r="J208" s="161">
        <v>225000</v>
      </c>
      <c r="L208" s="171"/>
      <c r="M208" s="171"/>
      <c r="N208" s="171"/>
      <c r="O208" s="171"/>
      <c r="P208" s="171"/>
      <c r="Q208" s="171"/>
      <c r="R208" s="171" t="s">
        <v>140</v>
      </c>
      <c r="S208" s="171"/>
      <c r="T208" s="138">
        <v>225000</v>
      </c>
    </row>
    <row r="209" spans="1:20" x14ac:dyDescent="0.25">
      <c r="A209" s="171"/>
      <c r="B209" s="171"/>
      <c r="C209" s="171"/>
      <c r="D209" s="171"/>
      <c r="E209" s="171"/>
      <c r="F209" s="171"/>
      <c r="G209" s="171"/>
      <c r="H209" s="171" t="s">
        <v>572</v>
      </c>
      <c r="I209" s="171"/>
      <c r="J209" s="161">
        <v>93984</v>
      </c>
      <c r="L209" s="171"/>
      <c r="M209" s="171"/>
      <c r="N209" s="171"/>
      <c r="O209" s="171"/>
      <c r="P209" s="171"/>
      <c r="Q209" s="171"/>
      <c r="R209" s="171" t="s">
        <v>572</v>
      </c>
      <c r="S209" s="171"/>
      <c r="T209" s="138">
        <v>93984</v>
      </c>
    </row>
    <row r="210" spans="1:20" ht="15.75" thickBot="1" x14ac:dyDescent="0.3">
      <c r="A210" s="171"/>
      <c r="B210" s="171"/>
      <c r="C210" s="171"/>
      <c r="D210" s="171"/>
      <c r="E210" s="171"/>
      <c r="F210" s="171"/>
      <c r="G210" s="171"/>
      <c r="H210" s="171" t="s">
        <v>573</v>
      </c>
      <c r="I210" s="171"/>
      <c r="J210" s="209">
        <v>175235.68</v>
      </c>
      <c r="L210" s="171"/>
      <c r="M210" s="171"/>
      <c r="N210" s="171"/>
      <c r="O210" s="171"/>
      <c r="P210" s="171"/>
      <c r="Q210" s="171"/>
      <c r="R210" s="171" t="s">
        <v>573</v>
      </c>
      <c r="S210" s="171"/>
      <c r="T210" s="143">
        <v>175235.68</v>
      </c>
    </row>
    <row r="211" spans="1:20" x14ac:dyDescent="0.25">
      <c r="A211" s="171"/>
      <c r="B211" s="171"/>
      <c r="C211" s="171"/>
      <c r="D211" s="171"/>
      <c r="E211" s="171"/>
      <c r="F211" s="171"/>
      <c r="G211" s="171" t="s">
        <v>469</v>
      </c>
      <c r="H211" s="171"/>
      <c r="I211" s="171"/>
      <c r="J211" s="161">
        <f>ROUND(SUM(J206:J210),5)</f>
        <v>197938.4</v>
      </c>
      <c r="L211" s="171"/>
      <c r="M211" s="171"/>
      <c r="N211" s="171"/>
      <c r="O211" s="171"/>
      <c r="P211" s="171"/>
      <c r="Q211" s="171" t="s">
        <v>469</v>
      </c>
      <c r="R211" s="171"/>
      <c r="S211" s="171"/>
      <c r="T211" s="138">
        <f>ROUND(SUM(T206:T210),5)</f>
        <v>197938.4</v>
      </c>
    </row>
    <row r="212" spans="1:20" x14ac:dyDescent="0.25">
      <c r="A212" s="171"/>
      <c r="B212" s="171"/>
      <c r="C212" s="171"/>
      <c r="D212" s="171"/>
      <c r="E212" s="171"/>
      <c r="F212" s="171"/>
      <c r="G212" s="171" t="s">
        <v>141</v>
      </c>
      <c r="H212" s="171"/>
      <c r="I212" s="171"/>
      <c r="J212" s="161"/>
      <c r="L212" s="171"/>
      <c r="M212" s="171"/>
      <c r="N212" s="171"/>
      <c r="O212" s="171"/>
      <c r="P212" s="171"/>
      <c r="Q212" s="171" t="s">
        <v>141</v>
      </c>
      <c r="R212" s="171"/>
      <c r="S212" s="171"/>
      <c r="T212" s="138"/>
    </row>
    <row r="213" spans="1:20" x14ac:dyDescent="0.25">
      <c r="A213" s="171"/>
      <c r="B213" s="171"/>
      <c r="C213" s="171"/>
      <c r="D213" s="171"/>
      <c r="E213" s="171"/>
      <c r="F213" s="171"/>
      <c r="G213" s="171"/>
      <c r="H213" s="171" t="s">
        <v>574</v>
      </c>
      <c r="I213" s="171"/>
      <c r="J213" s="161">
        <v>-73394.91</v>
      </c>
      <c r="L213" s="171"/>
      <c r="M213" s="171"/>
      <c r="N213" s="171"/>
      <c r="O213" s="171"/>
      <c r="P213" s="171"/>
      <c r="Q213" s="171"/>
      <c r="R213" s="171" t="s">
        <v>574</v>
      </c>
      <c r="S213" s="171"/>
      <c r="T213" s="138">
        <v>-73394.91</v>
      </c>
    </row>
    <row r="214" spans="1:20" x14ac:dyDescent="0.25">
      <c r="A214" s="171"/>
      <c r="B214" s="171"/>
      <c r="C214" s="171"/>
      <c r="D214" s="171"/>
      <c r="E214" s="171"/>
      <c r="F214" s="171"/>
      <c r="G214" s="171"/>
      <c r="H214" s="171" t="s">
        <v>142</v>
      </c>
      <c r="I214" s="171"/>
      <c r="J214" s="161">
        <v>21720</v>
      </c>
      <c r="L214" s="171"/>
      <c r="M214" s="171"/>
      <c r="N214" s="171"/>
      <c r="O214" s="171"/>
      <c r="P214" s="171"/>
      <c r="Q214" s="171"/>
      <c r="R214" s="171" t="s">
        <v>628</v>
      </c>
      <c r="S214" s="171"/>
      <c r="T214" s="138">
        <v>11458.33</v>
      </c>
    </row>
    <row r="215" spans="1:20" x14ac:dyDescent="0.25">
      <c r="A215" s="171"/>
      <c r="B215" s="171"/>
      <c r="C215" s="171"/>
      <c r="D215" s="171"/>
      <c r="E215" s="171"/>
      <c r="F215" s="171"/>
      <c r="G215" s="171"/>
      <c r="H215" s="171" t="s">
        <v>143</v>
      </c>
      <c r="I215" s="171"/>
      <c r="J215" s="161">
        <v>146901.67000000001</v>
      </c>
      <c r="L215" s="171"/>
      <c r="M215" s="171"/>
      <c r="N215" s="171"/>
      <c r="O215" s="171"/>
      <c r="P215" s="171"/>
      <c r="Q215" s="171"/>
      <c r="R215" s="171" t="s">
        <v>142</v>
      </c>
      <c r="S215" s="171"/>
      <c r="T215" s="138">
        <v>21720</v>
      </c>
    </row>
    <row r="216" spans="1:20" x14ac:dyDescent="0.25">
      <c r="A216" s="171"/>
      <c r="B216" s="171"/>
      <c r="C216" s="171"/>
      <c r="D216" s="171"/>
      <c r="E216" s="171"/>
      <c r="F216" s="171"/>
      <c r="G216" s="171"/>
      <c r="H216" s="171" t="s">
        <v>575</v>
      </c>
      <c r="I216" s="171"/>
      <c r="J216" s="161"/>
      <c r="L216" s="171"/>
      <c r="M216" s="171"/>
      <c r="N216" s="171"/>
      <c r="O216" s="171"/>
      <c r="P216" s="171"/>
      <c r="Q216" s="171"/>
      <c r="R216" s="171" t="s">
        <v>143</v>
      </c>
      <c r="S216" s="171"/>
      <c r="T216" s="138">
        <v>157003.71</v>
      </c>
    </row>
    <row r="217" spans="1:20" x14ac:dyDescent="0.25">
      <c r="A217" s="171"/>
      <c r="B217" s="171"/>
      <c r="C217" s="171"/>
      <c r="D217" s="171"/>
      <c r="E217" s="171"/>
      <c r="F217" s="171"/>
      <c r="G217" s="171"/>
      <c r="H217" s="171"/>
      <c r="I217" s="171" t="s">
        <v>576</v>
      </c>
      <c r="J217" s="161">
        <v>159118.26999999999</v>
      </c>
      <c r="L217" s="171"/>
      <c r="M217" s="171"/>
      <c r="N217" s="171"/>
      <c r="O217" s="171"/>
      <c r="P217" s="171"/>
      <c r="Q217" s="171"/>
      <c r="R217" s="171" t="s">
        <v>575</v>
      </c>
      <c r="S217" s="171"/>
      <c r="T217" s="138"/>
    </row>
    <row r="218" spans="1:20" ht="15.75" thickBot="1" x14ac:dyDescent="0.3">
      <c r="A218" s="171"/>
      <c r="B218" s="171"/>
      <c r="C218" s="171"/>
      <c r="D218" s="171"/>
      <c r="E218" s="171"/>
      <c r="F218" s="171"/>
      <c r="G218" s="171"/>
      <c r="H218" s="171"/>
      <c r="I218" s="171" t="s">
        <v>577</v>
      </c>
      <c r="J218" s="209">
        <v>7121.81</v>
      </c>
      <c r="L218" s="171"/>
      <c r="M218" s="171"/>
      <c r="N218" s="171"/>
      <c r="O218" s="171"/>
      <c r="P218" s="171"/>
      <c r="Q218" s="171"/>
      <c r="R218" s="171"/>
      <c r="S218" s="171" t="s">
        <v>576</v>
      </c>
      <c r="T218" s="138">
        <v>159118.26999999999</v>
      </c>
    </row>
    <row r="219" spans="1:20" ht="15.75" thickBot="1" x14ac:dyDescent="0.3">
      <c r="A219" s="171"/>
      <c r="B219" s="171"/>
      <c r="C219" s="171"/>
      <c r="D219" s="171"/>
      <c r="E219" s="171"/>
      <c r="F219" s="171"/>
      <c r="G219" s="171"/>
      <c r="H219" s="171" t="s">
        <v>578</v>
      </c>
      <c r="I219" s="171"/>
      <c r="J219" s="161">
        <f>ROUND(SUM(J216:J218),5)</f>
        <v>166240.07999999999</v>
      </c>
      <c r="L219" s="171"/>
      <c r="M219" s="171"/>
      <c r="N219" s="171"/>
      <c r="O219" s="171"/>
      <c r="P219" s="171"/>
      <c r="Q219" s="171"/>
      <c r="R219" s="171"/>
      <c r="S219" s="171" t="s">
        <v>577</v>
      </c>
      <c r="T219" s="143">
        <v>8064.58</v>
      </c>
    </row>
    <row r="220" spans="1:20" x14ac:dyDescent="0.25">
      <c r="A220" s="171"/>
      <c r="B220" s="171"/>
      <c r="C220" s="171"/>
      <c r="D220" s="171"/>
      <c r="E220" s="171"/>
      <c r="F220" s="171"/>
      <c r="G220" s="171"/>
      <c r="H220" s="171" t="s">
        <v>579</v>
      </c>
      <c r="I220" s="171"/>
      <c r="J220" s="161">
        <v>7772.38</v>
      </c>
      <c r="L220" s="171"/>
      <c r="M220" s="171"/>
      <c r="N220" s="171"/>
      <c r="O220" s="171"/>
      <c r="P220" s="171"/>
      <c r="Q220" s="171"/>
      <c r="R220" s="171" t="s">
        <v>578</v>
      </c>
      <c r="S220" s="171"/>
      <c r="T220" s="138">
        <f>ROUND(SUM(T217:T219),5)</f>
        <v>167182.85</v>
      </c>
    </row>
    <row r="221" spans="1:20" x14ac:dyDescent="0.25">
      <c r="A221" s="171"/>
      <c r="B221" s="171"/>
      <c r="C221" s="171"/>
      <c r="D221" s="171"/>
      <c r="E221" s="171"/>
      <c r="F221" s="171"/>
      <c r="G221" s="171"/>
      <c r="H221" s="171" t="s">
        <v>580</v>
      </c>
      <c r="I221" s="171"/>
      <c r="J221" s="161">
        <v>5148</v>
      </c>
      <c r="L221" s="171"/>
      <c r="M221" s="171"/>
      <c r="N221" s="171"/>
      <c r="O221" s="171"/>
      <c r="P221" s="171"/>
      <c r="Q221" s="171"/>
      <c r="R221" s="171" t="s">
        <v>470</v>
      </c>
      <c r="S221" s="171"/>
      <c r="T221" s="138">
        <v>44800</v>
      </c>
    </row>
    <row r="222" spans="1:20" x14ac:dyDescent="0.25">
      <c r="A222" s="171"/>
      <c r="B222" s="171"/>
      <c r="C222" s="171"/>
      <c r="D222" s="171"/>
      <c r="E222" s="171"/>
      <c r="F222" s="171"/>
      <c r="G222" s="171"/>
      <c r="H222" s="171" t="s">
        <v>144</v>
      </c>
      <c r="I222" s="171"/>
      <c r="J222" s="161">
        <v>13130</v>
      </c>
      <c r="L222" s="171"/>
      <c r="M222" s="171"/>
      <c r="N222" s="171"/>
      <c r="O222" s="171"/>
      <c r="P222" s="171"/>
      <c r="Q222" s="171"/>
      <c r="R222" s="171" t="s">
        <v>579</v>
      </c>
      <c r="S222" s="171"/>
      <c r="T222" s="138">
        <v>7772.38</v>
      </c>
    </row>
    <row r="223" spans="1:20" x14ac:dyDescent="0.25">
      <c r="A223" s="171"/>
      <c r="B223" s="171"/>
      <c r="C223" s="171"/>
      <c r="D223" s="171"/>
      <c r="E223" s="171"/>
      <c r="F223" s="171"/>
      <c r="G223" s="171"/>
      <c r="H223" s="171" t="s">
        <v>145</v>
      </c>
      <c r="I223" s="171"/>
      <c r="J223" s="161">
        <v>38500</v>
      </c>
      <c r="L223" s="171"/>
      <c r="M223" s="171"/>
      <c r="N223" s="171"/>
      <c r="O223" s="171"/>
      <c r="P223" s="171"/>
      <c r="Q223" s="171"/>
      <c r="R223" s="171" t="s">
        <v>580</v>
      </c>
      <c r="S223" s="171"/>
      <c r="T223" s="138">
        <v>5148</v>
      </c>
    </row>
    <row r="224" spans="1:20" x14ac:dyDescent="0.25">
      <c r="A224" s="171"/>
      <c r="B224" s="171"/>
      <c r="C224" s="171"/>
      <c r="D224" s="171"/>
      <c r="E224" s="171"/>
      <c r="F224" s="171"/>
      <c r="G224" s="171"/>
      <c r="H224" s="171" t="s">
        <v>146</v>
      </c>
      <c r="I224" s="171"/>
      <c r="J224" s="161">
        <v>139950</v>
      </c>
      <c r="L224" s="171"/>
      <c r="M224" s="171"/>
      <c r="N224" s="171"/>
      <c r="O224" s="171"/>
      <c r="P224" s="171"/>
      <c r="Q224" s="171"/>
      <c r="R224" s="171" t="s">
        <v>144</v>
      </c>
      <c r="S224" s="171"/>
      <c r="T224" s="138">
        <v>13130</v>
      </c>
    </row>
    <row r="225" spans="1:20" x14ac:dyDescent="0.25">
      <c r="A225" s="171"/>
      <c r="B225" s="171"/>
      <c r="C225" s="171"/>
      <c r="D225" s="171"/>
      <c r="E225" s="171"/>
      <c r="F225" s="171"/>
      <c r="G225" s="171"/>
      <c r="H225" s="171" t="s">
        <v>581</v>
      </c>
      <c r="I225" s="171"/>
      <c r="J225" s="161">
        <v>1790</v>
      </c>
      <c r="L225" s="171"/>
      <c r="M225" s="171"/>
      <c r="N225" s="171"/>
      <c r="O225" s="171"/>
      <c r="P225" s="171"/>
      <c r="Q225" s="171"/>
      <c r="R225" s="171" t="s">
        <v>145</v>
      </c>
      <c r="S225" s="171"/>
      <c r="T225" s="138">
        <v>43300</v>
      </c>
    </row>
    <row r="226" spans="1:20" x14ac:dyDescent="0.25">
      <c r="A226" s="171"/>
      <c r="B226" s="171"/>
      <c r="C226" s="171"/>
      <c r="D226" s="171"/>
      <c r="E226" s="171"/>
      <c r="F226" s="171"/>
      <c r="G226" s="171"/>
      <c r="H226" s="171" t="s">
        <v>582</v>
      </c>
      <c r="I226" s="171"/>
      <c r="J226" s="161">
        <v>26200</v>
      </c>
      <c r="L226" s="171"/>
      <c r="M226" s="171"/>
      <c r="N226" s="171"/>
      <c r="O226" s="171"/>
      <c r="P226" s="171"/>
      <c r="Q226" s="171"/>
      <c r="R226" s="171" t="s">
        <v>146</v>
      </c>
      <c r="S226" s="171"/>
      <c r="T226" s="138">
        <v>129950</v>
      </c>
    </row>
    <row r="227" spans="1:20" ht="15.75" thickBot="1" x14ac:dyDescent="0.3">
      <c r="A227" s="171"/>
      <c r="B227" s="171"/>
      <c r="C227" s="171"/>
      <c r="D227" s="171"/>
      <c r="E227" s="171"/>
      <c r="F227" s="171"/>
      <c r="G227" s="171"/>
      <c r="H227" s="171" t="s">
        <v>147</v>
      </c>
      <c r="I227" s="171"/>
      <c r="J227" s="209">
        <v>100</v>
      </c>
      <c r="L227" s="171"/>
      <c r="M227" s="171"/>
      <c r="N227" s="171"/>
      <c r="O227" s="171"/>
      <c r="P227" s="171"/>
      <c r="Q227" s="171"/>
      <c r="R227" s="171" t="s">
        <v>581</v>
      </c>
      <c r="S227" s="171"/>
      <c r="T227" s="138">
        <v>1790</v>
      </c>
    </row>
    <row r="228" spans="1:20" ht="15.75" thickBot="1" x14ac:dyDescent="0.3">
      <c r="A228" s="171"/>
      <c r="B228" s="171"/>
      <c r="C228" s="171"/>
      <c r="D228" s="171"/>
      <c r="E228" s="171"/>
      <c r="F228" s="171"/>
      <c r="G228" s="171" t="s">
        <v>148</v>
      </c>
      <c r="H228" s="171"/>
      <c r="I228" s="171"/>
      <c r="J228" s="161">
        <f>ROUND(SUM(J212:J215)+SUM(J219:J227),5)</f>
        <v>494057.22</v>
      </c>
      <c r="L228" s="171"/>
      <c r="M228" s="171"/>
      <c r="N228" s="171"/>
      <c r="O228" s="171"/>
      <c r="P228" s="171"/>
      <c r="Q228" s="171"/>
      <c r="R228" s="171" t="s">
        <v>582</v>
      </c>
      <c r="S228" s="171"/>
      <c r="T228" s="143">
        <v>527998.80000000005</v>
      </c>
    </row>
    <row r="229" spans="1:20" x14ac:dyDescent="0.25">
      <c r="A229" s="171"/>
      <c r="B229" s="171"/>
      <c r="C229" s="171"/>
      <c r="D229" s="171"/>
      <c r="E229" s="171"/>
      <c r="F229" s="171"/>
      <c r="G229" s="171" t="s">
        <v>149</v>
      </c>
      <c r="H229" s="171"/>
      <c r="I229" s="171"/>
      <c r="J229" s="161"/>
      <c r="L229" s="171"/>
      <c r="M229" s="171"/>
      <c r="N229" s="171"/>
      <c r="O229" s="171"/>
      <c r="P229" s="171"/>
      <c r="Q229" s="171" t="s">
        <v>148</v>
      </c>
      <c r="R229" s="171"/>
      <c r="S229" s="171"/>
      <c r="T229" s="138">
        <f>ROUND(SUM(T212:T216)+SUM(T220:T228),5)</f>
        <v>1057859.1599999999</v>
      </c>
    </row>
    <row r="230" spans="1:20" x14ac:dyDescent="0.25">
      <c r="A230" s="171"/>
      <c r="B230" s="171"/>
      <c r="C230" s="171"/>
      <c r="D230" s="171"/>
      <c r="E230" s="171"/>
      <c r="F230" s="171"/>
      <c r="G230" s="171"/>
      <c r="H230" s="171" t="s">
        <v>583</v>
      </c>
      <c r="I230" s="171"/>
      <c r="J230" s="161">
        <v>-93252.59</v>
      </c>
      <c r="L230" s="171"/>
      <c r="M230" s="171"/>
      <c r="N230" s="171"/>
      <c r="O230" s="171"/>
      <c r="P230" s="171"/>
      <c r="Q230" s="171" t="s">
        <v>149</v>
      </c>
      <c r="R230" s="171"/>
      <c r="S230" s="171"/>
      <c r="T230" s="138"/>
    </row>
    <row r="231" spans="1:20" x14ac:dyDescent="0.25">
      <c r="A231" s="171"/>
      <c r="B231" s="171"/>
      <c r="C231" s="171"/>
      <c r="D231" s="171"/>
      <c r="E231" s="171"/>
      <c r="F231" s="171"/>
      <c r="G231" s="171"/>
      <c r="H231" s="171" t="s">
        <v>584</v>
      </c>
      <c r="I231" s="171"/>
      <c r="J231" s="161">
        <v>16936.18</v>
      </c>
      <c r="L231" s="171"/>
      <c r="M231" s="171"/>
      <c r="N231" s="171"/>
      <c r="O231" s="171"/>
      <c r="P231" s="171"/>
      <c r="Q231" s="171"/>
      <c r="R231" s="171" t="s">
        <v>583</v>
      </c>
      <c r="S231" s="171"/>
      <c r="T231" s="138">
        <v>-93252.59</v>
      </c>
    </row>
    <row r="232" spans="1:20" x14ac:dyDescent="0.25">
      <c r="A232" s="171"/>
      <c r="B232" s="171"/>
      <c r="C232" s="171"/>
      <c r="D232" s="171"/>
      <c r="E232" s="171"/>
      <c r="F232" s="171"/>
      <c r="G232" s="171"/>
      <c r="H232" s="171" t="s">
        <v>150</v>
      </c>
      <c r="I232" s="171"/>
      <c r="J232" s="161">
        <v>10271.43</v>
      </c>
      <c r="L232" s="171"/>
      <c r="M232" s="171"/>
      <c r="N232" s="171"/>
      <c r="O232" s="171"/>
      <c r="P232" s="171"/>
      <c r="Q232" s="171"/>
      <c r="R232" s="171" t="s">
        <v>584</v>
      </c>
      <c r="S232" s="171"/>
      <c r="T232" s="138">
        <v>17489.3</v>
      </c>
    </row>
    <row r="233" spans="1:20" x14ac:dyDescent="0.25">
      <c r="A233" s="171"/>
      <c r="B233" s="171"/>
      <c r="C233" s="171"/>
      <c r="D233" s="171"/>
      <c r="E233" s="171"/>
      <c r="F233" s="171"/>
      <c r="G233" s="171"/>
      <c r="H233" s="171" t="s">
        <v>151</v>
      </c>
      <c r="I233" s="171"/>
      <c r="J233" s="161">
        <v>23165.23</v>
      </c>
      <c r="L233" s="171"/>
      <c r="M233" s="171"/>
      <c r="N233" s="171"/>
      <c r="O233" s="171"/>
      <c r="P233" s="171"/>
      <c r="Q233" s="171"/>
      <c r="R233" s="171" t="s">
        <v>150</v>
      </c>
      <c r="S233" s="171"/>
      <c r="T233" s="138">
        <v>10271.43</v>
      </c>
    </row>
    <row r="234" spans="1:20" x14ac:dyDescent="0.25">
      <c r="A234" s="171"/>
      <c r="B234" s="171"/>
      <c r="C234" s="171"/>
      <c r="D234" s="171"/>
      <c r="E234" s="171"/>
      <c r="F234" s="171"/>
      <c r="G234" s="171"/>
      <c r="H234" s="171" t="s">
        <v>152</v>
      </c>
      <c r="I234" s="171"/>
      <c r="J234" s="161">
        <v>39952.35</v>
      </c>
      <c r="L234" s="171"/>
      <c r="M234" s="171"/>
      <c r="N234" s="171"/>
      <c r="O234" s="171"/>
      <c r="P234" s="171"/>
      <c r="Q234" s="171"/>
      <c r="R234" s="171" t="s">
        <v>151</v>
      </c>
      <c r="S234" s="171"/>
      <c r="T234" s="138">
        <v>12140.31</v>
      </c>
    </row>
    <row r="235" spans="1:20" x14ac:dyDescent="0.25">
      <c r="A235" s="171"/>
      <c r="B235" s="171"/>
      <c r="C235" s="171"/>
      <c r="D235" s="171"/>
      <c r="E235" s="171"/>
      <c r="F235" s="171"/>
      <c r="G235" s="171"/>
      <c r="H235" s="171" t="s">
        <v>471</v>
      </c>
      <c r="I235" s="171"/>
      <c r="J235" s="161">
        <v>34397.040000000001</v>
      </c>
      <c r="L235" s="171"/>
      <c r="M235" s="171"/>
      <c r="N235" s="171"/>
      <c r="O235" s="171"/>
      <c r="P235" s="171"/>
      <c r="Q235" s="171"/>
      <c r="R235" s="171" t="s">
        <v>152</v>
      </c>
      <c r="S235" s="171"/>
      <c r="T235" s="138">
        <v>40324.480000000003</v>
      </c>
    </row>
    <row r="236" spans="1:20" x14ac:dyDescent="0.25">
      <c r="A236" s="171"/>
      <c r="B236" s="171"/>
      <c r="C236" s="171"/>
      <c r="D236" s="171"/>
      <c r="E236" s="171"/>
      <c r="F236" s="171"/>
      <c r="G236" s="171"/>
      <c r="H236" s="171" t="s">
        <v>472</v>
      </c>
      <c r="I236" s="171"/>
      <c r="J236" s="161">
        <v>4497.53</v>
      </c>
      <c r="L236" s="171"/>
      <c r="M236" s="171"/>
      <c r="N236" s="171"/>
      <c r="O236" s="171"/>
      <c r="P236" s="171"/>
      <c r="Q236" s="171"/>
      <c r="R236" s="171" t="s">
        <v>471</v>
      </c>
      <c r="S236" s="171"/>
      <c r="T236" s="138">
        <v>20367.04</v>
      </c>
    </row>
    <row r="237" spans="1:20" ht="15.75" thickBot="1" x14ac:dyDescent="0.3">
      <c r="A237" s="171"/>
      <c r="B237" s="171"/>
      <c r="C237" s="171"/>
      <c r="D237" s="171"/>
      <c r="E237" s="171"/>
      <c r="F237" s="171"/>
      <c r="G237" s="171"/>
      <c r="H237" s="171" t="s">
        <v>585</v>
      </c>
      <c r="I237" s="171"/>
      <c r="J237" s="209">
        <v>3655.73</v>
      </c>
      <c r="L237" s="171"/>
      <c r="M237" s="171"/>
      <c r="N237" s="171"/>
      <c r="O237" s="171"/>
      <c r="P237" s="171"/>
      <c r="Q237" s="171"/>
      <c r="R237" s="171" t="s">
        <v>472</v>
      </c>
      <c r="S237" s="171"/>
      <c r="T237" s="138">
        <v>3655.73</v>
      </c>
    </row>
    <row r="238" spans="1:20" ht="15.75" thickBot="1" x14ac:dyDescent="0.3">
      <c r="A238" s="171"/>
      <c r="B238" s="171"/>
      <c r="C238" s="171"/>
      <c r="D238" s="171"/>
      <c r="E238" s="171"/>
      <c r="F238" s="171"/>
      <c r="G238" s="171" t="s">
        <v>153</v>
      </c>
      <c r="H238" s="171"/>
      <c r="I238" s="171"/>
      <c r="J238" s="161">
        <f>ROUND(SUM(J229:J237),5)</f>
        <v>39622.9</v>
      </c>
      <c r="L238" s="171"/>
      <c r="M238" s="171"/>
      <c r="N238" s="171"/>
      <c r="O238" s="171"/>
      <c r="P238" s="171"/>
      <c r="Q238" s="171"/>
      <c r="R238" s="171" t="s">
        <v>585</v>
      </c>
      <c r="S238" s="171"/>
      <c r="T238" s="143">
        <v>3655.73</v>
      </c>
    </row>
    <row r="239" spans="1:20" x14ac:dyDescent="0.25">
      <c r="A239" s="171"/>
      <c r="B239" s="171"/>
      <c r="C239" s="171"/>
      <c r="D239" s="171"/>
      <c r="E239" s="171"/>
      <c r="F239" s="171"/>
      <c r="G239" s="171" t="s">
        <v>154</v>
      </c>
      <c r="H239" s="171"/>
      <c r="I239" s="171"/>
      <c r="J239" s="161"/>
      <c r="L239" s="171"/>
      <c r="M239" s="171"/>
      <c r="N239" s="171"/>
      <c r="O239" s="171"/>
      <c r="P239" s="171"/>
      <c r="Q239" s="171" t="s">
        <v>153</v>
      </c>
      <c r="R239" s="171"/>
      <c r="S239" s="171"/>
      <c r="T239" s="138">
        <f>ROUND(SUM(T230:T238),5)</f>
        <v>14651.43</v>
      </c>
    </row>
    <row r="240" spans="1:20" x14ac:dyDescent="0.25">
      <c r="A240" s="171"/>
      <c r="B240" s="171"/>
      <c r="C240" s="171"/>
      <c r="D240" s="171"/>
      <c r="E240" s="171"/>
      <c r="F240" s="171"/>
      <c r="G240" s="171"/>
      <c r="H240" s="171" t="s">
        <v>586</v>
      </c>
      <c r="I240" s="171"/>
      <c r="J240" s="161">
        <v>-74270.77</v>
      </c>
      <c r="L240" s="171"/>
      <c r="M240" s="171"/>
      <c r="N240" s="171"/>
      <c r="O240" s="171"/>
      <c r="P240" s="171"/>
      <c r="Q240" s="171" t="s">
        <v>154</v>
      </c>
      <c r="R240" s="171"/>
      <c r="S240" s="171"/>
      <c r="T240" s="138"/>
    </row>
    <row r="241" spans="1:22" x14ac:dyDescent="0.25">
      <c r="A241" s="171"/>
      <c r="B241" s="171"/>
      <c r="C241" s="171"/>
      <c r="D241" s="171"/>
      <c r="E241" s="171"/>
      <c r="F241" s="171"/>
      <c r="G241" s="171"/>
      <c r="H241" s="171" t="s">
        <v>155</v>
      </c>
      <c r="I241" s="171"/>
      <c r="J241" s="161">
        <v>10710</v>
      </c>
      <c r="L241" s="171"/>
      <c r="M241" s="171"/>
      <c r="N241" s="171"/>
      <c r="O241" s="171"/>
      <c r="P241" s="171"/>
      <c r="Q241" s="171"/>
      <c r="R241" s="171" t="s">
        <v>586</v>
      </c>
      <c r="S241" s="171"/>
      <c r="T241" s="138">
        <v>-74270.77</v>
      </c>
    </row>
    <row r="242" spans="1:22" x14ac:dyDescent="0.25">
      <c r="A242" s="171"/>
      <c r="B242" s="171"/>
      <c r="C242" s="171"/>
      <c r="D242" s="171"/>
      <c r="E242" s="171"/>
      <c r="F242" s="171"/>
      <c r="G242" s="171"/>
      <c r="H242" s="171" t="s">
        <v>156</v>
      </c>
      <c r="I242" s="171"/>
      <c r="J242" s="161">
        <v>9441.34</v>
      </c>
      <c r="L242" s="171"/>
      <c r="M242" s="171"/>
      <c r="N242" s="171"/>
      <c r="O242" s="171"/>
      <c r="P242" s="171"/>
      <c r="Q242" s="171"/>
      <c r="R242" s="171" t="s">
        <v>156</v>
      </c>
      <c r="S242" s="171"/>
      <c r="T242" s="138">
        <v>9441.34</v>
      </c>
    </row>
    <row r="243" spans="1:22" x14ac:dyDescent="0.25">
      <c r="A243" s="171"/>
      <c r="B243" s="171"/>
      <c r="C243" s="171"/>
      <c r="D243" s="171"/>
      <c r="E243" s="171"/>
      <c r="F243" s="171"/>
      <c r="G243" s="171"/>
      <c r="H243" s="171" t="s">
        <v>157</v>
      </c>
      <c r="I243" s="171"/>
      <c r="J243" s="161">
        <v>125000</v>
      </c>
      <c r="L243" s="171"/>
      <c r="M243" s="171"/>
      <c r="N243" s="171"/>
      <c r="O243" s="171"/>
      <c r="P243" s="171"/>
      <c r="Q243" s="171"/>
      <c r="R243" s="171" t="s">
        <v>157</v>
      </c>
      <c r="S243" s="171"/>
      <c r="T243" s="138">
        <v>125000</v>
      </c>
    </row>
    <row r="244" spans="1:22" x14ac:dyDescent="0.25">
      <c r="A244" s="171"/>
      <c r="B244" s="171"/>
      <c r="C244" s="171"/>
      <c r="D244" s="171"/>
      <c r="E244" s="171"/>
      <c r="F244" s="171"/>
      <c r="G244" s="171"/>
      <c r="H244" s="171" t="s">
        <v>158</v>
      </c>
      <c r="I244" s="171"/>
      <c r="J244" s="161">
        <v>92039.95</v>
      </c>
      <c r="L244" s="171"/>
      <c r="M244" s="171"/>
      <c r="N244" s="171"/>
      <c r="O244" s="171"/>
      <c r="P244" s="171"/>
      <c r="Q244" s="171"/>
      <c r="R244" s="171" t="s">
        <v>158</v>
      </c>
      <c r="S244" s="171"/>
      <c r="T244" s="138">
        <v>92039.95</v>
      </c>
    </row>
    <row r="245" spans="1:22" ht="15.75" thickBot="1" x14ac:dyDescent="0.3">
      <c r="A245" s="171"/>
      <c r="B245" s="171"/>
      <c r="C245" s="171"/>
      <c r="D245" s="171"/>
      <c r="E245" s="171"/>
      <c r="F245" s="171"/>
      <c r="G245" s="171"/>
      <c r="H245" s="171" t="s">
        <v>587</v>
      </c>
      <c r="I245" s="171"/>
      <c r="J245" s="209">
        <v>24370</v>
      </c>
      <c r="L245" s="171"/>
      <c r="M245" s="171"/>
      <c r="N245" s="171"/>
      <c r="O245" s="171"/>
      <c r="P245" s="171"/>
      <c r="Q245" s="171"/>
      <c r="R245" s="171" t="s">
        <v>587</v>
      </c>
      <c r="S245" s="171"/>
      <c r="T245" s="143">
        <v>24370</v>
      </c>
    </row>
    <row r="246" spans="1:22" x14ac:dyDescent="0.25">
      <c r="A246" s="171"/>
      <c r="B246" s="171"/>
      <c r="C246" s="171"/>
      <c r="D246" s="171"/>
      <c r="E246" s="171"/>
      <c r="F246" s="171"/>
      <c r="G246" s="171" t="s">
        <v>159</v>
      </c>
      <c r="H246" s="171"/>
      <c r="I246" s="171"/>
      <c r="J246" s="161">
        <f>ROUND(SUM(J239:J245),5)</f>
        <v>187290.52</v>
      </c>
      <c r="L246" s="171"/>
      <c r="M246" s="171"/>
      <c r="N246" s="171"/>
      <c r="O246" s="171"/>
      <c r="P246" s="171"/>
      <c r="Q246" s="171" t="s">
        <v>159</v>
      </c>
      <c r="R246" s="171"/>
      <c r="S246" s="171"/>
      <c r="T246" s="138">
        <f>ROUND(SUM(T240:T245),5)</f>
        <v>176580.52</v>
      </c>
    </row>
    <row r="247" spans="1:22" x14ac:dyDescent="0.25">
      <c r="A247" s="171"/>
      <c r="B247" s="171"/>
      <c r="C247" s="171"/>
      <c r="D247" s="171"/>
      <c r="E247" s="171"/>
      <c r="F247" s="171"/>
      <c r="G247" s="171" t="s">
        <v>160</v>
      </c>
      <c r="H247" s="171"/>
      <c r="I247" s="171"/>
      <c r="J247" s="161"/>
      <c r="L247" s="171"/>
      <c r="M247" s="171"/>
      <c r="N247" s="171"/>
      <c r="O247" s="171"/>
      <c r="P247" s="171"/>
      <c r="Q247" s="171" t="s">
        <v>160</v>
      </c>
      <c r="R247" s="171"/>
      <c r="S247" s="171"/>
      <c r="T247" s="138"/>
    </row>
    <row r="248" spans="1:22" x14ac:dyDescent="0.25">
      <c r="A248" s="171"/>
      <c r="B248" s="171"/>
      <c r="C248" s="171"/>
      <c r="D248" s="171"/>
      <c r="E248" s="171"/>
      <c r="F248" s="171"/>
      <c r="G248" s="171"/>
      <c r="H248" s="171" t="s">
        <v>588</v>
      </c>
      <c r="I248" s="171"/>
      <c r="J248" s="161">
        <v>-16706.48</v>
      </c>
      <c r="L248" s="171"/>
      <c r="M248" s="171"/>
      <c r="N248" s="171"/>
      <c r="O248" s="171"/>
      <c r="P248" s="171"/>
      <c r="Q248" s="171"/>
      <c r="R248" s="171" t="s">
        <v>588</v>
      </c>
      <c r="S248" s="171"/>
      <c r="T248" s="138">
        <v>-16706.48</v>
      </c>
    </row>
    <row r="249" spans="1:22" x14ac:dyDescent="0.25">
      <c r="A249" s="171"/>
      <c r="B249" s="171"/>
      <c r="C249" s="171"/>
      <c r="D249" s="171"/>
      <c r="E249" s="171"/>
      <c r="F249" s="171"/>
      <c r="G249" s="171"/>
      <c r="H249" s="171" t="s">
        <v>589</v>
      </c>
      <c r="I249" s="171"/>
      <c r="J249" s="161">
        <v>15000</v>
      </c>
      <c r="L249" s="171"/>
      <c r="M249" s="171"/>
      <c r="N249" s="171"/>
      <c r="O249" s="171"/>
      <c r="P249" s="171"/>
      <c r="Q249" s="171"/>
      <c r="R249" s="171" t="s">
        <v>589</v>
      </c>
      <c r="S249" s="171"/>
      <c r="T249" s="138">
        <v>15000</v>
      </c>
    </row>
    <row r="250" spans="1:22" x14ac:dyDescent="0.25">
      <c r="A250" s="171"/>
      <c r="B250" s="171"/>
      <c r="C250" s="171"/>
      <c r="D250" s="171"/>
      <c r="E250" s="171"/>
      <c r="F250" s="171"/>
      <c r="G250" s="171"/>
      <c r="H250" s="171" t="s">
        <v>161</v>
      </c>
      <c r="I250" s="171"/>
      <c r="J250" s="161">
        <v>28852.74</v>
      </c>
      <c r="L250" s="171"/>
      <c r="M250" s="171"/>
      <c r="N250" s="171"/>
      <c r="O250" s="171"/>
      <c r="P250" s="171"/>
      <c r="Q250" s="171"/>
      <c r="R250" s="171" t="s">
        <v>161</v>
      </c>
      <c r="S250" s="171"/>
      <c r="T250" s="138">
        <v>28852.74</v>
      </c>
    </row>
    <row r="251" spans="1:22" x14ac:dyDescent="0.25">
      <c r="A251" s="171"/>
      <c r="B251" s="171"/>
      <c r="C251" s="171"/>
      <c r="D251" s="171"/>
      <c r="E251" s="171"/>
      <c r="F251" s="171"/>
      <c r="G251" s="171"/>
      <c r="H251" s="171" t="s">
        <v>162</v>
      </c>
      <c r="I251" s="171"/>
      <c r="J251" s="161">
        <v>40725</v>
      </c>
      <c r="L251" s="171"/>
      <c r="M251" s="171"/>
      <c r="N251" s="171"/>
      <c r="O251" s="171"/>
      <c r="P251" s="171"/>
      <c r="Q251" s="171"/>
      <c r="R251" s="171" t="s">
        <v>162</v>
      </c>
      <c r="S251" s="171"/>
      <c r="T251" s="138">
        <v>40725</v>
      </c>
    </row>
    <row r="252" spans="1:22" x14ac:dyDescent="0.25">
      <c r="A252" s="171"/>
      <c r="B252" s="171"/>
      <c r="C252" s="171"/>
      <c r="D252" s="171"/>
      <c r="E252" s="171"/>
      <c r="F252" s="171"/>
      <c r="G252" s="171"/>
      <c r="H252" s="171" t="s">
        <v>485</v>
      </c>
      <c r="I252" s="171"/>
      <c r="J252" s="161"/>
      <c r="L252" s="171"/>
      <c r="M252" s="171"/>
      <c r="N252" s="171"/>
      <c r="O252" s="171"/>
      <c r="P252" s="171"/>
      <c r="Q252" s="171"/>
      <c r="R252" s="171" t="s">
        <v>485</v>
      </c>
      <c r="S252" s="171"/>
      <c r="T252" s="138"/>
    </row>
    <row r="253" spans="1:22" x14ac:dyDescent="0.25">
      <c r="A253" s="171"/>
      <c r="B253" s="171"/>
      <c r="C253" s="171"/>
      <c r="D253" s="171"/>
      <c r="E253" s="171"/>
      <c r="F253" s="171"/>
      <c r="G253" s="171"/>
      <c r="H253" s="171"/>
      <c r="I253" s="171" t="s">
        <v>487</v>
      </c>
      <c r="J253" s="161">
        <v>7145</v>
      </c>
      <c r="L253" s="171"/>
      <c r="M253" s="171"/>
      <c r="N253" s="171"/>
      <c r="O253" s="171"/>
      <c r="P253" s="171"/>
      <c r="Q253" s="171"/>
      <c r="R253" s="171"/>
      <c r="S253" s="171" t="s">
        <v>487</v>
      </c>
      <c r="T253" s="138">
        <v>7145</v>
      </c>
      <c r="V253" s="20"/>
    </row>
    <row r="254" spans="1:22" ht="15.75" thickBot="1" x14ac:dyDescent="0.3">
      <c r="A254" s="171"/>
      <c r="B254" s="171"/>
      <c r="C254" s="171"/>
      <c r="D254" s="171"/>
      <c r="E254" s="171"/>
      <c r="F254" s="171"/>
      <c r="G254" s="171"/>
      <c r="H254" s="171"/>
      <c r="I254" s="171" t="s">
        <v>590</v>
      </c>
      <c r="J254" s="162">
        <v>3000</v>
      </c>
      <c r="L254" s="171"/>
      <c r="M254" s="171"/>
      <c r="N254" s="171"/>
      <c r="O254" s="171"/>
      <c r="P254" s="171"/>
      <c r="Q254" s="171"/>
      <c r="R254" s="171"/>
      <c r="S254" s="171" t="s">
        <v>590</v>
      </c>
      <c r="T254" s="139">
        <v>3000</v>
      </c>
      <c r="V254" s="21"/>
    </row>
    <row r="255" spans="1:22" ht="15.75" thickBot="1" x14ac:dyDescent="0.3">
      <c r="A255" s="171"/>
      <c r="B255" s="171"/>
      <c r="C255" s="171"/>
      <c r="D255" s="171"/>
      <c r="E255" s="171"/>
      <c r="F255" s="171"/>
      <c r="G255" s="171"/>
      <c r="H255" s="171" t="s">
        <v>489</v>
      </c>
      <c r="I255" s="171"/>
      <c r="J255" s="208">
        <f>ROUND(SUM(J252:J254),5)</f>
        <v>10145</v>
      </c>
      <c r="L255" s="171"/>
      <c r="M255" s="171"/>
      <c r="N255" s="171"/>
      <c r="O255" s="171"/>
      <c r="P255" s="171"/>
      <c r="Q255" s="171"/>
      <c r="R255" s="171" t="s">
        <v>489</v>
      </c>
      <c r="S255" s="171"/>
      <c r="T255" s="141">
        <f>ROUND(SUM(T252:T254),5)</f>
        <v>10145</v>
      </c>
    </row>
    <row r="256" spans="1:22" x14ac:dyDescent="0.25">
      <c r="A256" s="171"/>
      <c r="B256" s="171"/>
      <c r="C256" s="171"/>
      <c r="D256" s="171"/>
      <c r="E256" s="171"/>
      <c r="F256" s="171"/>
      <c r="G256" s="171" t="s">
        <v>163</v>
      </c>
      <c r="H256" s="171"/>
      <c r="I256" s="171"/>
      <c r="J256" s="161">
        <f>ROUND(SUM(J247:J251)+J255,5)</f>
        <v>78016.259999999995</v>
      </c>
      <c r="L256" s="171"/>
      <c r="M256" s="171"/>
      <c r="N256" s="171"/>
      <c r="O256" s="171"/>
      <c r="P256" s="171"/>
      <c r="Q256" s="171" t="s">
        <v>163</v>
      </c>
      <c r="R256" s="171"/>
      <c r="S256" s="171"/>
      <c r="T256" s="138">
        <f>ROUND(SUM(T247:T251)+T255,5)</f>
        <v>78016.259999999995</v>
      </c>
    </row>
    <row r="257" spans="1:25" x14ac:dyDescent="0.25">
      <c r="A257" s="171"/>
      <c r="B257" s="171"/>
      <c r="C257" s="171"/>
      <c r="D257" s="171"/>
      <c r="E257" s="171"/>
      <c r="F257" s="171"/>
      <c r="G257" s="171" t="s">
        <v>591</v>
      </c>
      <c r="H257" s="171"/>
      <c r="I257" s="171"/>
      <c r="J257" s="161"/>
      <c r="L257" s="171"/>
      <c r="M257" s="171"/>
      <c r="N257" s="171"/>
      <c r="O257" s="171"/>
      <c r="P257" s="171"/>
      <c r="Q257" s="171" t="s">
        <v>591</v>
      </c>
      <c r="R257" s="171"/>
      <c r="S257" s="171"/>
      <c r="T257" s="138"/>
    </row>
    <row r="258" spans="1:25" ht="15.75" thickBot="1" x14ac:dyDescent="0.3">
      <c r="A258" s="171"/>
      <c r="B258" s="171"/>
      <c r="C258" s="171"/>
      <c r="D258" s="171"/>
      <c r="E258" s="171"/>
      <c r="F258" s="171"/>
      <c r="G258" s="171"/>
      <c r="H258" s="171" t="s">
        <v>592</v>
      </c>
      <c r="I258" s="171"/>
      <c r="J258" s="209">
        <v>149605.31</v>
      </c>
      <c r="L258" s="171"/>
      <c r="M258" s="171"/>
      <c r="N258" s="171"/>
      <c r="O258" s="171"/>
      <c r="P258" s="171"/>
      <c r="Q258" s="171"/>
      <c r="R258" s="171" t="s">
        <v>592</v>
      </c>
      <c r="S258" s="171"/>
      <c r="T258" s="138">
        <v>149605.31</v>
      </c>
    </row>
    <row r="259" spans="1:25" x14ac:dyDescent="0.25">
      <c r="A259" s="171"/>
      <c r="B259" s="171"/>
      <c r="C259" s="171"/>
      <c r="D259" s="171"/>
      <c r="E259" s="171"/>
      <c r="F259" s="171"/>
      <c r="G259" s="171" t="s">
        <v>593</v>
      </c>
      <c r="H259" s="171"/>
      <c r="I259" s="171"/>
      <c r="J259" s="161">
        <f>ROUND(SUM(J257:J258),5)</f>
        <v>149605.31</v>
      </c>
      <c r="L259" s="171"/>
      <c r="M259" s="171"/>
      <c r="N259" s="171"/>
      <c r="O259" s="171"/>
      <c r="P259" s="171"/>
      <c r="Q259" s="171"/>
      <c r="R259" s="171" t="s">
        <v>629</v>
      </c>
      <c r="S259" s="171"/>
      <c r="T259" s="138">
        <v>163081.69</v>
      </c>
    </row>
    <row r="260" spans="1:25" x14ac:dyDescent="0.25">
      <c r="A260" s="171"/>
      <c r="B260" s="171"/>
      <c r="C260" s="171"/>
      <c r="D260" s="171"/>
      <c r="E260" s="171"/>
      <c r="F260" s="171"/>
      <c r="G260" s="171"/>
      <c r="H260" s="171"/>
      <c r="I260" s="171"/>
      <c r="J260" s="161"/>
      <c r="L260" s="171"/>
      <c r="M260" s="171"/>
      <c r="N260" s="171"/>
      <c r="O260" s="171"/>
      <c r="P260" s="171"/>
      <c r="Q260" s="171"/>
      <c r="R260" s="171" t="s">
        <v>630</v>
      </c>
      <c r="S260" s="171"/>
      <c r="T260" s="138">
        <v>39496.589999999997</v>
      </c>
    </row>
    <row r="261" spans="1:25" ht="15.75" thickBot="1" x14ac:dyDescent="0.3">
      <c r="A261" s="171"/>
      <c r="B261" s="171"/>
      <c r="C261" s="171"/>
      <c r="D261" s="171"/>
      <c r="E261" s="171"/>
      <c r="F261" s="171"/>
      <c r="G261" s="171"/>
      <c r="H261" s="171"/>
      <c r="I261" s="171"/>
      <c r="J261" s="161"/>
      <c r="L261" s="171"/>
      <c r="M261" s="171"/>
      <c r="N261" s="171"/>
      <c r="O261" s="171"/>
      <c r="P261" s="171"/>
      <c r="Q261" s="171"/>
      <c r="R261" s="171" t="s">
        <v>631</v>
      </c>
      <c r="S261" s="171"/>
      <c r="T261" s="143">
        <v>52597.38</v>
      </c>
    </row>
    <row r="262" spans="1:25" x14ac:dyDescent="0.25">
      <c r="A262" s="171"/>
      <c r="B262" s="171"/>
      <c r="C262" s="171"/>
      <c r="D262" s="171"/>
      <c r="E262" s="171"/>
      <c r="F262" s="171"/>
      <c r="G262" s="171"/>
      <c r="H262" s="171"/>
      <c r="I262" s="171"/>
      <c r="J262" s="161"/>
      <c r="L262" s="171"/>
      <c r="M262" s="171"/>
      <c r="N262" s="171"/>
      <c r="O262" s="171"/>
      <c r="P262" s="171"/>
      <c r="Q262" s="171" t="s">
        <v>593</v>
      </c>
      <c r="R262" s="171"/>
      <c r="S262" s="171"/>
      <c r="T262" s="138">
        <f>ROUND(SUM(T257:T261),5)</f>
        <v>404780.97</v>
      </c>
    </row>
    <row r="263" spans="1:25" x14ac:dyDescent="0.25">
      <c r="A263" s="171"/>
      <c r="B263" s="171"/>
      <c r="C263" s="171"/>
      <c r="D263" s="171"/>
      <c r="E263" s="171"/>
      <c r="F263" s="171"/>
      <c r="G263" s="171" t="s">
        <v>167</v>
      </c>
      <c r="H263" s="171"/>
      <c r="I263" s="171"/>
      <c r="J263" s="161"/>
      <c r="L263" s="171"/>
      <c r="M263" s="171"/>
      <c r="N263" s="171"/>
      <c r="O263" s="171"/>
      <c r="P263" s="171"/>
      <c r="Q263" s="171" t="s">
        <v>167</v>
      </c>
      <c r="R263" s="171"/>
      <c r="S263" s="171"/>
      <c r="T263" s="138"/>
    </row>
    <row r="264" spans="1:25" x14ac:dyDescent="0.25">
      <c r="A264" s="171"/>
      <c r="B264" s="171"/>
      <c r="C264" s="171"/>
      <c r="D264" s="171"/>
      <c r="E264" s="171"/>
      <c r="F264" s="171"/>
      <c r="G264" s="171"/>
      <c r="H264" s="171" t="s">
        <v>168</v>
      </c>
      <c r="I264" s="171"/>
      <c r="J264" s="161">
        <v>59759.12</v>
      </c>
      <c r="L264" s="171"/>
      <c r="M264" s="171"/>
      <c r="N264" s="171"/>
      <c r="O264" s="171"/>
      <c r="P264" s="171"/>
      <c r="Q264" s="171"/>
      <c r="R264" s="171" t="s">
        <v>168</v>
      </c>
      <c r="S264" s="171"/>
      <c r="T264" s="138">
        <v>60518.57</v>
      </c>
    </row>
    <row r="265" spans="1:25" x14ac:dyDescent="0.25">
      <c r="A265" s="171"/>
      <c r="B265" s="171"/>
      <c r="C265" s="171"/>
      <c r="D265" s="171"/>
      <c r="E265" s="171"/>
      <c r="F265" s="171"/>
      <c r="G265" s="171"/>
      <c r="H265" s="171" t="s">
        <v>169</v>
      </c>
      <c r="I265" s="171"/>
      <c r="J265" s="161">
        <v>800702.36</v>
      </c>
      <c r="L265" s="171"/>
      <c r="M265" s="171"/>
      <c r="N265" s="171"/>
      <c r="O265" s="171"/>
      <c r="P265" s="171"/>
      <c r="Q265" s="171"/>
      <c r="R265" s="171" t="s">
        <v>169</v>
      </c>
      <c r="S265" s="171"/>
      <c r="T265" s="138">
        <v>800730.6</v>
      </c>
    </row>
    <row r="266" spans="1:25" x14ac:dyDescent="0.25">
      <c r="A266" s="171"/>
      <c r="B266" s="171"/>
      <c r="C266" s="171"/>
      <c r="D266" s="171"/>
      <c r="E266" s="171"/>
      <c r="F266" s="171"/>
      <c r="G266" s="171"/>
      <c r="H266" s="171" t="s">
        <v>490</v>
      </c>
      <c r="I266" s="171"/>
      <c r="J266" s="161">
        <v>223772.02</v>
      </c>
      <c r="L266" s="171"/>
      <c r="M266" s="171"/>
      <c r="N266" s="171"/>
      <c r="O266" s="171"/>
      <c r="P266" s="171"/>
      <c r="Q266" s="171"/>
      <c r="R266" s="171" t="s">
        <v>490</v>
      </c>
      <c r="S266" s="171"/>
      <c r="T266" s="138">
        <v>223772.02</v>
      </c>
    </row>
    <row r="267" spans="1:25" s="156" customFormat="1" x14ac:dyDescent="0.25">
      <c r="A267" s="171"/>
      <c r="B267" s="171"/>
      <c r="C267" s="171"/>
      <c r="D267" s="171"/>
      <c r="E267" s="171"/>
      <c r="F267" s="171"/>
      <c r="G267" s="171"/>
      <c r="H267" s="171" t="s">
        <v>170</v>
      </c>
      <c r="I267" s="171"/>
      <c r="J267" s="161">
        <v>28500</v>
      </c>
      <c r="K267" s="154"/>
      <c r="L267" s="171"/>
      <c r="M267" s="171"/>
      <c r="N267" s="171"/>
      <c r="O267" s="171"/>
      <c r="P267" s="171"/>
      <c r="Q267" s="171"/>
      <c r="R267" s="171" t="s">
        <v>170</v>
      </c>
      <c r="S267" s="171"/>
      <c r="T267" s="138">
        <v>28500</v>
      </c>
      <c r="U267" s="154"/>
      <c r="V267" s="154"/>
      <c r="W267" s="167"/>
      <c r="X267" s="154"/>
      <c r="Y267" s="154"/>
    </row>
    <row r="268" spans="1:25" ht="15.75" thickBot="1" x14ac:dyDescent="0.3">
      <c r="A268" s="171"/>
      <c r="B268" s="171"/>
      <c r="C268" s="171"/>
      <c r="D268" s="171"/>
      <c r="E268" s="171"/>
      <c r="F268" s="171"/>
      <c r="G268" s="171"/>
      <c r="H268" s="171" t="s">
        <v>594</v>
      </c>
      <c r="I268" s="171"/>
      <c r="J268" s="162">
        <v>10500</v>
      </c>
      <c r="L268" s="171"/>
      <c r="M268" s="171"/>
      <c r="N268" s="171"/>
      <c r="O268" s="171"/>
      <c r="P268" s="171"/>
      <c r="Q268" s="171"/>
      <c r="R268" s="171" t="s">
        <v>594</v>
      </c>
      <c r="S268" s="171"/>
      <c r="T268" s="139">
        <v>10500</v>
      </c>
    </row>
    <row r="269" spans="1:25" ht="15.75" thickBot="1" x14ac:dyDescent="0.3">
      <c r="A269" s="171"/>
      <c r="B269" s="171"/>
      <c r="C269" s="171"/>
      <c r="D269" s="171"/>
      <c r="E269" s="171"/>
      <c r="F269" s="171"/>
      <c r="G269" s="171" t="s">
        <v>172</v>
      </c>
      <c r="H269" s="171"/>
      <c r="I269" s="171"/>
      <c r="J269" s="210">
        <f>ROUND(SUM(J263:J268),5)</f>
        <v>1123233.5</v>
      </c>
      <c r="K269" s="156"/>
      <c r="L269" s="171"/>
      <c r="M269" s="171"/>
      <c r="N269" s="171"/>
      <c r="O269" s="171"/>
      <c r="P269" s="171"/>
      <c r="Q269" s="171" t="s">
        <v>172</v>
      </c>
      <c r="R269" s="171"/>
      <c r="S269" s="171"/>
      <c r="T269" s="140">
        <f>ROUND(SUM(T263:T268),5)</f>
        <v>1124021.19</v>
      </c>
    </row>
    <row r="270" spans="1:25" ht="15.75" thickBot="1" x14ac:dyDescent="0.3">
      <c r="A270" s="171"/>
      <c r="B270" s="171"/>
      <c r="C270" s="171"/>
      <c r="D270" s="171"/>
      <c r="E270" s="171"/>
      <c r="F270" s="171" t="s">
        <v>173</v>
      </c>
      <c r="G270" s="171"/>
      <c r="H270" s="171"/>
      <c r="I270" s="171"/>
      <c r="J270" s="210">
        <f>ROUND(J191+J204+J211+J228+J238+J246+J256+J259+J269,5)</f>
        <v>3915349.11</v>
      </c>
      <c r="L270" s="171"/>
      <c r="M270" s="171"/>
      <c r="N270" s="171"/>
      <c r="O270" s="171"/>
      <c r="P270" s="171" t="s">
        <v>173</v>
      </c>
      <c r="Q270" s="171"/>
      <c r="R270" s="171"/>
      <c r="S270" s="171"/>
      <c r="T270" s="140">
        <f>ROUND(T191+T204+T211+T229+T239+T246+T256+T262+T269,5)</f>
        <v>4699432.93</v>
      </c>
    </row>
    <row r="271" spans="1:25" ht="15.75" thickBot="1" x14ac:dyDescent="0.3">
      <c r="A271" s="171"/>
      <c r="B271" s="171"/>
      <c r="C271" s="171"/>
      <c r="D271" s="171"/>
      <c r="E271" s="171" t="s">
        <v>174</v>
      </c>
      <c r="F271" s="171"/>
      <c r="G271" s="171"/>
      <c r="H271" s="171"/>
      <c r="I271" s="171"/>
      <c r="J271" s="210">
        <f>ROUND(J55+J109+J150+J161+J166+J185+J190+J270,5)</f>
        <v>6346313.6600000001</v>
      </c>
      <c r="L271" s="171"/>
      <c r="M271" s="171"/>
      <c r="N271" s="171"/>
      <c r="O271" s="171" t="s">
        <v>174</v>
      </c>
      <c r="P271" s="171"/>
      <c r="Q271" s="171"/>
      <c r="R271" s="171"/>
      <c r="S271" s="171"/>
      <c r="T271" s="140">
        <f>ROUND(T55+T108+T148+T159+T178+T182+T270,5)</f>
        <v>7131242.0800000001</v>
      </c>
    </row>
    <row r="272" spans="1:25" ht="15.75" thickBot="1" x14ac:dyDescent="0.3">
      <c r="A272" s="171" t="s">
        <v>177</v>
      </c>
      <c r="B272" s="171"/>
      <c r="C272" s="171"/>
      <c r="D272" s="171" t="s">
        <v>175</v>
      </c>
      <c r="E272" s="171"/>
      <c r="F272" s="171"/>
      <c r="G272" s="171"/>
      <c r="H272" s="171"/>
      <c r="I272" s="171"/>
      <c r="J272" s="210">
        <f>ROUND(J54+J271,5)</f>
        <v>6346313.6600000001</v>
      </c>
      <c r="L272" s="171"/>
      <c r="M272" s="171"/>
      <c r="N272" s="171" t="s">
        <v>175</v>
      </c>
      <c r="O272" s="171"/>
      <c r="P272" s="171"/>
      <c r="Q272" s="171"/>
      <c r="R272" s="171"/>
      <c r="S272" s="171"/>
      <c r="T272" s="140">
        <f>ROUND(T54+T271,5)</f>
        <v>7131242.0800000001</v>
      </c>
    </row>
    <row r="273" spans="1:21" ht="15.75" thickBot="1" x14ac:dyDescent="0.3">
      <c r="B273" s="171" t="s">
        <v>176</v>
      </c>
      <c r="C273" s="171"/>
      <c r="D273" s="171"/>
      <c r="E273" s="171"/>
      <c r="F273" s="171"/>
      <c r="G273" s="171"/>
      <c r="H273" s="171"/>
      <c r="I273" s="171"/>
      <c r="J273" s="210">
        <f>ROUND(J3+J53-J272,5)</f>
        <v>-77664.039999999994</v>
      </c>
      <c r="L273" s="171" t="s">
        <v>176</v>
      </c>
      <c r="M273" s="171"/>
      <c r="N273" s="171"/>
      <c r="O273" s="171"/>
      <c r="P273" s="171"/>
      <c r="Q273" s="171"/>
      <c r="R273" s="171"/>
      <c r="S273" s="171"/>
      <c r="T273" s="140">
        <f>ROUND(T3+T53-T272,5)</f>
        <v>-2571614.6</v>
      </c>
    </row>
    <row r="274" spans="1:21" ht="15.75" thickBot="1" x14ac:dyDescent="0.3">
      <c r="A274" s="217"/>
      <c r="B274" s="213"/>
      <c r="C274" s="213"/>
      <c r="D274" s="213"/>
      <c r="E274" s="213"/>
      <c r="F274" s="213"/>
      <c r="G274" s="213"/>
      <c r="H274" s="213"/>
      <c r="I274" s="213"/>
      <c r="J274" s="219">
        <f>J273</f>
        <v>-77664.039999999994</v>
      </c>
      <c r="K274" s="215"/>
      <c r="L274" s="213"/>
      <c r="M274" s="213"/>
      <c r="N274" s="213"/>
      <c r="O274" s="213"/>
      <c r="P274" s="213"/>
      <c r="Q274" s="213"/>
      <c r="R274" s="213"/>
      <c r="S274" s="213"/>
      <c r="T274" s="219">
        <f>T273</f>
        <v>-2571614.6</v>
      </c>
    </row>
    <row r="275" spans="1:21" ht="15.75" thickTop="1" x14ac:dyDescent="0.25">
      <c r="U275" s="156"/>
    </row>
    <row r="319" spans="22:22" x14ac:dyDescent="0.25">
      <c r="V319" s="23"/>
    </row>
    <row r="320" spans="22:22" x14ac:dyDescent="0.25">
      <c r="V320" s="20"/>
    </row>
    <row r="321" spans="22:22" x14ac:dyDescent="0.25">
      <c r="V321" s="21"/>
    </row>
    <row r="322" spans="22:22" x14ac:dyDescent="0.25">
      <c r="V322" s="21"/>
    </row>
    <row r="338" spans="24:24" x14ac:dyDescent="0.25">
      <c r="X338" s="21"/>
    </row>
    <row r="339" spans="24:24" x14ac:dyDescent="0.25">
      <c r="X339" s="21"/>
    </row>
    <row r="340" spans="24:24" x14ac:dyDescent="0.25">
      <c r="X340" s="21"/>
    </row>
    <row r="358" spans="22:25" x14ac:dyDescent="0.25">
      <c r="X358" s="156"/>
      <c r="Y358" s="156"/>
    </row>
    <row r="359" spans="22:25" x14ac:dyDescent="0.25">
      <c r="V359" s="156"/>
      <c r="W359" s="206"/>
    </row>
    <row r="367" spans="22:25" x14ac:dyDescent="0.25">
      <c r="V367" s="104"/>
    </row>
    <row r="368" spans="22:25" x14ac:dyDescent="0.25">
      <c r="V368" s="104"/>
    </row>
    <row r="369" spans="22:25" x14ac:dyDescent="0.25">
      <c r="V369" s="104"/>
      <c r="X369" s="158"/>
      <c r="Y369" s="158"/>
    </row>
    <row r="370" spans="22:25" x14ac:dyDescent="0.25">
      <c r="V370" s="158"/>
      <c r="W370" s="205"/>
    </row>
    <row r="390" spans="22:25" x14ac:dyDescent="0.25">
      <c r="X390" s="21"/>
    </row>
    <row r="391" spans="22:25" x14ac:dyDescent="0.25">
      <c r="X391" s="21"/>
    </row>
    <row r="392" spans="22:25" x14ac:dyDescent="0.25">
      <c r="X392" s="21"/>
    </row>
    <row r="398" spans="22:25" x14ac:dyDescent="0.25">
      <c r="X398" s="158"/>
      <c r="Y398" s="158"/>
    </row>
    <row r="399" spans="22:25" x14ac:dyDescent="0.25">
      <c r="V399" s="158"/>
      <c r="W399" s="205"/>
    </row>
    <row r="405" spans="22:25" x14ac:dyDescent="0.25">
      <c r="X405" s="156"/>
      <c r="Y405" s="156"/>
    </row>
    <row r="406" spans="22:25" x14ac:dyDescent="0.25">
      <c r="V406" s="156"/>
      <c r="W406" s="206"/>
    </row>
    <row r="412" spans="22:25" x14ac:dyDescent="0.25">
      <c r="X412" s="156"/>
      <c r="Y412" s="156"/>
    </row>
    <row r="413" spans="22:25" x14ac:dyDescent="0.25">
      <c r="V413" s="156"/>
      <c r="W413" s="206"/>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N402"/>
  <sheetViews>
    <sheetView workbookViewId="0">
      <pane ySplit="1" topLeftCell="A175" activePane="bottomLeft" state="frozen"/>
      <selection pane="bottomLeft" activeCell="L51" sqref="L51"/>
    </sheetView>
  </sheetViews>
  <sheetFormatPr defaultRowHeight="15" x14ac:dyDescent="0.25"/>
  <cols>
    <col min="1" max="8" width="3" style="159" customWidth="1"/>
    <col min="9" max="9" width="38.140625" style="159" customWidth="1"/>
    <col min="10" max="10" width="12.28515625" style="23" bestFit="1" customWidth="1"/>
    <col min="11" max="11" width="9.140625" style="154"/>
    <col min="12" max="12" width="30.7109375" style="154" bestFit="1" customWidth="1"/>
    <col min="13" max="13" width="13.85546875" style="167" bestFit="1" customWidth="1"/>
    <col min="14" max="14" width="13.28515625" style="154" bestFit="1" customWidth="1"/>
    <col min="15" max="16384" width="9.140625" style="154"/>
  </cols>
  <sheetData>
    <row r="1" spans="1:13" s="158" customFormat="1" ht="15.75" thickBot="1" x14ac:dyDescent="0.3">
      <c r="A1" s="157"/>
      <c r="B1" s="157"/>
      <c r="C1" s="157"/>
      <c r="D1" s="157"/>
      <c r="E1" s="157"/>
      <c r="F1" s="157"/>
      <c r="G1" s="157"/>
      <c r="H1" s="157"/>
      <c r="I1" s="157"/>
      <c r="J1" s="137" t="s">
        <v>509</v>
      </c>
      <c r="L1" s="154"/>
      <c r="M1" s="167"/>
    </row>
    <row r="2" spans="1:13" ht="15.75" thickTop="1" x14ac:dyDescent="0.25">
      <c r="A2" s="171"/>
      <c r="B2" s="171" t="s">
        <v>20</v>
      </c>
      <c r="C2" s="171"/>
      <c r="D2" s="171"/>
      <c r="E2" s="171"/>
      <c r="F2" s="171"/>
      <c r="G2" s="171"/>
      <c r="H2" s="171"/>
      <c r="I2" s="171"/>
      <c r="J2" s="138"/>
      <c r="L2" s="108" t="s">
        <v>381</v>
      </c>
      <c r="M2" s="200" t="s">
        <v>380</v>
      </c>
    </row>
    <row r="3" spans="1:13" x14ac:dyDescent="0.25">
      <c r="A3" s="171"/>
      <c r="B3" s="171"/>
      <c r="C3" s="171"/>
      <c r="D3" s="171" t="s">
        <v>21</v>
      </c>
      <c r="E3" s="171"/>
      <c r="F3" s="171"/>
      <c r="G3" s="171"/>
      <c r="H3" s="171"/>
      <c r="I3" s="171"/>
      <c r="J3" s="138"/>
      <c r="L3" s="46" t="s">
        <v>269</v>
      </c>
      <c r="M3" s="184">
        <f>J81</f>
        <v>438800</v>
      </c>
    </row>
    <row r="4" spans="1:13" x14ac:dyDescent="0.25">
      <c r="A4" s="171"/>
      <c r="B4" s="171"/>
      <c r="C4" s="171"/>
      <c r="D4" s="171"/>
      <c r="E4" s="171" t="s">
        <v>22</v>
      </c>
      <c r="F4" s="171"/>
      <c r="G4" s="171"/>
      <c r="H4" s="171"/>
      <c r="I4" s="171"/>
      <c r="J4" s="138"/>
      <c r="L4" s="46" t="s">
        <v>270</v>
      </c>
      <c r="M4" s="184">
        <f>J126</f>
        <v>103538.33</v>
      </c>
    </row>
    <row r="5" spans="1:13" x14ac:dyDescent="0.25">
      <c r="A5" s="171"/>
      <c r="B5" s="171"/>
      <c r="C5" s="171"/>
      <c r="D5" s="171"/>
      <c r="E5" s="171"/>
      <c r="F5" s="171" t="s">
        <v>23</v>
      </c>
      <c r="G5" s="171"/>
      <c r="H5" s="171"/>
      <c r="I5" s="171"/>
      <c r="J5" s="138">
        <f>8934107.37+101002.01</f>
        <v>9035109.379999999</v>
      </c>
      <c r="L5" s="46" t="s">
        <v>597</v>
      </c>
      <c r="M5" s="184">
        <f>+J173</f>
        <v>59666.67</v>
      </c>
    </row>
    <row r="6" spans="1:13" x14ac:dyDescent="0.25">
      <c r="A6" s="171"/>
      <c r="B6" s="171"/>
      <c r="C6" s="171"/>
      <c r="D6" s="171"/>
      <c r="E6" s="171"/>
      <c r="F6" s="171" t="s">
        <v>26</v>
      </c>
      <c r="G6" s="171"/>
      <c r="H6" s="171"/>
      <c r="I6" s="171"/>
      <c r="J6" s="138">
        <v>366204.42</v>
      </c>
      <c r="L6" s="119" t="s">
        <v>606</v>
      </c>
      <c r="M6" s="184"/>
    </row>
    <row r="7" spans="1:13" x14ac:dyDescent="0.25">
      <c r="A7" s="171"/>
      <c r="B7" s="171"/>
      <c r="C7" s="171"/>
      <c r="D7" s="171"/>
      <c r="E7" s="171"/>
      <c r="F7" s="171" t="s">
        <v>27</v>
      </c>
      <c r="G7" s="171"/>
      <c r="H7" s="171"/>
      <c r="I7" s="171"/>
      <c r="J7" s="138">
        <v>4523947.97</v>
      </c>
      <c r="K7" s="171"/>
      <c r="L7" s="67" t="s">
        <v>598</v>
      </c>
      <c r="M7" s="184">
        <f>J188</f>
        <v>345000</v>
      </c>
    </row>
    <row r="8" spans="1:13" ht="15.75" thickBot="1" x14ac:dyDescent="0.3">
      <c r="A8" s="171"/>
      <c r="B8" s="171"/>
      <c r="C8" s="171"/>
      <c r="D8" s="171"/>
      <c r="E8" s="171"/>
      <c r="F8" s="171" t="s">
        <v>28</v>
      </c>
      <c r="G8" s="171"/>
      <c r="H8" s="171"/>
      <c r="I8" s="171"/>
      <c r="J8" s="138">
        <v>32903.15</v>
      </c>
      <c r="K8" s="171"/>
      <c r="L8" s="106" t="s">
        <v>12</v>
      </c>
      <c r="M8" s="201">
        <f>SUM(M3:M7)</f>
        <v>947005</v>
      </c>
    </row>
    <row r="9" spans="1:13" ht="15.75" thickBot="1" x14ac:dyDescent="0.3">
      <c r="A9" s="171"/>
      <c r="B9" s="171"/>
      <c r="C9" s="171"/>
      <c r="D9" s="171"/>
      <c r="E9" s="171" t="s">
        <v>39</v>
      </c>
      <c r="F9" s="171"/>
      <c r="G9" s="171"/>
      <c r="H9" s="171"/>
      <c r="I9" s="171"/>
      <c r="J9" s="141">
        <f>ROUND(SUM(J4:J8),5)</f>
        <v>13958164.92</v>
      </c>
      <c r="K9" s="171"/>
      <c r="L9" s="46"/>
      <c r="M9" s="190"/>
    </row>
    <row r="10" spans="1:13" x14ac:dyDescent="0.25">
      <c r="A10" s="171"/>
      <c r="B10" s="171"/>
      <c r="C10" s="171"/>
      <c r="D10" s="171" t="s">
        <v>40</v>
      </c>
      <c r="E10" s="171"/>
      <c r="F10" s="171"/>
      <c r="G10" s="171"/>
      <c r="H10" s="171"/>
      <c r="I10" s="171"/>
      <c r="J10" s="138">
        <f>ROUND(J3+J9,5)</f>
        <v>13958164.92</v>
      </c>
      <c r="K10" s="171"/>
      <c r="L10" s="104"/>
      <c r="M10" s="202"/>
    </row>
    <row r="11" spans="1:13" x14ac:dyDescent="0.25">
      <c r="A11" s="171"/>
      <c r="B11" s="171"/>
      <c r="C11" s="171"/>
      <c r="D11" s="171" t="s">
        <v>41</v>
      </c>
      <c r="E11" s="171"/>
      <c r="F11" s="171"/>
      <c r="G11" s="171"/>
      <c r="H11" s="171"/>
      <c r="I11" s="171"/>
      <c r="J11" s="138"/>
      <c r="K11" s="171"/>
      <c r="L11" s="221" t="s">
        <v>397</v>
      </c>
      <c r="M11" s="200" t="s">
        <v>380</v>
      </c>
    </row>
    <row r="12" spans="1:13" x14ac:dyDescent="0.25">
      <c r="A12" s="171"/>
      <c r="B12" s="171"/>
      <c r="C12" s="171"/>
      <c r="D12" s="171"/>
      <c r="E12" s="171" t="s">
        <v>42</v>
      </c>
      <c r="F12" s="171"/>
      <c r="G12" s="171"/>
      <c r="H12" s="171"/>
      <c r="I12" s="171"/>
      <c r="J12" s="138"/>
      <c r="K12" s="171"/>
      <c r="L12" s="46" t="s">
        <v>269</v>
      </c>
      <c r="M12" s="190">
        <f>J107-J81</f>
        <v>1115489.32</v>
      </c>
    </row>
    <row r="13" spans="1:13" x14ac:dyDescent="0.25">
      <c r="A13" s="171"/>
      <c r="B13" s="171"/>
      <c r="C13" s="171"/>
      <c r="D13" s="171"/>
      <c r="E13" s="171"/>
      <c r="F13" s="171" t="s">
        <v>43</v>
      </c>
      <c r="G13" s="171"/>
      <c r="H13" s="171"/>
      <c r="I13" s="171"/>
      <c r="J13" s="138"/>
      <c r="K13" s="171"/>
      <c r="L13" s="46" t="s">
        <v>270</v>
      </c>
      <c r="M13" s="190">
        <f>J147-J126</f>
        <v>379720.57999999996</v>
      </c>
    </row>
    <row r="14" spans="1:13" x14ac:dyDescent="0.25">
      <c r="A14" s="171"/>
      <c r="B14" s="171"/>
      <c r="C14" s="171"/>
      <c r="D14" s="171"/>
      <c r="E14" s="171"/>
      <c r="F14" s="171"/>
      <c r="G14" s="171" t="s">
        <v>44</v>
      </c>
      <c r="H14" s="171"/>
      <c r="I14" s="171"/>
      <c r="J14" s="138">
        <v>2685339.24</v>
      </c>
      <c r="K14" s="171"/>
      <c r="L14" s="194" t="s">
        <v>609</v>
      </c>
      <c r="M14" s="190">
        <f>J158</f>
        <v>46102.78</v>
      </c>
    </row>
    <row r="15" spans="1:13" x14ac:dyDescent="0.25">
      <c r="A15" s="171"/>
      <c r="B15" s="171"/>
      <c r="C15" s="171"/>
      <c r="D15" s="171"/>
      <c r="E15" s="171"/>
      <c r="F15" s="171"/>
      <c r="G15" s="171" t="s">
        <v>45</v>
      </c>
      <c r="H15" s="171"/>
      <c r="I15" s="171"/>
      <c r="J15" s="138">
        <v>277529</v>
      </c>
      <c r="K15" s="171"/>
      <c r="L15" s="194" t="s">
        <v>610</v>
      </c>
      <c r="M15" s="190">
        <f>J178-J173</f>
        <v>137797.88</v>
      </c>
    </row>
    <row r="16" spans="1:13" x14ac:dyDescent="0.25">
      <c r="A16" s="171"/>
      <c r="B16" s="171"/>
      <c r="C16" s="171"/>
      <c r="D16" s="171"/>
      <c r="E16" s="171"/>
      <c r="F16" s="171"/>
      <c r="G16" s="171" t="s">
        <v>46</v>
      </c>
      <c r="H16" s="171"/>
      <c r="I16" s="171"/>
      <c r="J16" s="138">
        <v>9000</v>
      </c>
      <c r="K16" s="171"/>
      <c r="L16" s="66" t="s">
        <v>611</v>
      </c>
      <c r="M16" s="190">
        <f>J182</f>
        <v>242449.67</v>
      </c>
    </row>
    <row r="17" spans="1:14" ht="15.75" thickBot="1" x14ac:dyDescent="0.3">
      <c r="A17" s="171"/>
      <c r="B17" s="171"/>
      <c r="C17" s="171"/>
      <c r="D17" s="171"/>
      <c r="E17" s="171"/>
      <c r="F17" s="171"/>
      <c r="G17" s="171" t="s">
        <v>47</v>
      </c>
      <c r="H17" s="171"/>
      <c r="I17" s="171"/>
      <c r="J17" s="143">
        <v>208769.45</v>
      </c>
      <c r="K17" s="171"/>
      <c r="L17" s="193" t="s">
        <v>612</v>
      </c>
      <c r="M17" s="190"/>
    </row>
    <row r="18" spans="1:14" x14ac:dyDescent="0.25">
      <c r="A18" s="171"/>
      <c r="B18" s="171"/>
      <c r="C18" s="171"/>
      <c r="D18" s="171"/>
      <c r="E18" s="171"/>
      <c r="F18" s="171" t="s">
        <v>48</v>
      </c>
      <c r="G18" s="171"/>
      <c r="H18" s="171"/>
      <c r="I18" s="171"/>
      <c r="J18" s="138">
        <f>ROUND(SUM(J13:J17),5)</f>
        <v>3180637.69</v>
      </c>
      <c r="L18" s="67" t="s">
        <v>383</v>
      </c>
      <c r="M18" s="190">
        <f>J195</f>
        <v>137404.60999999999</v>
      </c>
    </row>
    <row r="19" spans="1:14" x14ac:dyDescent="0.25">
      <c r="A19" s="171"/>
      <c r="B19" s="171"/>
      <c r="C19" s="171"/>
      <c r="D19" s="171"/>
      <c r="E19" s="171"/>
      <c r="F19" s="171" t="s">
        <v>49</v>
      </c>
      <c r="G19" s="171"/>
      <c r="H19" s="171"/>
      <c r="I19" s="171"/>
      <c r="J19" s="138"/>
      <c r="L19" s="67" t="s">
        <v>386</v>
      </c>
      <c r="M19" s="190">
        <f>+J201</f>
        <v>577938.54</v>
      </c>
    </row>
    <row r="20" spans="1:14" x14ac:dyDescent="0.25">
      <c r="A20" s="171"/>
      <c r="B20" s="171"/>
      <c r="C20" s="171"/>
      <c r="D20" s="171"/>
      <c r="E20" s="171"/>
      <c r="F20" s="171"/>
      <c r="G20" s="171" t="s">
        <v>446</v>
      </c>
      <c r="H20" s="171"/>
      <c r="I20" s="171"/>
      <c r="J20" s="138">
        <v>1200</v>
      </c>
      <c r="L20" s="46"/>
      <c r="M20" s="190"/>
    </row>
    <row r="21" spans="1:14" x14ac:dyDescent="0.25">
      <c r="A21" s="171"/>
      <c r="B21" s="171"/>
      <c r="C21" s="171"/>
      <c r="D21" s="171"/>
      <c r="E21" s="171"/>
      <c r="F21" s="171"/>
      <c r="G21" s="171" t="s">
        <v>50</v>
      </c>
      <c r="H21" s="171"/>
      <c r="I21" s="171"/>
      <c r="J21" s="138">
        <v>11200</v>
      </c>
      <c r="L21" s="61" t="s">
        <v>12</v>
      </c>
      <c r="M21" s="204">
        <f>SUM(M12:M19)</f>
        <v>2636903.38</v>
      </c>
      <c r="N21" s="23"/>
    </row>
    <row r="22" spans="1:14" x14ac:dyDescent="0.25">
      <c r="A22" s="171"/>
      <c r="B22" s="171"/>
      <c r="C22" s="171"/>
      <c r="D22" s="171"/>
      <c r="E22" s="171"/>
      <c r="F22" s="171"/>
      <c r="G22" s="171" t="s">
        <v>447</v>
      </c>
      <c r="H22" s="171"/>
      <c r="I22" s="171"/>
      <c r="J22" s="138">
        <v>4500</v>
      </c>
    </row>
    <row r="23" spans="1:14" x14ac:dyDescent="0.25">
      <c r="A23" s="171"/>
      <c r="B23" s="171"/>
      <c r="C23" s="171"/>
      <c r="D23" s="171"/>
      <c r="E23" s="171"/>
      <c r="F23" s="171"/>
      <c r="G23" s="171" t="s">
        <v>448</v>
      </c>
      <c r="H23" s="171"/>
      <c r="I23" s="171"/>
      <c r="J23" s="138">
        <v>74419</v>
      </c>
      <c r="L23" s="21"/>
    </row>
    <row r="24" spans="1:14" x14ac:dyDescent="0.25">
      <c r="A24" s="171"/>
      <c r="B24" s="171"/>
      <c r="C24" s="171"/>
      <c r="D24" s="171"/>
      <c r="E24" s="171"/>
      <c r="F24" s="171"/>
      <c r="G24" s="171" t="s">
        <v>449</v>
      </c>
      <c r="H24" s="171"/>
      <c r="I24" s="171"/>
      <c r="J24" s="138">
        <v>10410</v>
      </c>
      <c r="L24" s="21"/>
    </row>
    <row r="25" spans="1:14" x14ac:dyDescent="0.25">
      <c r="A25" s="171"/>
      <c r="B25" s="171"/>
      <c r="C25" s="171"/>
      <c r="D25" s="171"/>
      <c r="E25" s="171"/>
      <c r="F25" s="171"/>
      <c r="G25" s="171" t="s">
        <v>510</v>
      </c>
      <c r="H25" s="171"/>
      <c r="I25" s="171"/>
      <c r="J25" s="138">
        <v>845</v>
      </c>
    </row>
    <row r="26" spans="1:14" x14ac:dyDescent="0.25">
      <c r="A26" s="171"/>
      <c r="B26" s="171"/>
      <c r="C26" s="171"/>
      <c r="D26" s="171"/>
      <c r="E26" s="171"/>
      <c r="F26" s="171"/>
      <c r="G26" s="171" t="s">
        <v>451</v>
      </c>
      <c r="H26" s="171"/>
      <c r="I26" s="171"/>
      <c r="J26" s="138">
        <v>19012</v>
      </c>
    </row>
    <row r="27" spans="1:14" x14ac:dyDescent="0.25">
      <c r="A27" s="171"/>
      <c r="B27" s="171"/>
      <c r="C27" s="171"/>
      <c r="D27" s="171"/>
      <c r="E27" s="171"/>
      <c r="F27" s="171"/>
      <c r="G27" s="171" t="s">
        <v>51</v>
      </c>
      <c r="H27" s="171"/>
      <c r="I27" s="171"/>
      <c r="J27" s="138">
        <v>10000</v>
      </c>
      <c r="M27" s="23"/>
    </row>
    <row r="28" spans="1:14" ht="15.75" thickBot="1" x14ac:dyDescent="0.3">
      <c r="A28" s="171"/>
      <c r="B28" s="171"/>
      <c r="C28" s="171"/>
      <c r="D28" s="171"/>
      <c r="E28" s="171"/>
      <c r="F28" s="171"/>
      <c r="G28" s="171" t="s">
        <v>52</v>
      </c>
      <c r="H28" s="171"/>
      <c r="I28" s="171"/>
      <c r="J28" s="143">
        <v>6000</v>
      </c>
      <c r="M28" s="23"/>
    </row>
    <row r="29" spans="1:14" x14ac:dyDescent="0.25">
      <c r="A29" s="171"/>
      <c r="B29" s="171"/>
      <c r="C29" s="171"/>
      <c r="D29" s="171"/>
      <c r="E29" s="171"/>
      <c r="F29" s="171" t="s">
        <v>54</v>
      </c>
      <c r="G29" s="171"/>
      <c r="H29" s="171"/>
      <c r="I29" s="171"/>
      <c r="J29" s="138">
        <f>ROUND(SUM(J19:J28),5)</f>
        <v>137586</v>
      </c>
    </row>
    <row r="30" spans="1:14" x14ac:dyDescent="0.25">
      <c r="A30" s="171"/>
      <c r="B30" s="171"/>
      <c r="C30" s="171"/>
      <c r="D30" s="171"/>
      <c r="E30" s="171"/>
      <c r="F30" s="171" t="s">
        <v>55</v>
      </c>
      <c r="G30" s="171"/>
      <c r="H30" s="171"/>
      <c r="I30" s="171"/>
      <c r="J30" s="138"/>
    </row>
    <row r="31" spans="1:14" x14ac:dyDescent="0.25">
      <c r="A31" s="171"/>
      <c r="B31" s="171"/>
      <c r="C31" s="171"/>
      <c r="D31" s="171"/>
      <c r="E31" s="171"/>
      <c r="F31" s="171"/>
      <c r="G31" s="171" t="s">
        <v>56</v>
      </c>
      <c r="H31" s="171"/>
      <c r="I31" s="171"/>
      <c r="J31" s="138">
        <v>3936887.77</v>
      </c>
    </row>
    <row r="32" spans="1:14" x14ac:dyDescent="0.25">
      <c r="A32" s="171"/>
      <c r="B32" s="171"/>
      <c r="C32" s="171"/>
      <c r="D32" s="171"/>
      <c r="E32" s="171"/>
      <c r="F32" s="171"/>
      <c r="G32" s="171" t="s">
        <v>59</v>
      </c>
      <c r="H32" s="171"/>
      <c r="I32" s="171"/>
      <c r="J32" s="138">
        <v>64509.25</v>
      </c>
    </row>
    <row r="33" spans="1:10" ht="15.75" thickBot="1" x14ac:dyDescent="0.3">
      <c r="A33" s="171"/>
      <c r="B33" s="171"/>
      <c r="C33" s="171"/>
      <c r="D33" s="171"/>
      <c r="E33" s="171"/>
      <c r="F33" s="171"/>
      <c r="G33" s="171" t="s">
        <v>60</v>
      </c>
      <c r="H33" s="171"/>
      <c r="I33" s="171"/>
      <c r="J33" s="143">
        <v>3160</v>
      </c>
    </row>
    <row r="34" spans="1:10" x14ac:dyDescent="0.25">
      <c r="A34" s="171"/>
      <c r="B34" s="171"/>
      <c r="C34" s="171"/>
      <c r="D34" s="171"/>
      <c r="E34" s="171"/>
      <c r="F34" s="171" t="s">
        <v>61</v>
      </c>
      <c r="G34" s="171"/>
      <c r="H34" s="171"/>
      <c r="I34" s="171"/>
      <c r="J34" s="138">
        <f>ROUND(SUM(J30:J33),5)</f>
        <v>4004557.02</v>
      </c>
    </row>
    <row r="35" spans="1:10" x14ac:dyDescent="0.25">
      <c r="A35" s="171"/>
      <c r="B35" s="171"/>
      <c r="C35" s="171"/>
      <c r="D35" s="171"/>
      <c r="E35" s="171"/>
      <c r="F35" s="171" t="s">
        <v>62</v>
      </c>
      <c r="G35" s="171"/>
      <c r="H35" s="171"/>
      <c r="I35" s="171"/>
      <c r="J35" s="138"/>
    </row>
    <row r="36" spans="1:10" x14ac:dyDescent="0.25">
      <c r="A36" s="171"/>
      <c r="B36" s="171"/>
      <c r="C36" s="171"/>
      <c r="D36" s="171"/>
      <c r="E36" s="171"/>
      <c r="F36" s="171"/>
      <c r="G36" s="171" t="s">
        <v>63</v>
      </c>
      <c r="H36" s="171"/>
      <c r="I36" s="171"/>
      <c r="J36" s="138">
        <v>971155</v>
      </c>
    </row>
    <row r="37" spans="1:10" x14ac:dyDescent="0.25">
      <c r="A37" s="171"/>
      <c r="B37" s="171"/>
      <c r="C37" s="171"/>
      <c r="D37" s="171"/>
      <c r="E37" s="171"/>
      <c r="F37" s="171"/>
      <c r="G37" s="171" t="s">
        <v>512</v>
      </c>
      <c r="H37" s="171"/>
      <c r="I37" s="171"/>
      <c r="J37" s="138">
        <v>116544.6</v>
      </c>
    </row>
    <row r="38" spans="1:10" x14ac:dyDescent="0.25">
      <c r="A38" s="171"/>
      <c r="B38" s="171"/>
      <c r="C38" s="171"/>
      <c r="D38" s="171"/>
      <c r="E38" s="171"/>
      <c r="F38" s="171"/>
      <c r="G38" s="171" t="s">
        <v>513</v>
      </c>
      <c r="H38" s="171"/>
      <c r="I38" s="171"/>
      <c r="J38" s="138">
        <v>29136.15</v>
      </c>
    </row>
    <row r="39" spans="1:10" x14ac:dyDescent="0.25">
      <c r="A39" s="171"/>
      <c r="B39" s="171"/>
      <c r="C39" s="171"/>
      <c r="D39" s="171"/>
      <c r="E39" s="171"/>
      <c r="F39" s="171"/>
      <c r="G39" s="171" t="s">
        <v>64</v>
      </c>
      <c r="H39" s="171"/>
      <c r="I39" s="171"/>
      <c r="J39" s="138">
        <v>342345.79</v>
      </c>
    </row>
    <row r="40" spans="1:10" x14ac:dyDescent="0.25">
      <c r="A40" s="171"/>
      <c r="B40" s="171"/>
      <c r="C40" s="171"/>
      <c r="D40" s="171"/>
      <c r="E40" s="171"/>
      <c r="F40" s="171"/>
      <c r="G40" s="171" t="s">
        <v>65</v>
      </c>
      <c r="H40" s="171"/>
      <c r="I40" s="171"/>
      <c r="J40" s="138">
        <v>104139.77</v>
      </c>
    </row>
    <row r="41" spans="1:10" x14ac:dyDescent="0.25">
      <c r="A41" s="171"/>
      <c r="B41" s="171"/>
      <c r="C41" s="171"/>
      <c r="D41" s="171"/>
      <c r="E41" s="171"/>
      <c r="F41" s="171"/>
      <c r="G41" s="171" t="s">
        <v>66</v>
      </c>
      <c r="H41" s="171"/>
      <c r="I41" s="171"/>
      <c r="J41" s="138">
        <v>66539.44</v>
      </c>
    </row>
    <row r="42" spans="1:10" ht="15.75" thickBot="1" x14ac:dyDescent="0.3">
      <c r="A42" s="171"/>
      <c r="B42" s="171"/>
      <c r="C42" s="171"/>
      <c r="D42" s="171"/>
      <c r="E42" s="171"/>
      <c r="F42" s="171"/>
      <c r="G42" s="171" t="s">
        <v>645</v>
      </c>
      <c r="H42" s="171"/>
      <c r="I42" s="171"/>
      <c r="J42" s="143">
        <v>89027.13</v>
      </c>
    </row>
    <row r="43" spans="1:10" x14ac:dyDescent="0.25">
      <c r="A43" s="171"/>
      <c r="B43" s="171"/>
      <c r="C43" s="171"/>
      <c r="D43" s="171"/>
      <c r="E43" s="171"/>
      <c r="F43" s="171" t="s">
        <v>67</v>
      </c>
      <c r="G43" s="171"/>
      <c r="H43" s="171"/>
      <c r="I43" s="171"/>
      <c r="J43" s="138">
        <f>ROUND(SUM(J35:J42),5)</f>
        <v>1718887.88</v>
      </c>
    </row>
    <row r="44" spans="1:10" x14ac:dyDescent="0.25">
      <c r="A44" s="171"/>
      <c r="B44" s="171"/>
      <c r="C44" s="171"/>
      <c r="D44" s="171"/>
      <c r="E44" s="171"/>
      <c r="F44" s="171" t="s">
        <v>661</v>
      </c>
      <c r="G44" s="171"/>
      <c r="H44" s="171"/>
      <c r="I44" s="171"/>
      <c r="J44" s="176"/>
    </row>
    <row r="45" spans="1:10" x14ac:dyDescent="0.25">
      <c r="A45" s="171"/>
      <c r="B45" s="171"/>
      <c r="C45" s="171"/>
      <c r="D45" s="171"/>
      <c r="E45" s="171"/>
      <c r="F45" s="171"/>
      <c r="G45" s="171" t="s">
        <v>662</v>
      </c>
      <c r="H45" s="171"/>
      <c r="I45" s="171"/>
      <c r="J45" s="176">
        <v>37050</v>
      </c>
    </row>
    <row r="46" spans="1:10" x14ac:dyDescent="0.25">
      <c r="A46" s="171"/>
      <c r="B46" s="171"/>
      <c r="C46" s="171"/>
      <c r="D46" s="171"/>
      <c r="E46" s="171"/>
      <c r="F46" s="171"/>
      <c r="G46" s="171" t="s">
        <v>663</v>
      </c>
      <c r="H46" s="171"/>
      <c r="I46" s="171"/>
      <c r="J46" s="176">
        <v>13205</v>
      </c>
    </row>
    <row r="47" spans="1:10" x14ac:dyDescent="0.25">
      <c r="A47" s="171"/>
      <c r="B47" s="171"/>
      <c r="C47" s="171"/>
      <c r="D47" s="171"/>
      <c r="E47" s="171"/>
      <c r="F47" s="171"/>
      <c r="G47" s="171"/>
      <c r="H47" s="171"/>
      <c r="I47" s="171"/>
      <c r="J47" s="227">
        <f>SUM(J45:J46)</f>
        <v>50255</v>
      </c>
    </row>
    <row r="48" spans="1:10" x14ac:dyDescent="0.25">
      <c r="A48" s="171"/>
      <c r="B48" s="171"/>
      <c r="C48" s="171"/>
      <c r="D48" s="171"/>
      <c r="E48" s="171"/>
      <c r="F48" s="171"/>
      <c r="G48" s="171"/>
      <c r="H48" s="171"/>
      <c r="I48" s="171"/>
      <c r="J48" s="8"/>
    </row>
    <row r="49" spans="1:10" ht="15.75" thickBot="1" x14ac:dyDescent="0.3">
      <c r="A49" s="171"/>
      <c r="B49" s="171"/>
      <c r="C49" s="171"/>
      <c r="D49" s="171"/>
      <c r="E49" s="171"/>
      <c r="F49" s="171"/>
      <c r="G49" s="171" t="s">
        <v>515</v>
      </c>
      <c r="H49" s="171"/>
      <c r="I49" s="171"/>
      <c r="J49" s="143">
        <v>142248</v>
      </c>
    </row>
    <row r="50" spans="1:10" x14ac:dyDescent="0.25">
      <c r="A50" s="171"/>
      <c r="B50" s="171"/>
      <c r="C50" s="171"/>
      <c r="D50" s="171"/>
      <c r="E50" s="171"/>
      <c r="F50" s="171" t="s">
        <v>516</v>
      </c>
      <c r="G50" s="171"/>
      <c r="H50" s="171"/>
      <c r="I50" s="171"/>
      <c r="J50" s="138">
        <f>SUM(J49)</f>
        <v>142248</v>
      </c>
    </row>
    <row r="51" spans="1:10" ht="15.75" thickBot="1" x14ac:dyDescent="0.3">
      <c r="A51" s="171"/>
      <c r="B51" s="171"/>
      <c r="C51" s="171"/>
      <c r="D51" s="171"/>
      <c r="E51" s="171"/>
      <c r="F51" s="171" t="s">
        <v>624</v>
      </c>
      <c r="G51" s="171"/>
      <c r="H51" s="171"/>
      <c r="I51" s="171"/>
      <c r="J51" s="139">
        <v>0</v>
      </c>
    </row>
    <row r="52" spans="1:10" ht="15.75" thickBot="1" x14ac:dyDescent="0.3">
      <c r="A52" s="171"/>
      <c r="B52" s="171"/>
      <c r="C52" s="171"/>
      <c r="D52" s="171"/>
      <c r="E52" s="171" t="s">
        <v>71</v>
      </c>
      <c r="F52" s="171"/>
      <c r="G52" s="171"/>
      <c r="H52" s="171"/>
      <c r="I52" s="171"/>
      <c r="J52" s="140">
        <f>ROUND(J12+J18+J29+J34+J43+SUM(J50:J51),5)</f>
        <v>9183916.5899999999</v>
      </c>
    </row>
    <row r="53" spans="1:10" ht="15.75" thickBot="1" x14ac:dyDescent="0.3">
      <c r="A53" s="171"/>
      <c r="B53" s="171"/>
      <c r="C53" s="171"/>
      <c r="D53" s="171" t="s">
        <v>72</v>
      </c>
      <c r="E53" s="171"/>
      <c r="F53" s="171"/>
      <c r="G53" s="171"/>
      <c r="H53" s="171"/>
      <c r="I53" s="171"/>
      <c r="J53" s="141">
        <f>ROUND(SUM(J11:J11)+J52,5)</f>
        <v>9183916.5899999999</v>
      </c>
    </row>
    <row r="54" spans="1:10" x14ac:dyDescent="0.25">
      <c r="A54" s="171"/>
      <c r="B54" s="171"/>
      <c r="C54" s="171" t="s">
        <v>73</v>
      </c>
      <c r="D54" s="171"/>
      <c r="E54" s="171"/>
      <c r="F54" s="171"/>
      <c r="G54" s="171"/>
      <c r="H54" s="171"/>
      <c r="I54" s="171"/>
      <c r="J54" s="138">
        <f>ROUND(J10-J53,5)</f>
        <v>4774248.33</v>
      </c>
    </row>
    <row r="55" spans="1:10" x14ac:dyDescent="0.25">
      <c r="A55" s="171"/>
      <c r="B55" s="171"/>
      <c r="C55" s="171"/>
      <c r="D55" s="171" t="s">
        <v>74</v>
      </c>
      <c r="E55" s="171"/>
      <c r="F55" s="171"/>
      <c r="G55" s="171"/>
      <c r="H55" s="171"/>
      <c r="I55" s="171"/>
      <c r="J55" s="138"/>
    </row>
    <row r="56" spans="1:10" x14ac:dyDescent="0.25">
      <c r="A56" s="171"/>
      <c r="B56" s="171"/>
      <c r="C56" s="171"/>
      <c r="D56" s="171"/>
      <c r="E56" s="171" t="s">
        <v>75</v>
      </c>
      <c r="F56" s="171"/>
      <c r="G56" s="171"/>
      <c r="H56" s="171"/>
      <c r="I56" s="171"/>
      <c r="J56" s="138"/>
    </row>
    <row r="57" spans="1:10" x14ac:dyDescent="0.25">
      <c r="A57" s="171"/>
      <c r="B57" s="171"/>
      <c r="C57" s="171"/>
      <c r="D57" s="171"/>
      <c r="E57" s="171"/>
      <c r="F57" s="171" t="s">
        <v>189</v>
      </c>
      <c r="G57" s="171"/>
      <c r="H57" s="171"/>
      <c r="I57" s="171"/>
      <c r="J57" s="138"/>
    </row>
    <row r="58" spans="1:10" x14ac:dyDescent="0.25">
      <c r="A58" s="171"/>
      <c r="B58" s="171"/>
      <c r="C58" s="171"/>
      <c r="D58" s="171"/>
      <c r="E58" s="171"/>
      <c r="F58" s="171"/>
      <c r="G58" s="171" t="s">
        <v>76</v>
      </c>
      <c r="H58" s="171"/>
      <c r="I58" s="171"/>
      <c r="J58" s="138"/>
    </row>
    <row r="59" spans="1:10" x14ac:dyDescent="0.25">
      <c r="A59" s="171"/>
      <c r="B59" s="171"/>
      <c r="C59" s="171"/>
      <c r="D59" s="171"/>
      <c r="E59" s="171"/>
      <c r="F59" s="171"/>
      <c r="G59" s="171"/>
      <c r="H59" s="171" t="s">
        <v>77</v>
      </c>
      <c r="I59" s="171"/>
      <c r="J59" s="138">
        <v>6000</v>
      </c>
    </row>
    <row r="60" spans="1:10" x14ac:dyDescent="0.25">
      <c r="A60" s="171"/>
      <c r="B60" s="171"/>
      <c r="C60" s="171"/>
      <c r="D60" s="171"/>
      <c r="E60" s="171"/>
      <c r="F60" s="171"/>
      <c r="G60" s="171"/>
      <c r="H60" s="171" t="s">
        <v>78</v>
      </c>
      <c r="I60" s="171"/>
      <c r="J60" s="138">
        <v>43581.2</v>
      </c>
    </row>
    <row r="61" spans="1:10" x14ac:dyDescent="0.25">
      <c r="A61" s="171"/>
      <c r="B61" s="171"/>
      <c r="C61" s="171"/>
      <c r="D61" s="171"/>
      <c r="E61" s="171"/>
      <c r="F61" s="171"/>
      <c r="G61" s="171"/>
      <c r="H61" s="171" t="s">
        <v>80</v>
      </c>
      <c r="I61" s="171"/>
      <c r="J61" s="138">
        <v>720</v>
      </c>
    </row>
    <row r="62" spans="1:10" x14ac:dyDescent="0.25">
      <c r="A62" s="171"/>
      <c r="B62" s="171"/>
      <c r="C62" s="171"/>
      <c r="D62" s="171"/>
      <c r="E62" s="171"/>
      <c r="F62" s="171"/>
      <c r="G62" s="171"/>
      <c r="H62" s="171" t="s">
        <v>453</v>
      </c>
      <c r="I62" s="171"/>
      <c r="J62" s="138">
        <v>2570.4</v>
      </c>
    </row>
    <row r="63" spans="1:10" x14ac:dyDescent="0.25">
      <c r="A63" s="171"/>
      <c r="B63" s="171"/>
      <c r="C63" s="171"/>
      <c r="D63" s="171"/>
      <c r="E63" s="171"/>
      <c r="F63" s="171"/>
      <c r="G63" s="171"/>
      <c r="H63" s="171" t="s">
        <v>81</v>
      </c>
      <c r="I63" s="171"/>
      <c r="J63" s="138"/>
    </row>
    <row r="64" spans="1:10" ht="15.75" thickBot="1" x14ac:dyDescent="0.3">
      <c r="A64" s="171"/>
      <c r="B64" s="171"/>
      <c r="C64" s="171"/>
      <c r="D64" s="171"/>
      <c r="E64" s="171"/>
      <c r="F64" s="171"/>
      <c r="G64" s="171"/>
      <c r="H64" s="171"/>
      <c r="I64" s="171" t="s">
        <v>82</v>
      </c>
      <c r="J64" s="143">
        <v>11655</v>
      </c>
    </row>
    <row r="65" spans="1:10" x14ac:dyDescent="0.25">
      <c r="A65" s="171"/>
      <c r="B65" s="171"/>
      <c r="C65" s="171"/>
      <c r="D65" s="171"/>
      <c r="E65" s="171"/>
      <c r="F65" s="171"/>
      <c r="G65" s="171"/>
      <c r="H65" s="171" t="s">
        <v>83</v>
      </c>
      <c r="I65" s="171"/>
      <c r="J65" s="138">
        <f>ROUND(SUM(J63:J64),5)</f>
        <v>11655</v>
      </c>
    </row>
    <row r="66" spans="1:10" x14ac:dyDescent="0.25">
      <c r="A66" s="171"/>
      <c r="B66" s="171"/>
      <c r="C66" s="171"/>
      <c r="D66" s="171"/>
      <c r="E66" s="171"/>
      <c r="F66" s="171"/>
      <c r="G66" s="171"/>
      <c r="H66" s="171" t="s">
        <v>190</v>
      </c>
      <c r="I66" s="171"/>
      <c r="J66" s="138">
        <v>75282</v>
      </c>
    </row>
    <row r="67" spans="1:10" x14ac:dyDescent="0.25">
      <c r="A67" s="171"/>
      <c r="B67" s="171"/>
      <c r="C67" s="171"/>
      <c r="D67" s="171"/>
      <c r="E67" s="171"/>
      <c r="F67" s="171"/>
      <c r="G67" s="171"/>
      <c r="H67" s="171" t="s">
        <v>84</v>
      </c>
      <c r="I67" s="171"/>
      <c r="J67" s="138">
        <v>79068</v>
      </c>
    </row>
    <row r="68" spans="1:10" x14ac:dyDescent="0.25">
      <c r="A68" s="171"/>
      <c r="B68" s="171"/>
      <c r="C68" s="171"/>
      <c r="D68" s="171"/>
      <c r="E68" s="171"/>
      <c r="F68" s="171"/>
      <c r="G68" s="171"/>
      <c r="H68" s="171" t="s">
        <v>517</v>
      </c>
      <c r="I68" s="171"/>
      <c r="J68" s="138"/>
    </row>
    <row r="69" spans="1:10" x14ac:dyDescent="0.25">
      <c r="A69" s="171"/>
      <c r="B69" s="171"/>
      <c r="C69" s="171"/>
      <c r="D69" s="171"/>
      <c r="E69" s="171"/>
      <c r="F69" s="171"/>
      <c r="G69" s="171"/>
      <c r="H69" s="171"/>
      <c r="I69" s="171" t="s">
        <v>518</v>
      </c>
      <c r="J69" s="138">
        <v>7101.61</v>
      </c>
    </row>
    <row r="70" spans="1:10" ht="15.75" thickBot="1" x14ac:dyDescent="0.3">
      <c r="A70" s="171"/>
      <c r="B70" s="171"/>
      <c r="C70" s="171"/>
      <c r="D70" s="171"/>
      <c r="E70" s="171"/>
      <c r="F70" s="171"/>
      <c r="G70" s="171"/>
      <c r="H70" s="171"/>
      <c r="I70" s="171" t="s">
        <v>519</v>
      </c>
      <c r="J70" s="143">
        <v>8465.0400000000009</v>
      </c>
    </row>
    <row r="71" spans="1:10" x14ac:dyDescent="0.25">
      <c r="A71" s="171"/>
      <c r="B71" s="171"/>
      <c r="C71" s="171"/>
      <c r="D71" s="171"/>
      <c r="E71" s="171"/>
      <c r="F71" s="171"/>
      <c r="G71" s="171"/>
      <c r="H71" s="171" t="s">
        <v>520</v>
      </c>
      <c r="I71" s="171"/>
      <c r="J71" s="138">
        <f>ROUND(SUM(J68:J70),5)</f>
        <v>15566.65</v>
      </c>
    </row>
    <row r="72" spans="1:10" ht="15.75" thickBot="1" x14ac:dyDescent="0.3">
      <c r="A72" s="171"/>
      <c r="B72" s="171"/>
      <c r="C72" s="171"/>
      <c r="D72" s="171"/>
      <c r="E72" s="171"/>
      <c r="F72" s="171"/>
      <c r="G72" s="171"/>
      <c r="H72" s="171" t="s">
        <v>521</v>
      </c>
      <c r="I72" s="171"/>
      <c r="J72" s="143">
        <v>6000</v>
      </c>
    </row>
    <row r="73" spans="1:10" x14ac:dyDescent="0.25">
      <c r="A73" s="171"/>
      <c r="B73" s="171"/>
      <c r="C73" s="171"/>
      <c r="D73" s="171"/>
      <c r="E73" s="171"/>
      <c r="F73" s="171"/>
      <c r="G73" s="171" t="s">
        <v>85</v>
      </c>
      <c r="H73" s="171"/>
      <c r="I73" s="171"/>
      <c r="J73" s="138">
        <f>ROUND(SUM(J58:J62)+SUM(J65:J67)+SUM(J71:J72),5)</f>
        <v>240443.25</v>
      </c>
    </row>
    <row r="74" spans="1:10" x14ac:dyDescent="0.25">
      <c r="A74" s="171"/>
      <c r="B74" s="171"/>
      <c r="C74" s="171"/>
      <c r="D74" s="171"/>
      <c r="E74" s="171"/>
      <c r="F74" s="171"/>
      <c r="G74" s="171" t="s">
        <v>86</v>
      </c>
      <c r="H74" s="171"/>
      <c r="I74" s="171"/>
      <c r="J74" s="138"/>
    </row>
    <row r="75" spans="1:10" x14ac:dyDescent="0.25">
      <c r="A75" s="171"/>
      <c r="B75" s="171"/>
      <c r="C75" s="171"/>
      <c r="D75" s="171"/>
      <c r="E75" s="171"/>
      <c r="F75" s="171"/>
      <c r="G75" s="171"/>
      <c r="H75" s="171" t="s">
        <v>87</v>
      </c>
      <c r="I75" s="171"/>
      <c r="J75" s="138">
        <v>264000</v>
      </c>
    </row>
    <row r="76" spans="1:10" x14ac:dyDescent="0.25">
      <c r="A76" s="171"/>
      <c r="B76" s="171"/>
      <c r="C76" s="171"/>
      <c r="D76" s="171"/>
      <c r="E76" s="171"/>
      <c r="F76" s="171"/>
      <c r="G76" s="171"/>
      <c r="H76" s="171" t="s">
        <v>522</v>
      </c>
      <c r="I76" s="171"/>
      <c r="J76" s="138">
        <v>31680</v>
      </c>
    </row>
    <row r="77" spans="1:10" x14ac:dyDescent="0.25">
      <c r="A77" s="171"/>
      <c r="B77" s="171"/>
      <c r="C77" s="171"/>
      <c r="D77" s="171"/>
      <c r="E77" s="171"/>
      <c r="F77" s="171"/>
      <c r="G77" s="171"/>
      <c r="H77" s="171" t="s">
        <v>523</v>
      </c>
      <c r="I77" s="171"/>
      <c r="J77" s="138">
        <v>7920</v>
      </c>
    </row>
    <row r="78" spans="1:10" x14ac:dyDescent="0.25">
      <c r="A78" s="171"/>
      <c r="B78" s="171"/>
      <c r="C78" s="171"/>
      <c r="D78" s="171"/>
      <c r="E78" s="171"/>
      <c r="F78" s="171"/>
      <c r="G78" s="171"/>
      <c r="H78" s="171" t="s">
        <v>524</v>
      </c>
      <c r="I78" s="171"/>
      <c r="J78" s="138">
        <v>73000</v>
      </c>
    </row>
    <row r="79" spans="1:10" x14ac:dyDescent="0.25">
      <c r="A79" s="171"/>
      <c r="B79" s="171"/>
      <c r="C79" s="171"/>
      <c r="D79" s="171"/>
      <c r="E79" s="171"/>
      <c r="F79" s="171"/>
      <c r="G79" s="171"/>
      <c r="H79" s="171" t="s">
        <v>89</v>
      </c>
      <c r="I79" s="171"/>
      <c r="J79" s="138">
        <v>38000</v>
      </c>
    </row>
    <row r="80" spans="1:10" ht="15.75" thickBot="1" x14ac:dyDescent="0.3">
      <c r="A80" s="171"/>
      <c r="B80" s="171"/>
      <c r="C80" s="171"/>
      <c r="D80" s="171"/>
      <c r="E80" s="171"/>
      <c r="F80" s="171"/>
      <c r="G80" s="171"/>
      <c r="H80" s="171" t="s">
        <v>646</v>
      </c>
      <c r="I80" s="171"/>
      <c r="J80" s="143">
        <v>24200</v>
      </c>
    </row>
    <row r="81" spans="1:10" x14ac:dyDescent="0.25">
      <c r="A81" s="171"/>
      <c r="B81" s="171"/>
      <c r="C81" s="171"/>
      <c r="D81" s="171"/>
      <c r="E81" s="171"/>
      <c r="F81" s="171"/>
      <c r="G81" s="171" t="s">
        <v>91</v>
      </c>
      <c r="H81" s="171"/>
      <c r="I81" s="171"/>
      <c r="J81" s="138">
        <f>ROUND(SUM(J74:J80),5)</f>
        <v>438800</v>
      </c>
    </row>
    <row r="82" spans="1:10" x14ac:dyDescent="0.25">
      <c r="A82" s="171"/>
      <c r="B82" s="171"/>
      <c r="C82" s="171"/>
      <c r="D82" s="171"/>
      <c r="E82" s="171"/>
      <c r="F82" s="171"/>
      <c r="G82" s="171" t="s">
        <v>92</v>
      </c>
      <c r="H82" s="171"/>
      <c r="I82" s="171"/>
      <c r="J82" s="138"/>
    </row>
    <row r="83" spans="1:10" x14ac:dyDescent="0.25">
      <c r="A83" s="171"/>
      <c r="B83" s="171"/>
      <c r="C83" s="171"/>
      <c r="D83" s="171"/>
      <c r="E83" s="171"/>
      <c r="F83" s="171"/>
      <c r="G83" s="171"/>
      <c r="H83" s="171" t="s">
        <v>93</v>
      </c>
      <c r="I83" s="171"/>
      <c r="J83" s="138">
        <v>1338.88</v>
      </c>
    </row>
    <row r="84" spans="1:10" x14ac:dyDescent="0.25">
      <c r="A84" s="171"/>
      <c r="B84" s="171"/>
      <c r="C84" s="171"/>
      <c r="D84" s="171"/>
      <c r="E84" s="171"/>
      <c r="F84" s="171"/>
      <c r="G84" s="171"/>
      <c r="H84" s="171" t="s">
        <v>525</v>
      </c>
      <c r="I84" s="171"/>
      <c r="J84" s="138">
        <v>6700.27</v>
      </c>
    </row>
    <row r="85" spans="1:10" x14ac:dyDescent="0.25">
      <c r="A85" s="171"/>
      <c r="B85" s="171"/>
      <c r="C85" s="171"/>
      <c r="D85" s="171"/>
      <c r="E85" s="171"/>
      <c r="F85" s="171"/>
      <c r="G85" s="171"/>
      <c r="H85" s="171" t="s">
        <v>95</v>
      </c>
      <c r="I85" s="171"/>
      <c r="J85" s="138">
        <v>29987.25</v>
      </c>
    </row>
    <row r="86" spans="1:10" ht="15.75" thickBot="1" x14ac:dyDescent="0.3">
      <c r="A86" s="171"/>
      <c r="B86" s="171"/>
      <c r="C86" s="171"/>
      <c r="D86" s="171"/>
      <c r="E86" s="171"/>
      <c r="F86" s="171"/>
      <c r="G86" s="171"/>
      <c r="H86" s="171" t="s">
        <v>526</v>
      </c>
      <c r="I86" s="171"/>
      <c r="J86" s="143">
        <v>43301.88</v>
      </c>
    </row>
    <row r="87" spans="1:10" x14ac:dyDescent="0.25">
      <c r="A87" s="171"/>
      <c r="B87" s="171"/>
      <c r="C87" s="171"/>
      <c r="D87" s="171"/>
      <c r="E87" s="171"/>
      <c r="F87" s="171"/>
      <c r="G87" s="171" t="s">
        <v>96</v>
      </c>
      <c r="H87" s="171"/>
      <c r="I87" s="171"/>
      <c r="J87" s="138">
        <f>ROUND(SUM(J82:J86),5)</f>
        <v>81328.28</v>
      </c>
    </row>
    <row r="88" spans="1:10" x14ac:dyDescent="0.25">
      <c r="A88" s="171"/>
      <c r="B88" s="171"/>
      <c r="C88" s="171"/>
      <c r="D88" s="171"/>
      <c r="E88" s="171"/>
      <c r="F88" s="171"/>
      <c r="G88" s="171" t="s">
        <v>97</v>
      </c>
      <c r="H88" s="171"/>
      <c r="I88" s="171"/>
      <c r="J88" s="138"/>
    </row>
    <row r="89" spans="1:10" x14ac:dyDescent="0.25">
      <c r="A89" s="171"/>
      <c r="B89" s="171"/>
      <c r="C89" s="171"/>
      <c r="D89" s="171"/>
      <c r="E89" s="171"/>
      <c r="F89" s="171"/>
      <c r="G89" s="171"/>
      <c r="H89" s="171" t="s">
        <v>98</v>
      </c>
      <c r="I89" s="171"/>
      <c r="J89" s="138">
        <v>12720</v>
      </c>
    </row>
    <row r="90" spans="1:10" ht="15.75" thickBot="1" x14ac:dyDescent="0.3">
      <c r="A90" s="171"/>
      <c r="B90" s="171"/>
      <c r="C90" s="171"/>
      <c r="D90" s="171"/>
      <c r="E90" s="171"/>
      <c r="F90" s="171"/>
      <c r="G90" s="171"/>
      <c r="H90" s="171" t="s">
        <v>527</v>
      </c>
      <c r="I90" s="171"/>
      <c r="J90" s="143">
        <v>9000</v>
      </c>
    </row>
    <row r="91" spans="1:10" x14ac:dyDescent="0.25">
      <c r="A91" s="171"/>
      <c r="B91" s="171"/>
      <c r="C91" s="171"/>
      <c r="D91" s="171"/>
      <c r="E91" s="171"/>
      <c r="F91" s="171"/>
      <c r="G91" s="171" t="s">
        <v>102</v>
      </c>
      <c r="H91" s="171"/>
      <c r="I91" s="171"/>
      <c r="J91" s="138">
        <f>ROUND(SUM(J88:J90),5)</f>
        <v>21720</v>
      </c>
    </row>
    <row r="92" spans="1:10" x14ac:dyDescent="0.25">
      <c r="A92" s="171"/>
      <c r="B92" s="171"/>
      <c r="C92" s="171"/>
      <c r="D92" s="171"/>
      <c r="E92" s="171"/>
      <c r="F92" s="171"/>
      <c r="G92" s="171" t="s">
        <v>103</v>
      </c>
      <c r="H92" s="171"/>
      <c r="I92" s="171"/>
      <c r="J92" s="138"/>
    </row>
    <row r="93" spans="1:10" x14ac:dyDescent="0.25">
      <c r="A93" s="171"/>
      <c r="B93" s="171"/>
      <c r="C93" s="171"/>
      <c r="D93" s="171"/>
      <c r="E93" s="171"/>
      <c r="F93" s="171"/>
      <c r="G93" s="171"/>
      <c r="H93" s="171" t="s">
        <v>104</v>
      </c>
      <c r="I93" s="171"/>
      <c r="J93" s="138">
        <v>23941</v>
      </c>
    </row>
    <row r="94" spans="1:10" x14ac:dyDescent="0.25">
      <c r="A94" s="171"/>
      <c r="B94" s="171"/>
      <c r="C94" s="171"/>
      <c r="D94" s="171"/>
      <c r="E94" s="171"/>
      <c r="F94" s="171"/>
      <c r="G94" s="171"/>
      <c r="H94" s="171" t="s">
        <v>105</v>
      </c>
      <c r="I94" s="171"/>
      <c r="J94" s="138">
        <v>7200</v>
      </c>
    </row>
    <row r="95" spans="1:10" x14ac:dyDescent="0.25">
      <c r="A95" s="171"/>
      <c r="B95" s="171"/>
      <c r="C95" s="171"/>
      <c r="D95" s="171"/>
      <c r="E95" s="171"/>
      <c r="F95" s="171"/>
      <c r="G95" s="171"/>
      <c r="H95" s="171" t="s">
        <v>106</v>
      </c>
      <c r="I95" s="171"/>
      <c r="J95" s="138">
        <v>8342.5</v>
      </c>
    </row>
    <row r="96" spans="1:10" x14ac:dyDescent="0.25">
      <c r="A96" s="171"/>
      <c r="B96" s="171"/>
      <c r="C96" s="171"/>
      <c r="D96" s="171"/>
      <c r="E96" s="171"/>
      <c r="F96" s="171"/>
      <c r="G96" s="171"/>
      <c r="H96" s="171" t="s">
        <v>455</v>
      </c>
      <c r="I96" s="171"/>
      <c r="J96" s="138">
        <v>83334</v>
      </c>
    </row>
    <row r="97" spans="1:10" x14ac:dyDescent="0.25">
      <c r="A97" s="171"/>
      <c r="B97" s="171"/>
      <c r="C97" s="171"/>
      <c r="D97" s="171"/>
      <c r="E97" s="171"/>
      <c r="F97" s="171"/>
      <c r="G97" s="171"/>
      <c r="H97" s="171" t="s">
        <v>107</v>
      </c>
      <c r="I97" s="171"/>
      <c r="J97" s="138">
        <v>3300</v>
      </c>
    </row>
    <row r="98" spans="1:10" x14ac:dyDescent="0.25">
      <c r="A98" s="171"/>
      <c r="B98" s="171"/>
      <c r="C98" s="171"/>
      <c r="D98" s="171"/>
      <c r="E98" s="171"/>
      <c r="F98" s="171"/>
      <c r="G98" s="171"/>
      <c r="H98" s="171" t="s">
        <v>528</v>
      </c>
      <c r="I98" s="171"/>
      <c r="J98" s="138">
        <v>136850.54</v>
      </c>
    </row>
    <row r="99" spans="1:10" x14ac:dyDescent="0.25">
      <c r="A99" s="171"/>
      <c r="B99" s="171"/>
      <c r="C99" s="171"/>
      <c r="D99" s="171"/>
      <c r="E99" s="171"/>
      <c r="F99" s="171"/>
      <c r="G99" s="171"/>
      <c r="H99" s="171" t="s">
        <v>529</v>
      </c>
      <c r="I99" s="171"/>
      <c r="J99" s="138">
        <v>134366.23000000001</v>
      </c>
    </row>
    <row r="100" spans="1:10" x14ac:dyDescent="0.25">
      <c r="A100" s="171"/>
      <c r="B100" s="171"/>
      <c r="C100" s="171"/>
      <c r="D100" s="171"/>
      <c r="E100" s="171"/>
      <c r="F100" s="171"/>
      <c r="G100" s="171"/>
      <c r="H100" s="171" t="s">
        <v>530</v>
      </c>
      <c r="I100" s="171"/>
      <c r="J100" s="138">
        <v>85420.41</v>
      </c>
    </row>
    <row r="101" spans="1:10" ht="15.75" thickBot="1" x14ac:dyDescent="0.3">
      <c r="A101" s="171"/>
      <c r="B101" s="171"/>
      <c r="C101" s="171"/>
      <c r="D101" s="171"/>
      <c r="E101" s="171"/>
      <c r="F101" s="171"/>
      <c r="G101" s="171"/>
      <c r="H101" s="171" t="s">
        <v>475</v>
      </c>
      <c r="I101" s="171"/>
      <c r="J101" s="143">
        <v>5600</v>
      </c>
    </row>
    <row r="102" spans="1:10" x14ac:dyDescent="0.25">
      <c r="A102" s="171"/>
      <c r="B102" s="171"/>
      <c r="C102" s="171"/>
      <c r="D102" s="171"/>
      <c r="E102" s="171"/>
      <c r="F102" s="171"/>
      <c r="G102" s="171" t="s">
        <v>108</v>
      </c>
      <c r="H102" s="171"/>
      <c r="I102" s="171"/>
      <c r="J102" s="138">
        <f>ROUND(SUM(J92:J101),5)</f>
        <v>488354.68</v>
      </c>
    </row>
    <row r="103" spans="1:10" x14ac:dyDescent="0.25">
      <c r="A103" s="171"/>
      <c r="B103" s="171"/>
      <c r="C103" s="171"/>
      <c r="D103" s="171"/>
      <c r="E103" s="171"/>
      <c r="F103" s="171"/>
      <c r="G103" s="171" t="s">
        <v>456</v>
      </c>
      <c r="H103" s="171"/>
      <c r="I103" s="171"/>
      <c r="J103" s="138"/>
    </row>
    <row r="104" spans="1:10" x14ac:dyDescent="0.25">
      <c r="A104" s="171"/>
      <c r="B104" s="171"/>
      <c r="C104" s="171"/>
      <c r="D104" s="171"/>
      <c r="E104" s="171"/>
      <c r="F104" s="171"/>
      <c r="G104" s="171"/>
      <c r="H104" s="171" t="s">
        <v>531</v>
      </c>
      <c r="I104" s="171"/>
      <c r="J104" s="138">
        <v>277583.34000000003</v>
      </c>
    </row>
    <row r="105" spans="1:10" ht="15.75" thickBot="1" x14ac:dyDescent="0.3">
      <c r="A105" s="171"/>
      <c r="B105" s="171"/>
      <c r="C105" s="171"/>
      <c r="D105" s="171"/>
      <c r="E105" s="171"/>
      <c r="F105" s="171"/>
      <c r="G105" s="171"/>
      <c r="H105" s="171" t="s">
        <v>476</v>
      </c>
      <c r="I105" s="171"/>
      <c r="J105" s="139">
        <v>6059.77</v>
      </c>
    </row>
    <row r="106" spans="1:10" ht="15.75" thickBot="1" x14ac:dyDescent="0.3">
      <c r="A106" s="171"/>
      <c r="B106" s="171"/>
      <c r="C106" s="171"/>
      <c r="D106" s="171"/>
      <c r="E106" s="171"/>
      <c r="F106" s="171"/>
      <c r="G106" s="171" t="s">
        <v>458</v>
      </c>
      <c r="H106" s="171"/>
      <c r="I106" s="171"/>
      <c r="J106" s="141">
        <f>ROUND(SUM(J103:J105),5)</f>
        <v>283643.11</v>
      </c>
    </row>
    <row r="107" spans="1:10" x14ac:dyDescent="0.25">
      <c r="A107" s="171"/>
      <c r="B107" s="171"/>
      <c r="C107" s="171"/>
      <c r="D107" s="171"/>
      <c r="E107" s="171"/>
      <c r="F107" s="171" t="s">
        <v>191</v>
      </c>
      <c r="G107" s="171"/>
      <c r="H107" s="171"/>
      <c r="I107" s="171"/>
      <c r="J107" s="138">
        <f>ROUND(J57+J73+J81+J87+J91+J102+J106,5)</f>
        <v>1554289.32</v>
      </c>
    </row>
    <row r="108" spans="1:10" x14ac:dyDescent="0.25">
      <c r="A108" s="171"/>
      <c r="B108" s="171"/>
      <c r="C108" s="171"/>
      <c r="D108" s="171"/>
      <c r="E108" s="171"/>
      <c r="F108" s="171" t="s">
        <v>109</v>
      </c>
      <c r="G108" s="171"/>
      <c r="H108" s="171"/>
      <c r="I108" s="171"/>
      <c r="J108" s="138"/>
    </row>
    <row r="109" spans="1:10" x14ac:dyDescent="0.25">
      <c r="A109" s="171"/>
      <c r="B109" s="171"/>
      <c r="C109" s="171"/>
      <c r="D109" s="171"/>
      <c r="E109" s="171"/>
      <c r="F109" s="171"/>
      <c r="G109" s="171" t="s">
        <v>110</v>
      </c>
      <c r="H109" s="171"/>
      <c r="I109" s="171"/>
      <c r="J109" s="138"/>
    </row>
    <row r="110" spans="1:10" x14ac:dyDescent="0.25">
      <c r="A110" s="171"/>
      <c r="B110" s="171"/>
      <c r="C110" s="171"/>
      <c r="D110" s="171"/>
      <c r="E110" s="171"/>
      <c r="F110" s="171"/>
      <c r="G110" s="171"/>
      <c r="H110" s="171" t="s">
        <v>112</v>
      </c>
      <c r="I110" s="171"/>
      <c r="J110" s="138">
        <v>100916.8</v>
      </c>
    </row>
    <row r="111" spans="1:10" x14ac:dyDescent="0.25">
      <c r="A111" s="171"/>
      <c r="B111" s="171"/>
      <c r="C111" s="171"/>
      <c r="D111" s="171"/>
      <c r="E111" s="171"/>
      <c r="F111" s="171"/>
      <c r="G111" s="171"/>
      <c r="H111" s="171" t="s">
        <v>113</v>
      </c>
      <c r="I111" s="171"/>
      <c r="J111" s="138">
        <v>31980</v>
      </c>
    </row>
    <row r="112" spans="1:10" x14ac:dyDescent="0.25">
      <c r="A112" s="171"/>
      <c r="B112" s="171"/>
      <c r="C112" s="171"/>
      <c r="D112" s="171"/>
      <c r="E112" s="171"/>
      <c r="F112" s="171"/>
      <c r="G112" s="171"/>
      <c r="H112" s="171" t="s">
        <v>532</v>
      </c>
      <c r="I112" s="171"/>
      <c r="J112" s="138">
        <v>43776</v>
      </c>
    </row>
    <row r="113" spans="1:10" x14ac:dyDescent="0.25">
      <c r="A113" s="171"/>
      <c r="B113" s="171"/>
      <c r="C113" s="171"/>
      <c r="D113" s="171"/>
      <c r="E113" s="171"/>
      <c r="F113" s="171"/>
      <c r="G113" s="171"/>
      <c r="H113" s="171" t="s">
        <v>114</v>
      </c>
      <c r="I113" s="171"/>
      <c r="J113" s="138">
        <v>4458.37</v>
      </c>
    </row>
    <row r="114" spans="1:10" x14ac:dyDescent="0.25">
      <c r="A114" s="171"/>
      <c r="B114" s="171"/>
      <c r="C114" s="171"/>
      <c r="D114" s="171"/>
      <c r="E114" s="171"/>
      <c r="F114" s="171"/>
      <c r="G114" s="171"/>
      <c r="H114" s="171" t="s">
        <v>459</v>
      </c>
      <c r="I114" s="171"/>
      <c r="J114" s="138">
        <v>5783.4</v>
      </c>
    </row>
    <row r="115" spans="1:10" x14ac:dyDescent="0.25">
      <c r="A115" s="171"/>
      <c r="B115" s="171"/>
      <c r="C115" s="171"/>
      <c r="D115" s="171"/>
      <c r="E115" s="171"/>
      <c r="F115" s="171"/>
      <c r="G115" s="171"/>
      <c r="H115" s="171" t="s">
        <v>533</v>
      </c>
      <c r="I115" s="171"/>
      <c r="J115" s="138">
        <v>2094.23</v>
      </c>
    </row>
    <row r="116" spans="1:10" x14ac:dyDescent="0.25">
      <c r="A116" s="171"/>
      <c r="B116" s="171"/>
      <c r="C116" s="171"/>
      <c r="D116" s="171"/>
      <c r="E116" s="171"/>
      <c r="F116" s="171"/>
      <c r="G116" s="171"/>
      <c r="H116" s="171" t="s">
        <v>534</v>
      </c>
      <c r="I116" s="171"/>
      <c r="J116" s="138">
        <v>7000</v>
      </c>
    </row>
    <row r="117" spans="1:10" x14ac:dyDescent="0.25">
      <c r="A117" s="171"/>
      <c r="B117" s="171"/>
      <c r="C117" s="171"/>
      <c r="D117" s="171"/>
      <c r="E117" s="171"/>
      <c r="F117" s="171"/>
      <c r="G117" s="171"/>
      <c r="H117" s="171" t="s">
        <v>115</v>
      </c>
      <c r="I117" s="171"/>
      <c r="J117" s="138">
        <v>2100</v>
      </c>
    </row>
    <row r="118" spans="1:10" ht="15.75" thickBot="1" x14ac:dyDescent="0.3">
      <c r="A118" s="171"/>
      <c r="B118" s="171"/>
      <c r="C118" s="171"/>
      <c r="D118" s="171"/>
      <c r="E118" s="171"/>
      <c r="F118" s="171"/>
      <c r="G118" s="171"/>
      <c r="H118" s="171" t="s">
        <v>535</v>
      </c>
      <c r="I118" s="171"/>
      <c r="J118" s="143">
        <v>3000</v>
      </c>
    </row>
    <row r="119" spans="1:10" x14ac:dyDescent="0.25">
      <c r="A119" s="171"/>
      <c r="B119" s="171"/>
      <c r="C119" s="171"/>
      <c r="D119" s="171"/>
      <c r="E119" s="171"/>
      <c r="F119" s="171"/>
      <c r="G119" s="171" t="s">
        <v>116</v>
      </c>
      <c r="H119" s="171"/>
      <c r="I119" s="171"/>
      <c r="J119" s="138">
        <f>ROUND(SUM(J109:J118),5)</f>
        <v>201108.8</v>
      </c>
    </row>
    <row r="120" spans="1:10" x14ac:dyDescent="0.25">
      <c r="A120" s="171"/>
      <c r="B120" s="171"/>
      <c r="C120" s="171"/>
      <c r="D120" s="171"/>
      <c r="E120" s="171"/>
      <c r="F120" s="171"/>
      <c r="G120" s="171" t="s">
        <v>117</v>
      </c>
      <c r="H120" s="171"/>
      <c r="I120" s="171"/>
      <c r="J120" s="138"/>
    </row>
    <row r="121" spans="1:10" x14ac:dyDescent="0.25">
      <c r="A121" s="171"/>
      <c r="B121" s="171"/>
      <c r="C121" s="171"/>
      <c r="D121" s="171"/>
      <c r="E121" s="171"/>
      <c r="F121" s="171"/>
      <c r="G121" s="171"/>
      <c r="H121" s="171" t="s">
        <v>118</v>
      </c>
      <c r="I121" s="171"/>
      <c r="J121" s="138">
        <v>65080</v>
      </c>
    </row>
    <row r="122" spans="1:10" x14ac:dyDescent="0.25">
      <c r="A122" s="171"/>
      <c r="B122" s="171"/>
      <c r="C122" s="171"/>
      <c r="D122" s="171"/>
      <c r="E122" s="171"/>
      <c r="F122" s="171"/>
      <c r="G122" s="171"/>
      <c r="H122" s="171" t="s">
        <v>536</v>
      </c>
      <c r="I122" s="171"/>
      <c r="J122" s="138">
        <v>4200</v>
      </c>
    </row>
    <row r="123" spans="1:10" x14ac:dyDescent="0.25">
      <c r="A123" s="171"/>
      <c r="B123" s="171"/>
      <c r="C123" s="171"/>
      <c r="D123" s="171"/>
      <c r="E123" s="171"/>
      <c r="F123" s="171"/>
      <c r="G123" s="171"/>
      <c r="H123" s="171" t="s">
        <v>537</v>
      </c>
      <c r="I123" s="171"/>
      <c r="J123" s="138">
        <v>1050</v>
      </c>
    </row>
    <row r="124" spans="1:10" x14ac:dyDescent="0.25">
      <c r="A124" s="171"/>
      <c r="B124" s="171"/>
      <c r="C124" s="171"/>
      <c r="D124" s="171"/>
      <c r="E124" s="171"/>
      <c r="F124" s="171"/>
      <c r="G124" s="171"/>
      <c r="H124" s="171" t="s">
        <v>119</v>
      </c>
      <c r="I124" s="171"/>
      <c r="J124" s="138">
        <v>30000</v>
      </c>
    </row>
    <row r="125" spans="1:10" ht="15.75" thickBot="1" x14ac:dyDescent="0.3">
      <c r="A125" s="171"/>
      <c r="B125" s="171"/>
      <c r="C125" s="171"/>
      <c r="D125" s="171"/>
      <c r="E125" s="171"/>
      <c r="F125" s="171"/>
      <c r="G125" s="171"/>
      <c r="H125" s="171" t="s">
        <v>647</v>
      </c>
      <c r="I125" s="171"/>
      <c r="J125" s="143">
        <v>3208.33</v>
      </c>
    </row>
    <row r="126" spans="1:10" x14ac:dyDescent="0.25">
      <c r="A126" s="171"/>
      <c r="B126" s="171"/>
      <c r="C126" s="171"/>
      <c r="D126" s="171"/>
      <c r="E126" s="171"/>
      <c r="F126" s="171"/>
      <c r="G126" s="171" t="s">
        <v>120</v>
      </c>
      <c r="H126" s="171"/>
      <c r="I126" s="171"/>
      <c r="J126" s="138">
        <f>ROUND(SUM(J120:J125),5)</f>
        <v>103538.33</v>
      </c>
    </row>
    <row r="127" spans="1:10" x14ac:dyDescent="0.25">
      <c r="A127" s="171"/>
      <c r="B127" s="171"/>
      <c r="C127" s="171"/>
      <c r="D127" s="171"/>
      <c r="E127" s="171"/>
      <c r="F127" s="171"/>
      <c r="G127" s="171" t="s">
        <v>121</v>
      </c>
      <c r="H127" s="171"/>
      <c r="I127" s="171"/>
      <c r="J127" s="138"/>
    </row>
    <row r="128" spans="1:10" x14ac:dyDescent="0.25">
      <c r="A128" s="171"/>
      <c r="B128" s="171"/>
      <c r="C128" s="171"/>
      <c r="D128" s="171"/>
      <c r="E128" s="171"/>
      <c r="F128" s="171"/>
      <c r="G128" s="171"/>
      <c r="H128" s="171" t="s">
        <v>538</v>
      </c>
      <c r="I128" s="171"/>
      <c r="J128" s="138">
        <v>34180.720000000001</v>
      </c>
    </row>
    <row r="129" spans="1:10" x14ac:dyDescent="0.25">
      <c r="A129" s="171"/>
      <c r="B129" s="171"/>
      <c r="C129" s="171"/>
      <c r="D129" s="171"/>
      <c r="E129" s="171"/>
      <c r="F129" s="171"/>
      <c r="G129" s="171"/>
      <c r="H129" s="171" t="s">
        <v>460</v>
      </c>
      <c r="I129" s="171"/>
      <c r="J129" s="138">
        <v>3433.89</v>
      </c>
    </row>
    <row r="130" spans="1:10" ht="15.75" thickBot="1" x14ac:dyDescent="0.3">
      <c r="A130" s="171"/>
      <c r="B130" s="171"/>
      <c r="C130" s="171"/>
      <c r="D130" s="171"/>
      <c r="E130" s="171"/>
      <c r="F130" s="171"/>
      <c r="G130" s="171"/>
      <c r="H130" s="171" t="s">
        <v>461</v>
      </c>
      <c r="I130" s="171"/>
      <c r="J130" s="143">
        <v>5051.03</v>
      </c>
    </row>
    <row r="131" spans="1:10" x14ac:dyDescent="0.25">
      <c r="A131" s="171"/>
      <c r="B131" s="171"/>
      <c r="C131" s="171"/>
      <c r="D131" s="171"/>
      <c r="E131" s="171"/>
      <c r="F131" s="171"/>
      <c r="G131" s="171" t="s">
        <v>122</v>
      </c>
      <c r="H131" s="171"/>
      <c r="I131" s="171"/>
      <c r="J131" s="138">
        <f>ROUND(SUM(J127:J130),5)</f>
        <v>42665.64</v>
      </c>
    </row>
    <row r="132" spans="1:10" x14ac:dyDescent="0.25">
      <c r="A132" s="171"/>
      <c r="B132" s="171"/>
      <c r="C132" s="171"/>
      <c r="D132" s="171"/>
      <c r="E132" s="171"/>
      <c r="F132" s="171"/>
      <c r="G132" s="171" t="s">
        <v>123</v>
      </c>
      <c r="H132" s="171"/>
      <c r="I132" s="171"/>
      <c r="J132" s="138"/>
    </row>
    <row r="133" spans="1:10" x14ac:dyDescent="0.25">
      <c r="A133" s="171"/>
      <c r="B133" s="171"/>
      <c r="C133" s="171"/>
      <c r="D133" s="171"/>
      <c r="E133" s="171"/>
      <c r="F133" s="171"/>
      <c r="G133" s="171"/>
      <c r="H133" s="171" t="s">
        <v>540</v>
      </c>
      <c r="I133" s="171"/>
      <c r="J133" s="138">
        <v>550</v>
      </c>
    </row>
    <row r="134" spans="1:10" x14ac:dyDescent="0.25">
      <c r="A134" s="171"/>
      <c r="B134" s="171"/>
      <c r="C134" s="171"/>
      <c r="D134" s="171"/>
      <c r="E134" s="171"/>
      <c r="F134" s="171"/>
      <c r="G134" s="171"/>
      <c r="H134" s="171" t="s">
        <v>463</v>
      </c>
      <c r="I134" s="171"/>
      <c r="J134" s="138">
        <v>4337.22</v>
      </c>
    </row>
    <row r="135" spans="1:10" x14ac:dyDescent="0.25">
      <c r="A135" s="171"/>
      <c r="B135" s="171"/>
      <c r="C135" s="171"/>
      <c r="D135" s="171"/>
      <c r="E135" s="171"/>
      <c r="F135" s="171"/>
      <c r="G135" s="171" t="s">
        <v>125</v>
      </c>
      <c r="H135" s="171"/>
      <c r="I135" s="171"/>
      <c r="J135" s="138">
        <f>ROUND(SUM(J132:J134),5)</f>
        <v>4887.22</v>
      </c>
    </row>
    <row r="136" spans="1:10" x14ac:dyDescent="0.25">
      <c r="A136" s="171"/>
      <c r="B136" s="171"/>
      <c r="C136" s="171"/>
      <c r="D136" s="171"/>
      <c r="E136" s="171"/>
      <c r="F136" s="171"/>
      <c r="G136" s="171" t="s">
        <v>126</v>
      </c>
      <c r="H136" s="171"/>
      <c r="I136" s="171"/>
      <c r="J136" s="138"/>
    </row>
    <row r="137" spans="1:10" x14ac:dyDescent="0.25">
      <c r="A137" s="171"/>
      <c r="B137" s="171"/>
      <c r="C137" s="171"/>
      <c r="D137" s="171"/>
      <c r="E137" s="171"/>
      <c r="F137" s="171"/>
      <c r="G137" s="171"/>
      <c r="H137" s="171" t="s">
        <v>127</v>
      </c>
      <c r="I137" s="171"/>
      <c r="J137" s="138">
        <v>2690</v>
      </c>
    </row>
    <row r="138" spans="1:10" x14ac:dyDescent="0.25">
      <c r="A138" s="171"/>
      <c r="B138" s="171"/>
      <c r="C138" s="171"/>
      <c r="D138" s="171"/>
      <c r="E138" s="171"/>
      <c r="F138" s="171"/>
      <c r="G138" s="171"/>
      <c r="H138" s="171" t="s">
        <v>128</v>
      </c>
      <c r="I138" s="171"/>
      <c r="J138" s="138">
        <v>11542</v>
      </c>
    </row>
    <row r="139" spans="1:10" x14ac:dyDescent="0.25">
      <c r="A139" s="171"/>
      <c r="B139" s="171"/>
      <c r="C139" s="171"/>
      <c r="D139" s="171"/>
      <c r="E139" s="171"/>
      <c r="F139" s="171"/>
      <c r="G139" s="171"/>
      <c r="H139" s="171" t="s">
        <v>129</v>
      </c>
      <c r="I139" s="171"/>
      <c r="J139" s="138">
        <v>5612</v>
      </c>
    </row>
    <row r="140" spans="1:10" x14ac:dyDescent="0.25">
      <c r="A140" s="171"/>
      <c r="B140" s="171"/>
      <c r="C140" s="171"/>
      <c r="D140" s="171"/>
      <c r="E140" s="171"/>
      <c r="F140" s="171"/>
      <c r="G140" s="171"/>
      <c r="H140" s="171" t="s">
        <v>541</v>
      </c>
      <c r="I140" s="171"/>
      <c r="J140" s="138">
        <v>8000</v>
      </c>
    </row>
    <row r="141" spans="1:10" x14ac:dyDescent="0.25">
      <c r="A141" s="171"/>
      <c r="B141" s="171"/>
      <c r="C141" s="171"/>
      <c r="D141" s="171"/>
      <c r="E141" s="171"/>
      <c r="F141" s="171"/>
      <c r="G141" s="171"/>
      <c r="H141" s="171" t="s">
        <v>542</v>
      </c>
      <c r="I141" s="171"/>
      <c r="J141" s="138">
        <v>46831.96</v>
      </c>
    </row>
    <row r="142" spans="1:10" ht="15.75" thickBot="1" x14ac:dyDescent="0.3">
      <c r="A142" s="171"/>
      <c r="B142" s="171"/>
      <c r="C142" s="171"/>
      <c r="D142" s="171"/>
      <c r="E142" s="171"/>
      <c r="F142" s="171"/>
      <c r="G142" s="171"/>
      <c r="H142" s="171" t="s">
        <v>543</v>
      </c>
      <c r="I142" s="171"/>
      <c r="J142" s="143">
        <v>53882.96</v>
      </c>
    </row>
    <row r="143" spans="1:10" x14ac:dyDescent="0.25">
      <c r="A143" s="171"/>
      <c r="B143" s="171"/>
      <c r="C143" s="171"/>
      <c r="D143" s="171"/>
      <c r="E143" s="171"/>
      <c r="F143" s="171"/>
      <c r="G143" s="171" t="s">
        <v>130</v>
      </c>
      <c r="H143" s="171"/>
      <c r="I143" s="171"/>
      <c r="J143" s="138">
        <f>ROUND(SUM(J136:J142),5)</f>
        <v>128558.92</v>
      </c>
    </row>
    <row r="144" spans="1:10" x14ac:dyDescent="0.25">
      <c r="A144" s="171"/>
      <c r="B144" s="171"/>
      <c r="C144" s="171"/>
      <c r="D144" s="171"/>
      <c r="E144" s="171"/>
      <c r="F144" s="171"/>
      <c r="G144" s="171" t="s">
        <v>131</v>
      </c>
      <c r="H144" s="171"/>
      <c r="I144" s="171"/>
      <c r="J144" s="138"/>
    </row>
    <row r="145" spans="1:13" ht="15.75" thickBot="1" x14ac:dyDescent="0.3">
      <c r="A145" s="171"/>
      <c r="B145" s="171"/>
      <c r="C145" s="171"/>
      <c r="D145" s="171"/>
      <c r="E145" s="171"/>
      <c r="F145" s="171"/>
      <c r="G145" s="171"/>
      <c r="H145" s="171" t="s">
        <v>132</v>
      </c>
      <c r="I145" s="171"/>
      <c r="J145" s="139">
        <v>2500</v>
      </c>
    </row>
    <row r="146" spans="1:13" ht="15.75" thickBot="1" x14ac:dyDescent="0.3">
      <c r="A146" s="171"/>
      <c r="B146" s="171"/>
      <c r="C146" s="171"/>
      <c r="D146" s="171"/>
      <c r="E146" s="171"/>
      <c r="F146" s="171"/>
      <c r="G146" s="171" t="s">
        <v>133</v>
      </c>
      <c r="H146" s="171"/>
      <c r="I146" s="171"/>
      <c r="J146" s="141">
        <f>ROUND(SUM(J144:J145),5)</f>
        <v>2500</v>
      </c>
    </row>
    <row r="147" spans="1:13" x14ac:dyDescent="0.25">
      <c r="A147" s="171"/>
      <c r="B147" s="171"/>
      <c r="C147" s="171"/>
      <c r="D147" s="171"/>
      <c r="E147" s="171"/>
      <c r="F147" s="171" t="s">
        <v>134</v>
      </c>
      <c r="G147" s="171"/>
      <c r="H147" s="171"/>
      <c r="I147" s="171"/>
      <c r="J147" s="138">
        <f>ROUND(J108+J119+J126+J131+J135+J143+J146,5)</f>
        <v>483258.91</v>
      </c>
    </row>
    <row r="148" spans="1:13" x14ac:dyDescent="0.25">
      <c r="A148" s="171"/>
      <c r="B148" s="171"/>
      <c r="C148" s="171"/>
      <c r="D148" s="171"/>
      <c r="E148" s="171"/>
      <c r="F148" s="171" t="s">
        <v>135</v>
      </c>
      <c r="G148" s="171"/>
      <c r="H148" s="171"/>
      <c r="I148" s="171"/>
      <c r="J148" s="138"/>
    </row>
    <row r="149" spans="1:13" x14ac:dyDescent="0.25">
      <c r="A149" s="171"/>
      <c r="B149" s="171"/>
      <c r="C149" s="171"/>
      <c r="D149" s="171"/>
      <c r="E149" s="171"/>
      <c r="F149" s="171"/>
      <c r="G149" s="171" t="s">
        <v>192</v>
      </c>
      <c r="H149" s="171"/>
      <c r="I149" s="171"/>
      <c r="J149" s="138"/>
    </row>
    <row r="150" spans="1:13" x14ac:dyDescent="0.25">
      <c r="A150" s="171"/>
      <c r="B150" s="171"/>
      <c r="C150" s="171"/>
      <c r="D150" s="171"/>
      <c r="E150" s="171"/>
      <c r="F150" s="171"/>
      <c r="G150" s="171"/>
      <c r="H150" s="171" t="s">
        <v>544</v>
      </c>
      <c r="I150" s="171"/>
      <c r="J150" s="138">
        <v>1555</v>
      </c>
      <c r="L150" s="104"/>
    </row>
    <row r="151" spans="1:13" x14ac:dyDescent="0.25">
      <c r="A151" s="171"/>
      <c r="B151" s="171"/>
      <c r="C151" s="171"/>
      <c r="D151" s="171"/>
      <c r="E151" s="171"/>
      <c r="F151" s="171"/>
      <c r="G151" s="171"/>
      <c r="H151" s="171" t="s">
        <v>545</v>
      </c>
      <c r="I151" s="171"/>
      <c r="J151" s="138">
        <v>1876.38</v>
      </c>
      <c r="L151" s="158"/>
      <c r="M151" s="205"/>
    </row>
    <row r="152" spans="1:13" ht="15.75" thickBot="1" x14ac:dyDescent="0.3">
      <c r="A152" s="171"/>
      <c r="B152" s="171"/>
      <c r="C152" s="171"/>
      <c r="D152" s="171"/>
      <c r="E152" s="171"/>
      <c r="F152" s="171"/>
      <c r="G152" s="171"/>
      <c r="H152" s="171" t="s">
        <v>547</v>
      </c>
      <c r="I152" s="171"/>
      <c r="J152" s="143">
        <v>18</v>
      </c>
    </row>
    <row r="153" spans="1:13" x14ac:dyDescent="0.25">
      <c r="A153" s="171"/>
      <c r="B153" s="171"/>
      <c r="C153" s="171"/>
      <c r="D153" s="171"/>
      <c r="E153" s="171"/>
      <c r="F153" s="171"/>
      <c r="G153" s="171" t="s">
        <v>194</v>
      </c>
      <c r="H153" s="171"/>
      <c r="I153" s="171"/>
      <c r="J153" s="138">
        <f>ROUND(SUM(J149:J152),5)</f>
        <v>3449.38</v>
      </c>
    </row>
    <row r="154" spans="1:13" x14ac:dyDescent="0.25">
      <c r="A154" s="171"/>
      <c r="B154" s="171"/>
      <c r="C154" s="171"/>
      <c r="D154" s="171"/>
      <c r="E154" s="171"/>
      <c r="F154" s="171"/>
      <c r="G154" s="171" t="s">
        <v>195</v>
      </c>
      <c r="H154" s="171"/>
      <c r="I154" s="171"/>
      <c r="J154" s="138"/>
    </row>
    <row r="155" spans="1:13" x14ac:dyDescent="0.25">
      <c r="A155" s="171"/>
      <c r="B155" s="171"/>
      <c r="C155" s="171"/>
      <c r="D155" s="171"/>
      <c r="E155" s="171"/>
      <c r="F155" s="171"/>
      <c r="G155" s="171"/>
      <c r="H155" s="171" t="s">
        <v>137</v>
      </c>
      <c r="I155" s="171"/>
      <c r="J155" s="138">
        <v>33201</v>
      </c>
    </row>
    <row r="156" spans="1:13" ht="15.75" thickBot="1" x14ac:dyDescent="0.3">
      <c r="A156" s="171"/>
      <c r="B156" s="171"/>
      <c r="C156" s="171"/>
      <c r="D156" s="171"/>
      <c r="E156" s="171"/>
      <c r="F156" s="171"/>
      <c r="G156" s="171"/>
      <c r="H156" s="171" t="s">
        <v>548</v>
      </c>
      <c r="I156" s="171"/>
      <c r="J156" s="139">
        <v>9452.4</v>
      </c>
    </row>
    <row r="157" spans="1:13" ht="15.75" thickBot="1" x14ac:dyDescent="0.3">
      <c r="A157" s="171"/>
      <c r="B157" s="171"/>
      <c r="C157" s="171"/>
      <c r="D157" s="171"/>
      <c r="E157" s="171"/>
      <c r="F157" s="171"/>
      <c r="G157" s="171" t="s">
        <v>196</v>
      </c>
      <c r="H157" s="171"/>
      <c r="I157" s="171"/>
      <c r="J157" s="141">
        <f>ROUND(SUM(J154:J156),5)</f>
        <v>42653.4</v>
      </c>
    </row>
    <row r="158" spans="1:13" x14ac:dyDescent="0.25">
      <c r="A158" s="171"/>
      <c r="B158" s="171"/>
      <c r="C158" s="171"/>
      <c r="D158" s="171"/>
      <c r="E158" s="171"/>
      <c r="F158" s="171" t="s">
        <v>138</v>
      </c>
      <c r="G158" s="171"/>
      <c r="H158" s="171"/>
      <c r="I158" s="171"/>
      <c r="J158" s="138">
        <f>ROUND(J148+J153+J157,5)</f>
        <v>46102.78</v>
      </c>
    </row>
    <row r="159" spans="1:13" x14ac:dyDescent="0.25">
      <c r="A159" s="171"/>
      <c r="B159" s="171"/>
      <c r="C159" s="171"/>
      <c r="D159" s="171"/>
      <c r="E159" s="171"/>
      <c r="F159" s="171" t="s">
        <v>206</v>
      </c>
      <c r="G159" s="171"/>
      <c r="H159" s="171"/>
      <c r="I159" s="171"/>
      <c r="J159" s="138"/>
    </row>
    <row r="160" spans="1:13" x14ac:dyDescent="0.25">
      <c r="A160" s="171"/>
      <c r="B160" s="171"/>
      <c r="C160" s="171"/>
      <c r="D160" s="171"/>
      <c r="E160" s="171"/>
      <c r="F160" s="171"/>
      <c r="G160" s="171" t="s">
        <v>184</v>
      </c>
      <c r="H160" s="171"/>
      <c r="I160" s="171"/>
      <c r="J160" s="138"/>
    </row>
    <row r="161" spans="1:13" x14ac:dyDescent="0.25">
      <c r="A161" s="171"/>
      <c r="B161" s="171"/>
      <c r="C161" s="171"/>
      <c r="D161" s="171"/>
      <c r="E161" s="171"/>
      <c r="F161" s="171"/>
      <c r="G161" s="171"/>
      <c r="H161" s="171" t="s">
        <v>464</v>
      </c>
      <c r="I161" s="171"/>
      <c r="J161" s="138">
        <v>60078</v>
      </c>
    </row>
    <row r="162" spans="1:13" x14ac:dyDescent="0.25">
      <c r="A162" s="171"/>
      <c r="B162" s="171"/>
      <c r="C162" s="171"/>
      <c r="D162" s="171"/>
      <c r="E162" s="171"/>
      <c r="F162" s="171"/>
      <c r="G162" s="171"/>
      <c r="H162" s="171" t="s">
        <v>185</v>
      </c>
      <c r="I162" s="171"/>
      <c r="J162" s="138"/>
      <c r="L162" s="104"/>
    </row>
    <row r="163" spans="1:13" x14ac:dyDescent="0.25">
      <c r="A163" s="171"/>
      <c r="B163" s="171"/>
      <c r="C163" s="171"/>
      <c r="D163" s="171"/>
      <c r="E163" s="171"/>
      <c r="F163" s="171"/>
      <c r="G163" s="171"/>
      <c r="H163" s="171"/>
      <c r="I163" s="171" t="s">
        <v>262</v>
      </c>
      <c r="J163" s="138">
        <v>26897</v>
      </c>
      <c r="L163" s="104"/>
    </row>
    <row r="164" spans="1:13" ht="15.75" thickBot="1" x14ac:dyDescent="0.3">
      <c r="A164" s="171"/>
      <c r="B164" s="171"/>
      <c r="C164" s="171"/>
      <c r="D164" s="171"/>
      <c r="E164" s="171"/>
      <c r="F164" s="171"/>
      <c r="G164" s="171"/>
      <c r="H164" s="171"/>
      <c r="I164" s="171" t="s">
        <v>552</v>
      </c>
      <c r="J164" s="143">
        <v>696</v>
      </c>
      <c r="L164" s="104"/>
    </row>
    <row r="165" spans="1:13" x14ac:dyDescent="0.25">
      <c r="A165" s="171"/>
      <c r="B165" s="171"/>
      <c r="C165" s="171"/>
      <c r="D165" s="171"/>
      <c r="E165" s="171"/>
      <c r="F165" s="171"/>
      <c r="G165" s="171"/>
      <c r="H165" s="171" t="s">
        <v>263</v>
      </c>
      <c r="I165" s="171"/>
      <c r="J165" s="138">
        <f>ROUND(SUM(J162:J164),5)</f>
        <v>27593</v>
      </c>
      <c r="L165" s="192"/>
      <c r="M165" s="205"/>
    </row>
    <row r="166" spans="1:13" ht="15.75" thickBot="1" x14ac:dyDescent="0.3">
      <c r="A166" s="171"/>
      <c r="B166" s="171"/>
      <c r="C166" s="171"/>
      <c r="D166" s="171"/>
      <c r="E166" s="171"/>
      <c r="F166" s="171"/>
      <c r="G166" s="171"/>
      <c r="H166" s="171" t="s">
        <v>553</v>
      </c>
      <c r="I166" s="171"/>
      <c r="J166" s="143">
        <v>5040.88</v>
      </c>
      <c r="L166" s="23"/>
    </row>
    <row r="167" spans="1:13" x14ac:dyDescent="0.25">
      <c r="A167" s="171"/>
      <c r="B167" s="171"/>
      <c r="C167" s="171"/>
      <c r="D167" s="171"/>
      <c r="E167" s="171"/>
      <c r="F167" s="171"/>
      <c r="G167" s="171" t="s">
        <v>186</v>
      </c>
      <c r="H167" s="171"/>
      <c r="I167" s="171"/>
      <c r="J167" s="138">
        <f>ROUND(SUM(J160:J161)+SUM(J165:J166),5)</f>
        <v>92711.88</v>
      </c>
      <c r="L167" s="20"/>
    </row>
    <row r="168" spans="1:13" x14ac:dyDescent="0.25">
      <c r="A168" s="171"/>
      <c r="B168" s="171"/>
      <c r="C168" s="171"/>
      <c r="D168" s="171"/>
      <c r="E168" s="171"/>
      <c r="F168" s="171"/>
      <c r="G168" s="171" t="s">
        <v>207</v>
      </c>
      <c r="H168" s="171"/>
      <c r="I168" s="171"/>
      <c r="J168" s="138"/>
      <c r="L168" s="21"/>
    </row>
    <row r="169" spans="1:13" x14ac:dyDescent="0.25">
      <c r="A169" s="171"/>
      <c r="B169" s="171"/>
      <c r="C169" s="171"/>
      <c r="D169" s="171"/>
      <c r="E169" s="171"/>
      <c r="F169" s="171"/>
      <c r="G169" s="171"/>
      <c r="H169" s="171" t="s">
        <v>211</v>
      </c>
      <c r="I169" s="171"/>
      <c r="J169" s="138">
        <v>50000</v>
      </c>
    </row>
    <row r="170" spans="1:13" x14ac:dyDescent="0.25">
      <c r="A170" s="171"/>
      <c r="B170" s="171"/>
      <c r="C170" s="171"/>
      <c r="D170" s="171"/>
      <c r="E170" s="171"/>
      <c r="F170" s="171"/>
      <c r="G170" s="171"/>
      <c r="H170" s="171" t="s">
        <v>554</v>
      </c>
      <c r="I170" s="171"/>
      <c r="J170" s="138">
        <v>4800</v>
      </c>
    </row>
    <row r="171" spans="1:13" x14ac:dyDescent="0.25">
      <c r="A171" s="171"/>
      <c r="B171" s="171"/>
      <c r="C171" s="171"/>
      <c r="D171" s="171"/>
      <c r="E171" s="171"/>
      <c r="F171" s="171"/>
      <c r="G171" s="171"/>
      <c r="H171" s="171" t="s">
        <v>555</v>
      </c>
      <c r="I171" s="171"/>
      <c r="J171" s="138">
        <v>1200</v>
      </c>
    </row>
    <row r="172" spans="1:13" ht="15.75" thickBot="1" x14ac:dyDescent="0.3">
      <c r="A172" s="171"/>
      <c r="B172" s="171"/>
      <c r="C172" s="171"/>
      <c r="D172" s="171"/>
      <c r="E172" s="171"/>
      <c r="F172" s="171"/>
      <c r="G172" s="171"/>
      <c r="H172" s="171" t="s">
        <v>648</v>
      </c>
      <c r="I172" s="171"/>
      <c r="J172" s="143">
        <v>3666.67</v>
      </c>
    </row>
    <row r="173" spans="1:13" x14ac:dyDescent="0.25">
      <c r="A173" s="171"/>
      <c r="B173" s="171"/>
      <c r="C173" s="171"/>
      <c r="D173" s="171"/>
      <c r="E173" s="171"/>
      <c r="F173" s="171"/>
      <c r="G173" s="171" t="s">
        <v>208</v>
      </c>
      <c r="H173" s="171"/>
      <c r="I173" s="171"/>
      <c r="J173" s="138">
        <f>ROUND(SUM(J168:J172),5)</f>
        <v>59666.67</v>
      </c>
    </row>
    <row r="174" spans="1:13" x14ac:dyDescent="0.25">
      <c r="A174" s="171"/>
      <c r="B174" s="171"/>
      <c r="C174" s="171"/>
      <c r="D174" s="171"/>
      <c r="E174" s="171"/>
      <c r="F174" s="171"/>
      <c r="G174" s="171" t="s">
        <v>187</v>
      </c>
      <c r="H174" s="171"/>
      <c r="I174" s="171"/>
      <c r="J174" s="138"/>
    </row>
    <row r="175" spans="1:13" x14ac:dyDescent="0.25">
      <c r="A175" s="171"/>
      <c r="B175" s="171"/>
      <c r="C175" s="171"/>
      <c r="D175" s="171"/>
      <c r="E175" s="171"/>
      <c r="F175" s="171"/>
      <c r="G175" s="171"/>
      <c r="H175" s="171" t="s">
        <v>556</v>
      </c>
      <c r="I175" s="171"/>
      <c r="J175" s="138">
        <v>86</v>
      </c>
    </row>
    <row r="176" spans="1:13" ht="15.75" thickBot="1" x14ac:dyDescent="0.3">
      <c r="A176" s="171"/>
      <c r="B176" s="171"/>
      <c r="C176" s="171"/>
      <c r="D176" s="171"/>
      <c r="E176" s="171"/>
      <c r="F176" s="171"/>
      <c r="G176" s="171"/>
      <c r="H176" s="171" t="s">
        <v>209</v>
      </c>
      <c r="I176" s="171"/>
      <c r="J176" s="139">
        <v>45000</v>
      </c>
    </row>
    <row r="177" spans="1:10" ht="15.75" thickBot="1" x14ac:dyDescent="0.3">
      <c r="A177" s="171"/>
      <c r="B177" s="171"/>
      <c r="C177" s="171"/>
      <c r="D177" s="171"/>
      <c r="E177" s="171"/>
      <c r="F177" s="171"/>
      <c r="G177" s="171" t="s">
        <v>188</v>
      </c>
      <c r="H177" s="171"/>
      <c r="I177" s="171"/>
      <c r="J177" s="141">
        <f>ROUND(SUM(J174:J176),5)</f>
        <v>45086</v>
      </c>
    </row>
    <row r="178" spans="1:10" x14ac:dyDescent="0.25">
      <c r="A178" s="171"/>
      <c r="B178" s="171"/>
      <c r="C178" s="171"/>
      <c r="D178" s="171"/>
      <c r="E178" s="171"/>
      <c r="F178" s="171" t="s">
        <v>210</v>
      </c>
      <c r="G178" s="171"/>
      <c r="H178" s="171"/>
      <c r="I178" s="171"/>
      <c r="J178" s="138">
        <f>ROUND(J159+J167+J173+J177,5)</f>
        <v>197464.55</v>
      </c>
    </row>
    <row r="179" spans="1:10" x14ac:dyDescent="0.25">
      <c r="A179" s="171"/>
      <c r="B179" s="171"/>
      <c r="C179" s="171"/>
      <c r="D179" s="171"/>
      <c r="E179" s="171"/>
      <c r="F179" s="171" t="s">
        <v>465</v>
      </c>
      <c r="G179" s="171"/>
      <c r="H179" s="171"/>
      <c r="I179" s="171"/>
      <c r="J179" s="138"/>
    </row>
    <row r="180" spans="1:10" x14ac:dyDescent="0.25">
      <c r="A180" s="171"/>
      <c r="B180" s="171"/>
      <c r="C180" s="171"/>
      <c r="D180" s="171"/>
      <c r="E180" s="171"/>
      <c r="F180" s="171"/>
      <c r="G180" s="171" t="s">
        <v>557</v>
      </c>
      <c r="H180" s="171"/>
      <c r="I180" s="171"/>
      <c r="J180" s="138">
        <v>182371.67</v>
      </c>
    </row>
    <row r="181" spans="1:10" ht="15.75" thickBot="1" x14ac:dyDescent="0.3">
      <c r="A181" s="171"/>
      <c r="B181" s="171"/>
      <c r="C181" s="171"/>
      <c r="D181" s="171"/>
      <c r="E181" s="171"/>
      <c r="F181" s="171"/>
      <c r="G181" s="171" t="s">
        <v>466</v>
      </c>
      <c r="H181" s="171"/>
      <c r="I181" s="171"/>
      <c r="J181" s="143">
        <v>60078</v>
      </c>
    </row>
    <row r="182" spans="1:10" x14ac:dyDescent="0.25">
      <c r="A182" s="171"/>
      <c r="B182" s="171"/>
      <c r="C182" s="171"/>
      <c r="D182" s="171"/>
      <c r="E182" s="171"/>
      <c r="F182" s="171" t="s">
        <v>467</v>
      </c>
      <c r="G182" s="171"/>
      <c r="H182" s="171"/>
      <c r="I182" s="171"/>
      <c r="J182" s="138">
        <f>ROUND(SUM(J179:J181),5)</f>
        <v>242449.67</v>
      </c>
    </row>
    <row r="183" spans="1:10" x14ac:dyDescent="0.25">
      <c r="A183" s="171"/>
      <c r="B183" s="171"/>
      <c r="C183" s="171"/>
      <c r="D183" s="171"/>
      <c r="E183" s="171"/>
      <c r="F183" s="171" t="s">
        <v>139</v>
      </c>
      <c r="G183" s="171"/>
      <c r="H183" s="171"/>
      <c r="I183" s="171"/>
      <c r="J183" s="138"/>
    </row>
    <row r="184" spans="1:10" x14ac:dyDescent="0.25">
      <c r="A184" s="171"/>
      <c r="B184" s="171"/>
      <c r="C184" s="171"/>
      <c r="D184" s="171"/>
      <c r="E184" s="171"/>
      <c r="F184" s="171"/>
      <c r="G184" s="171" t="s">
        <v>468</v>
      </c>
      <c r="H184" s="171"/>
      <c r="I184" s="171"/>
      <c r="J184" s="138"/>
    </row>
    <row r="185" spans="1:10" x14ac:dyDescent="0.25">
      <c r="A185" s="171"/>
      <c r="B185" s="171"/>
      <c r="C185" s="171"/>
      <c r="D185" s="171"/>
      <c r="E185" s="171"/>
      <c r="F185" s="171"/>
      <c r="G185" s="171"/>
      <c r="H185" s="171" t="s">
        <v>649</v>
      </c>
      <c r="I185" s="171"/>
      <c r="J185" s="138">
        <v>24000</v>
      </c>
    </row>
    <row r="186" spans="1:10" x14ac:dyDescent="0.25">
      <c r="A186" s="171"/>
      <c r="B186" s="171"/>
      <c r="C186" s="171"/>
      <c r="D186" s="171"/>
      <c r="E186" s="171"/>
      <c r="F186" s="171"/>
      <c r="G186" s="171"/>
      <c r="H186" s="171" t="s">
        <v>650</v>
      </c>
      <c r="I186" s="171"/>
      <c r="J186" s="138">
        <v>6000</v>
      </c>
    </row>
    <row r="187" spans="1:10" ht="15.75" thickBot="1" x14ac:dyDescent="0.3">
      <c r="A187" s="171"/>
      <c r="B187" s="171"/>
      <c r="C187" s="171"/>
      <c r="D187" s="171"/>
      <c r="E187" s="171"/>
      <c r="F187" s="171"/>
      <c r="G187" s="171"/>
      <c r="H187" s="171" t="s">
        <v>140</v>
      </c>
      <c r="I187" s="171"/>
      <c r="J187" s="143">
        <v>315000</v>
      </c>
    </row>
    <row r="188" spans="1:10" x14ac:dyDescent="0.25">
      <c r="A188" s="171"/>
      <c r="B188" s="171"/>
      <c r="C188" s="171"/>
      <c r="D188" s="171"/>
      <c r="E188" s="171"/>
      <c r="F188" s="171"/>
      <c r="G188" s="171" t="s">
        <v>469</v>
      </c>
      <c r="H188" s="171"/>
      <c r="I188" s="171"/>
      <c r="J188" s="138">
        <f>ROUND(SUM(J184:J187),5)</f>
        <v>345000</v>
      </c>
    </row>
    <row r="189" spans="1:10" x14ac:dyDescent="0.25">
      <c r="A189" s="171"/>
      <c r="B189" s="171"/>
      <c r="C189" s="171"/>
      <c r="D189" s="171"/>
      <c r="E189" s="171"/>
      <c r="F189" s="171"/>
      <c r="G189" s="171" t="s">
        <v>141</v>
      </c>
      <c r="H189" s="171"/>
      <c r="I189" s="171"/>
      <c r="J189" s="138"/>
    </row>
    <row r="190" spans="1:10" x14ac:dyDescent="0.25">
      <c r="A190" s="171"/>
      <c r="B190" s="171"/>
      <c r="C190" s="171"/>
      <c r="D190" s="171"/>
      <c r="E190" s="171"/>
      <c r="F190" s="171"/>
      <c r="G190" s="171"/>
      <c r="H190" s="171" t="s">
        <v>628</v>
      </c>
      <c r="I190" s="171"/>
      <c r="J190" s="138">
        <v>11458.33</v>
      </c>
    </row>
    <row r="191" spans="1:10" x14ac:dyDescent="0.25">
      <c r="A191" s="171"/>
      <c r="B191" s="171"/>
      <c r="C191" s="171"/>
      <c r="D191" s="171"/>
      <c r="E191" s="171"/>
      <c r="F191" s="171"/>
      <c r="G191" s="171"/>
      <c r="H191" s="171" t="s">
        <v>142</v>
      </c>
      <c r="I191" s="171"/>
      <c r="J191" s="138">
        <v>21720</v>
      </c>
    </row>
    <row r="192" spans="1:10" x14ac:dyDescent="0.25">
      <c r="A192" s="171"/>
      <c r="B192" s="171"/>
      <c r="C192" s="171"/>
      <c r="D192" s="171"/>
      <c r="E192" s="171"/>
      <c r="F192" s="171"/>
      <c r="G192" s="171"/>
      <c r="H192" s="171" t="s">
        <v>579</v>
      </c>
      <c r="I192" s="171"/>
      <c r="J192" s="138">
        <v>7772.38</v>
      </c>
    </row>
    <row r="193" spans="1:12" x14ac:dyDescent="0.25">
      <c r="A193" s="171"/>
      <c r="B193" s="171"/>
      <c r="C193" s="171"/>
      <c r="D193" s="171"/>
      <c r="E193" s="171"/>
      <c r="F193" s="171"/>
      <c r="G193" s="171"/>
      <c r="H193" s="171" t="s">
        <v>580</v>
      </c>
      <c r="I193" s="171"/>
      <c r="J193" s="138">
        <v>96453.9</v>
      </c>
      <c r="L193" s="20"/>
    </row>
    <row r="194" spans="1:12" ht="15.75" thickBot="1" x14ac:dyDescent="0.3">
      <c r="A194" s="171"/>
      <c r="B194" s="171"/>
      <c r="C194" s="171"/>
      <c r="D194" s="171"/>
      <c r="E194" s="171"/>
      <c r="F194" s="171"/>
      <c r="G194" s="171"/>
      <c r="H194" s="171" t="s">
        <v>582</v>
      </c>
      <c r="I194" s="171"/>
      <c r="J194" s="143">
        <v>0</v>
      </c>
      <c r="L194" s="20"/>
    </row>
    <row r="195" spans="1:12" x14ac:dyDescent="0.25">
      <c r="A195" s="171"/>
      <c r="B195" s="171"/>
      <c r="C195" s="171"/>
      <c r="D195" s="171"/>
      <c r="E195" s="171"/>
      <c r="F195" s="171"/>
      <c r="G195" s="171" t="s">
        <v>148</v>
      </c>
      <c r="H195" s="171"/>
      <c r="I195" s="171"/>
      <c r="J195" s="138">
        <f>ROUND(SUM(J189:J191)+SUM(J192:J194),5)</f>
        <v>137404.60999999999</v>
      </c>
    </row>
    <row r="196" spans="1:12" x14ac:dyDescent="0.25">
      <c r="A196" s="171"/>
      <c r="B196" s="171"/>
      <c r="C196" s="171"/>
      <c r="D196" s="171"/>
      <c r="E196" s="171"/>
      <c r="F196" s="171"/>
      <c r="G196" s="171" t="s">
        <v>167</v>
      </c>
      <c r="H196" s="171"/>
      <c r="I196" s="171"/>
      <c r="J196" s="138"/>
    </row>
    <row r="197" spans="1:12" x14ac:dyDescent="0.25">
      <c r="A197" s="171"/>
      <c r="B197" s="171"/>
      <c r="C197" s="171"/>
      <c r="D197" s="171"/>
      <c r="E197" s="171"/>
      <c r="F197" s="171"/>
      <c r="G197" s="171"/>
      <c r="H197" s="171" t="s">
        <v>168</v>
      </c>
      <c r="I197" s="171"/>
      <c r="J197" s="138">
        <v>60518.57</v>
      </c>
    </row>
    <row r="198" spans="1:12" x14ac:dyDescent="0.25">
      <c r="A198" s="171"/>
      <c r="B198" s="171"/>
      <c r="C198" s="171"/>
      <c r="D198" s="171"/>
      <c r="E198" s="171"/>
      <c r="F198" s="171"/>
      <c r="G198" s="171"/>
      <c r="H198" s="171" t="s">
        <v>169</v>
      </c>
      <c r="I198" s="171"/>
      <c r="J198" s="138">
        <v>478419.97</v>
      </c>
    </row>
    <row r="199" spans="1:12" x14ac:dyDescent="0.25">
      <c r="A199" s="171"/>
      <c r="B199" s="171"/>
      <c r="C199" s="171"/>
      <c r="D199" s="171"/>
      <c r="E199" s="171"/>
      <c r="F199" s="171"/>
      <c r="G199" s="171"/>
      <c r="H199" s="171" t="s">
        <v>170</v>
      </c>
      <c r="I199" s="171"/>
      <c r="J199" s="138">
        <v>28500</v>
      </c>
    </row>
    <row r="200" spans="1:12" ht="15.75" thickBot="1" x14ac:dyDescent="0.3">
      <c r="A200" s="171"/>
      <c r="B200" s="171"/>
      <c r="C200" s="171"/>
      <c r="D200" s="171"/>
      <c r="E200" s="171"/>
      <c r="F200" s="171"/>
      <c r="G200" s="171"/>
      <c r="H200" s="171" t="s">
        <v>594</v>
      </c>
      <c r="I200" s="171"/>
      <c r="J200" s="139">
        <v>10500</v>
      </c>
    </row>
    <row r="201" spans="1:12" ht="15.75" thickBot="1" x14ac:dyDescent="0.3">
      <c r="A201" s="171"/>
      <c r="B201" s="171"/>
      <c r="C201" s="171"/>
      <c r="D201" s="171"/>
      <c r="E201" s="171"/>
      <c r="F201" s="171"/>
      <c r="G201" s="171" t="s">
        <v>172</v>
      </c>
      <c r="H201" s="171"/>
      <c r="I201" s="171"/>
      <c r="J201" s="140">
        <f>ROUND(SUM(J196:J200),5)</f>
        <v>577938.54</v>
      </c>
    </row>
    <row r="202" spans="1:12" ht="15.75" thickBot="1" x14ac:dyDescent="0.3">
      <c r="A202" s="171"/>
      <c r="B202" s="171"/>
      <c r="C202" s="171"/>
      <c r="D202" s="171"/>
      <c r="E202" s="171"/>
      <c r="F202" s="171" t="s">
        <v>173</v>
      </c>
      <c r="G202" s="171"/>
      <c r="H202" s="171"/>
      <c r="I202" s="171"/>
      <c r="J202" s="140">
        <f>ROUND(J183+J188+J195+J201,5)</f>
        <v>1060343.1499999999</v>
      </c>
    </row>
    <row r="203" spans="1:12" ht="15.75" thickBot="1" x14ac:dyDescent="0.3">
      <c r="A203" s="171"/>
      <c r="B203" s="171"/>
      <c r="C203" s="171"/>
      <c r="D203" s="171"/>
      <c r="E203" s="171" t="s">
        <v>174</v>
      </c>
      <c r="F203" s="171"/>
      <c r="G203" s="171"/>
      <c r="H203" s="171"/>
      <c r="I203" s="171"/>
      <c r="J203" s="140">
        <f>ROUND(J56+J107+J147+J158+J178+J182+J202,5)</f>
        <v>3583908.38</v>
      </c>
    </row>
    <row r="204" spans="1:12" ht="15.75" thickBot="1" x14ac:dyDescent="0.3">
      <c r="A204" s="171"/>
      <c r="B204" s="171"/>
      <c r="C204" s="171"/>
      <c r="D204" s="171" t="s">
        <v>175</v>
      </c>
      <c r="E204" s="171"/>
      <c r="F204" s="171"/>
      <c r="G204" s="171"/>
      <c r="H204" s="171"/>
      <c r="I204" s="171"/>
      <c r="J204" s="140">
        <f>ROUND(J55+J203,5)</f>
        <v>3583908.38</v>
      </c>
    </row>
    <row r="205" spans="1:12" ht="15.75" thickBot="1" x14ac:dyDescent="0.3">
      <c r="A205" s="171"/>
      <c r="B205" s="171" t="s">
        <v>176</v>
      </c>
      <c r="C205" s="171"/>
      <c r="D205" s="171"/>
      <c r="E205" s="171"/>
      <c r="F205" s="171"/>
      <c r="G205" s="171"/>
      <c r="H205" s="171"/>
      <c r="I205" s="171"/>
      <c r="J205" s="140">
        <f>ROUND(J2+J54-J204,5)</f>
        <v>1190339.95</v>
      </c>
    </row>
    <row r="206" spans="1:12" ht="15.75" thickBot="1" x14ac:dyDescent="0.3">
      <c r="A206" s="171" t="s">
        <v>177</v>
      </c>
      <c r="B206" s="171"/>
      <c r="C206" s="171"/>
      <c r="D206" s="171"/>
      <c r="E206" s="171"/>
      <c r="F206" s="171"/>
      <c r="G206" s="171"/>
      <c r="H206" s="171"/>
      <c r="I206" s="171"/>
      <c r="J206" s="147">
        <f>J205</f>
        <v>1190339.95</v>
      </c>
    </row>
    <row r="207" spans="1:12" ht="15.75" thickTop="1" x14ac:dyDescent="0.25"/>
    <row r="208" spans="1:12" x14ac:dyDescent="0.25">
      <c r="J208" s="23">
        <f>+'KPM  - TFI '!F26*1000*'KPM  - TFI '!F4-J206</f>
        <v>0</v>
      </c>
    </row>
    <row r="241" spans="12:12" x14ac:dyDescent="0.25">
      <c r="L241" s="222"/>
    </row>
    <row r="242" spans="12:12" x14ac:dyDescent="0.25">
      <c r="L242" s="20"/>
    </row>
    <row r="243" spans="12:12" x14ac:dyDescent="0.25">
      <c r="L243" s="21"/>
    </row>
    <row r="268" spans="1:13" x14ac:dyDescent="0.25">
      <c r="K268" s="156"/>
    </row>
    <row r="269" spans="1:13" s="156" customFormat="1" x14ac:dyDescent="0.25">
      <c r="A269" s="159"/>
      <c r="B269" s="159"/>
      <c r="C269" s="159"/>
      <c r="D269" s="159"/>
      <c r="E269" s="159"/>
      <c r="F269" s="159"/>
      <c r="G269" s="159"/>
      <c r="H269" s="159"/>
      <c r="I269" s="159"/>
      <c r="J269" s="23"/>
      <c r="K269" s="154"/>
      <c r="L269" s="154"/>
      <c r="M269" s="167"/>
    </row>
    <row r="308" spans="12:12" x14ac:dyDescent="0.25">
      <c r="L308" s="23"/>
    </row>
    <row r="309" spans="12:12" x14ac:dyDescent="0.25">
      <c r="L309" s="20"/>
    </row>
    <row r="310" spans="12:12" x14ac:dyDescent="0.25">
      <c r="L310" s="21"/>
    </row>
    <row r="311" spans="12:12" x14ac:dyDescent="0.25">
      <c r="L311" s="21"/>
    </row>
    <row r="348" spans="12:13" x14ac:dyDescent="0.25">
      <c r="L348" s="156"/>
      <c r="M348" s="206"/>
    </row>
    <row r="356" spans="12:13" x14ac:dyDescent="0.25">
      <c r="L356" s="104"/>
    </row>
    <row r="357" spans="12:13" x14ac:dyDescent="0.25">
      <c r="L357" s="104"/>
    </row>
    <row r="358" spans="12:13" x14ac:dyDescent="0.25">
      <c r="L358" s="104"/>
    </row>
    <row r="359" spans="12:13" x14ac:dyDescent="0.25">
      <c r="L359" s="158"/>
      <c r="M359" s="205"/>
    </row>
    <row r="388" spans="12:13" x14ac:dyDescent="0.25">
      <c r="L388" s="158"/>
      <c r="M388" s="205"/>
    </row>
    <row r="395" spans="12:13" x14ac:dyDescent="0.25">
      <c r="L395" s="156"/>
      <c r="M395" s="206"/>
    </row>
    <row r="402" spans="12:13" x14ac:dyDescent="0.25">
      <c r="L402" s="156"/>
      <c r="M402" s="206"/>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00B050"/>
  </sheetPr>
  <dimension ref="A2:N31"/>
  <sheetViews>
    <sheetView topLeftCell="A16" workbookViewId="0">
      <pane xSplit="1" topLeftCell="B1" activePane="topRight" state="frozen"/>
      <selection activeCell="A4" sqref="A4"/>
      <selection pane="topRight" activeCell="H13" sqref="H13"/>
    </sheetView>
  </sheetViews>
  <sheetFormatPr defaultRowHeight="15" x14ac:dyDescent="0.25"/>
  <cols>
    <col min="1" max="1" width="32" customWidth="1"/>
    <col min="2" max="2" width="6.140625" customWidth="1"/>
    <col min="3" max="3" width="5.85546875" customWidth="1"/>
    <col min="4" max="4" width="5.85546875" style="4" customWidth="1"/>
    <col min="5" max="5" width="13.28515625" bestFit="1" customWidth="1"/>
    <col min="6" max="11" width="13.28515625" style="4" customWidth="1"/>
    <col min="14" max="14" width="10.5703125" customWidth="1"/>
  </cols>
  <sheetData>
    <row r="2" spans="1:14" ht="23.25" x14ac:dyDescent="0.35">
      <c r="A2" s="13" t="s">
        <v>264</v>
      </c>
      <c r="B2" s="4"/>
      <c r="C2" s="4"/>
    </row>
    <row r="3" spans="1:14" ht="18.75" x14ac:dyDescent="0.3">
      <c r="A3" s="81" t="s">
        <v>374</v>
      </c>
      <c r="B3" s="4"/>
      <c r="C3" s="4"/>
    </row>
    <row r="4" spans="1:14" ht="26.25" x14ac:dyDescent="0.25">
      <c r="A4" s="1"/>
      <c r="B4" s="22">
        <v>2013</v>
      </c>
      <c r="C4" s="30">
        <v>2014</v>
      </c>
      <c r="D4" s="63" t="s">
        <v>376</v>
      </c>
      <c r="E4" s="40" t="s">
        <v>265</v>
      </c>
      <c r="F4" s="131" t="s">
        <v>444</v>
      </c>
      <c r="G4" s="41"/>
      <c r="H4" s="41"/>
      <c r="I4" s="41"/>
      <c r="J4" s="41"/>
      <c r="K4" s="41"/>
      <c r="L4" s="30"/>
      <c r="M4" s="73">
        <v>2015</v>
      </c>
      <c r="N4" s="125">
        <v>2015</v>
      </c>
    </row>
    <row r="5" spans="1:14" x14ac:dyDescent="0.25">
      <c r="A5" s="2"/>
      <c r="B5" s="29" t="s">
        <v>5</v>
      </c>
      <c r="C5" s="29" t="s">
        <v>5</v>
      </c>
      <c r="D5" s="29"/>
      <c r="E5" s="29"/>
      <c r="F5" s="29"/>
      <c r="G5" s="29"/>
      <c r="H5" s="29"/>
      <c r="I5" s="29"/>
      <c r="J5" s="29"/>
      <c r="K5" s="29"/>
      <c r="L5" s="29"/>
      <c r="M5" s="73" t="s">
        <v>266</v>
      </c>
      <c r="N5" s="125" t="s">
        <v>16</v>
      </c>
    </row>
    <row r="6" spans="1:14" x14ac:dyDescent="0.25">
      <c r="A6" s="3" t="s">
        <v>6</v>
      </c>
      <c r="B6" s="37" t="e">
        <f>SUM(#REF!/1000)</f>
        <v>#REF!</v>
      </c>
      <c r="C6" s="31">
        <v>1750</v>
      </c>
      <c r="D6" s="31"/>
      <c r="E6" s="31" t="e">
        <f>SUM(#REF!)/130000</f>
        <v>#REF!</v>
      </c>
      <c r="F6" s="31">
        <f>SUM('[17]TFI &amp; TeKSS-Jan 30th - Feb 26th'!J24)/130000</f>
        <v>93.338132999999999</v>
      </c>
      <c r="G6" s="31"/>
      <c r="H6" s="31"/>
      <c r="I6" s="31"/>
      <c r="J6" s="31"/>
      <c r="K6" s="31"/>
      <c r="L6" s="31"/>
      <c r="M6" s="31" t="e">
        <f>SUM(E6:L6)</f>
        <v>#REF!</v>
      </c>
      <c r="N6" s="124">
        <v>2058</v>
      </c>
    </row>
    <row r="7" spans="1:14" x14ac:dyDescent="0.25">
      <c r="A7" s="3"/>
      <c r="B7" s="37"/>
      <c r="C7" s="31"/>
      <c r="D7" s="31"/>
      <c r="E7" s="31"/>
      <c r="F7" s="31"/>
      <c r="G7" s="31"/>
      <c r="H7" s="31"/>
      <c r="I7" s="31"/>
      <c r="J7" s="31"/>
      <c r="K7" s="31"/>
      <c r="L7" s="31"/>
      <c r="M7" s="31"/>
      <c r="N7" s="29"/>
    </row>
    <row r="8" spans="1:14" x14ac:dyDescent="0.25">
      <c r="A8" s="3" t="s">
        <v>13</v>
      </c>
      <c r="B8" s="31" t="e">
        <f>SUM(#REF!/1000)</f>
        <v>#REF!</v>
      </c>
      <c r="C8" s="31">
        <v>352</v>
      </c>
      <c r="D8" s="31"/>
      <c r="E8" s="31" t="e">
        <f>SUM(#REF!-#REF!-#REF!)/130/1000</f>
        <v>#REF!</v>
      </c>
      <c r="F8" s="31">
        <f>SUM('[17]TFI &amp; TeKSS-Jan 30th - Feb 26th'!J64-'[17]TFI &amp; TeKSS-Jan 30th - Feb 26th'!J58-'[17]TFI &amp; TeKSS-Jan 30th - Feb 26th'!J50)/130/1000</f>
        <v>32.978569461538463</v>
      </c>
      <c r="G8" s="31"/>
      <c r="H8" s="31"/>
      <c r="I8" s="31"/>
      <c r="J8" s="31"/>
      <c r="K8" s="31"/>
      <c r="L8" s="31"/>
      <c r="M8" s="31" t="e">
        <f>SUM(E8:L8)</f>
        <v>#REF!</v>
      </c>
      <c r="N8" s="29">
        <v>535</v>
      </c>
    </row>
    <row r="9" spans="1:14" x14ac:dyDescent="0.25">
      <c r="A9" s="3" t="s">
        <v>14</v>
      </c>
      <c r="B9" s="33" t="e">
        <f t="shared" ref="B9" si="0">SUM(B8/B6)</f>
        <v>#REF!</v>
      </c>
      <c r="C9" s="33">
        <v>0.2</v>
      </c>
      <c r="D9" s="33"/>
      <c r="E9" s="33" t="e">
        <f>E8/$E$6</f>
        <v>#REF!</v>
      </c>
      <c r="F9" s="33">
        <f>F8/$F$6</f>
        <v>0.35332364599084559</v>
      </c>
      <c r="G9" s="33"/>
      <c r="H9" s="33"/>
      <c r="I9" s="33"/>
      <c r="J9" s="33"/>
      <c r="K9" s="33"/>
      <c r="L9" s="33"/>
      <c r="M9" s="33" t="e">
        <f t="shared" ref="M9" si="1">M8/$E$6</f>
        <v>#REF!</v>
      </c>
      <c r="N9" s="34">
        <v>0.26</v>
      </c>
    </row>
    <row r="10" spans="1:14" x14ac:dyDescent="0.25">
      <c r="A10" s="3" t="s">
        <v>17</v>
      </c>
      <c r="B10" s="31" t="e">
        <f>SUM(#REF!)/1000</f>
        <v>#REF!</v>
      </c>
      <c r="C10" s="31">
        <v>408</v>
      </c>
      <c r="D10" s="31"/>
      <c r="E10" s="31" t="e">
        <f>SUM(#REF!/130/1000)</f>
        <v>#REF!</v>
      </c>
      <c r="F10" s="31">
        <f>SUM('[17]TFI &amp; TeKSS-Jan 30th - Feb 26th'!J50/130/1000)</f>
        <v>25.74171892307692</v>
      </c>
      <c r="G10" s="31"/>
      <c r="H10" s="31"/>
      <c r="I10" s="31"/>
      <c r="J10" s="31"/>
      <c r="K10" s="31"/>
      <c r="L10" s="31"/>
      <c r="M10" s="31" t="e">
        <f>SUM(E10:L10)</f>
        <v>#REF!</v>
      </c>
      <c r="N10" s="29">
        <v>617</v>
      </c>
    </row>
    <row r="11" spans="1:14" x14ac:dyDescent="0.25">
      <c r="A11" s="3" t="s">
        <v>0</v>
      </c>
      <c r="B11" s="33" t="e">
        <f t="shared" ref="B11" si="2">SUM(B10/B6)</f>
        <v>#REF!</v>
      </c>
      <c r="C11" s="33">
        <v>0.23</v>
      </c>
      <c r="D11" s="33"/>
      <c r="E11" s="33" t="e">
        <f>E10/$E$6</f>
        <v>#REF!</v>
      </c>
      <c r="F11" s="33">
        <f>F10/$F$6</f>
        <v>0.27578994882056318</v>
      </c>
      <c r="G11" s="33"/>
      <c r="H11" s="33"/>
      <c r="I11" s="33"/>
      <c r="J11" s="33"/>
      <c r="K11" s="33"/>
      <c r="L11" s="33"/>
      <c r="M11" s="33" t="e">
        <f t="shared" ref="M11" si="3">M10/$E$6</f>
        <v>#REF!</v>
      </c>
      <c r="N11" s="34">
        <v>0.3</v>
      </c>
    </row>
    <row r="12" spans="1:14" x14ac:dyDescent="0.25">
      <c r="A12" s="3" t="s">
        <v>18</v>
      </c>
      <c r="B12" s="38" t="e">
        <f t="shared" ref="B12" si="4">SUM(B8+B10)</f>
        <v>#REF!</v>
      </c>
      <c r="C12" s="31">
        <v>760</v>
      </c>
      <c r="D12" s="31"/>
      <c r="E12" s="42" t="e">
        <f>SUM(E8+E10)</f>
        <v>#REF!</v>
      </c>
      <c r="F12" s="42">
        <f>SUM(F8+F10)</f>
        <v>58.720288384615387</v>
      </c>
      <c r="G12" s="31"/>
      <c r="H12" s="31"/>
      <c r="I12" s="31"/>
      <c r="J12" s="31"/>
      <c r="K12" s="31"/>
      <c r="L12" s="31"/>
      <c r="M12" s="31" t="e">
        <f>SUM(E12:L12)</f>
        <v>#REF!</v>
      </c>
      <c r="N12" s="32">
        <v>1152</v>
      </c>
    </row>
    <row r="13" spans="1:14" x14ac:dyDescent="0.25">
      <c r="A13" s="3" t="s">
        <v>15</v>
      </c>
      <c r="B13" s="33" t="e">
        <f t="shared" ref="B13" si="5">SUM(B12/B6)</f>
        <v>#REF!</v>
      </c>
      <c r="C13" s="33">
        <v>0.43</v>
      </c>
      <c r="D13" s="33"/>
      <c r="E13" s="33" t="e">
        <f>E12/$E$6</f>
        <v>#REF!</v>
      </c>
      <c r="F13" s="33">
        <f>F12/$F$6</f>
        <v>0.62911359481140883</v>
      </c>
      <c r="G13" s="33"/>
      <c r="H13" s="33"/>
      <c r="I13" s="33"/>
      <c r="J13" s="33"/>
      <c r="K13" s="33"/>
      <c r="L13" s="33"/>
      <c r="M13" s="33" t="e">
        <f t="shared" ref="M13" si="6">M12/$E$6</f>
        <v>#REF!</v>
      </c>
      <c r="N13" s="34">
        <v>0.56000000000000005</v>
      </c>
    </row>
    <row r="14" spans="1:14" x14ac:dyDescent="0.25">
      <c r="A14" s="3"/>
      <c r="B14" s="39"/>
      <c r="C14" s="31"/>
      <c r="D14" s="31"/>
      <c r="E14" s="31"/>
      <c r="F14" s="31"/>
      <c r="G14" s="31"/>
      <c r="H14" s="31"/>
      <c r="I14" s="31"/>
      <c r="J14" s="31"/>
      <c r="K14" s="31"/>
      <c r="L14" s="31"/>
      <c r="M14" s="31"/>
      <c r="N14" s="29"/>
    </row>
    <row r="15" spans="1:14" x14ac:dyDescent="0.25">
      <c r="A15" s="3" t="s">
        <v>10</v>
      </c>
      <c r="B15" s="31" t="e">
        <f>SUM(#REF!/1000)</f>
        <v>#REF!</v>
      </c>
      <c r="C15" s="31">
        <v>79</v>
      </c>
      <c r="D15" s="31"/>
      <c r="E15" s="31" t="e">
        <f>SUM(#REF!+#REF!)/130/1000</f>
        <v>#REF!</v>
      </c>
      <c r="F15" s="31">
        <f>SUM('[17]TFI &amp; TeKSS-Jan 30th - Feb 26th'!J58)/130/1000</f>
        <v>6.9153731538461543</v>
      </c>
      <c r="G15" s="31"/>
      <c r="H15" s="31"/>
      <c r="I15" s="31"/>
      <c r="J15" s="31"/>
      <c r="K15" s="31"/>
      <c r="L15" s="31"/>
      <c r="M15" s="31" t="e">
        <f>SUM(E15:L15)</f>
        <v>#REF!</v>
      </c>
      <c r="N15" s="29">
        <v>82</v>
      </c>
    </row>
    <row r="16" spans="1:14" x14ac:dyDescent="0.25">
      <c r="A16" s="3" t="s">
        <v>1</v>
      </c>
      <c r="B16" s="35" t="e">
        <f t="shared" ref="B16" si="7">SUM(B15/B6)</f>
        <v>#REF!</v>
      </c>
      <c r="C16" s="35">
        <v>4.4900000000000002E-2</v>
      </c>
      <c r="D16" s="35"/>
      <c r="E16" s="33" t="e">
        <f>E15/$E$6</f>
        <v>#REF!</v>
      </c>
      <c r="F16" s="33">
        <f>F15/$F$6</f>
        <v>7.4089473740021713E-2</v>
      </c>
      <c r="G16" s="33"/>
      <c r="H16" s="33"/>
      <c r="I16" s="33"/>
      <c r="J16" s="33"/>
      <c r="K16" s="33"/>
      <c r="L16" s="33"/>
      <c r="M16" s="33" t="e">
        <f t="shared" ref="M16" si="8">M15/$E$6</f>
        <v>#REF!</v>
      </c>
      <c r="N16" s="34">
        <v>0.04</v>
      </c>
    </row>
    <row r="17" spans="1:14" x14ac:dyDescent="0.25">
      <c r="A17" s="3" t="s">
        <v>11</v>
      </c>
      <c r="B17" s="31" t="e">
        <f>SUM(#REF!/1000)</f>
        <v>#REF!</v>
      </c>
      <c r="C17" s="31">
        <v>348</v>
      </c>
      <c r="D17" s="80" t="s">
        <v>378</v>
      </c>
      <c r="E17" s="79" t="e">
        <f>SUM(#REF!)/130/1000</f>
        <v>#REF!</v>
      </c>
      <c r="F17" s="31">
        <f>SUM('[17]TFI &amp; TeKSS-Jan 30th - Feb 26th'!M16)/130/1000</f>
        <v>0</v>
      </c>
      <c r="G17" s="31"/>
      <c r="H17" s="31"/>
      <c r="I17" s="31"/>
      <c r="J17" s="31"/>
      <c r="K17" s="31"/>
      <c r="L17" s="31"/>
      <c r="M17" s="31" t="e">
        <f>SUM(E17:L17)</f>
        <v>#REF!</v>
      </c>
      <c r="N17" s="29">
        <v>28</v>
      </c>
    </row>
    <row r="18" spans="1:14" x14ac:dyDescent="0.25">
      <c r="A18" s="3" t="s">
        <v>2</v>
      </c>
      <c r="B18" s="33" t="e">
        <f t="shared" ref="B18" si="9">SUM(B17/B6)</f>
        <v>#REF!</v>
      </c>
      <c r="C18" s="35">
        <v>0.1991</v>
      </c>
      <c r="D18" s="35"/>
      <c r="E18" s="33" t="e">
        <f>E17/$E$6</f>
        <v>#REF!</v>
      </c>
      <c r="F18" s="33">
        <f>F17/$F$6</f>
        <v>0</v>
      </c>
      <c r="G18" s="33"/>
      <c r="H18" s="33"/>
      <c r="I18" s="33"/>
      <c r="J18" s="33"/>
      <c r="K18" s="33"/>
      <c r="L18" s="33"/>
      <c r="M18" s="33" t="e">
        <f t="shared" ref="M18" si="10">M17/$E$6</f>
        <v>#REF!</v>
      </c>
      <c r="N18" s="36">
        <v>1.4E-2</v>
      </c>
    </row>
    <row r="19" spans="1:14" x14ac:dyDescent="0.25">
      <c r="A19" s="3" t="s">
        <v>19</v>
      </c>
      <c r="B19" s="38" t="e">
        <f t="shared" ref="B19" si="11">SUM(B15+B17)</f>
        <v>#REF!</v>
      </c>
      <c r="C19" s="31">
        <v>427</v>
      </c>
      <c r="D19" s="31"/>
      <c r="E19" s="42" t="e">
        <f>SUM(E15+E17)</f>
        <v>#REF!</v>
      </c>
      <c r="F19" s="42">
        <f>SUM(F15+F17)</f>
        <v>6.9153731538461543</v>
      </c>
      <c r="G19" s="31"/>
      <c r="H19" s="31"/>
      <c r="I19" s="31"/>
      <c r="J19" s="31"/>
      <c r="K19" s="31"/>
      <c r="L19" s="31"/>
      <c r="M19" s="31" t="e">
        <f>SUM(E19:L19)</f>
        <v>#REF!</v>
      </c>
      <c r="N19" s="29">
        <v>110</v>
      </c>
    </row>
    <row r="20" spans="1:14" x14ac:dyDescent="0.25">
      <c r="A20" s="3" t="s">
        <v>3</v>
      </c>
      <c r="B20" s="33" t="e">
        <f t="shared" ref="B20" si="12">SUM(B19/B6)</f>
        <v>#REF!</v>
      </c>
      <c r="C20" s="35">
        <v>0.24399999999999999</v>
      </c>
      <c r="D20" s="35"/>
      <c r="E20" s="33" t="e">
        <f>E19/$E$6</f>
        <v>#REF!</v>
      </c>
      <c r="F20" s="33">
        <f>F19/$F$6</f>
        <v>7.4089473740021713E-2</v>
      </c>
      <c r="G20" s="33"/>
      <c r="H20" s="33"/>
      <c r="I20" s="33"/>
      <c r="J20" s="33"/>
      <c r="K20" s="33"/>
      <c r="L20" s="33"/>
      <c r="M20" s="33" t="e">
        <f t="shared" ref="M20" si="13">M19/$E$6</f>
        <v>#REF!</v>
      </c>
      <c r="N20" s="36">
        <v>5.2999999999999999E-2</v>
      </c>
    </row>
    <row r="21" spans="1:14" x14ac:dyDescent="0.25">
      <c r="A21" s="3"/>
      <c r="B21" s="39"/>
      <c r="C21" s="31"/>
      <c r="D21" s="31"/>
      <c r="E21" s="31"/>
      <c r="F21" s="31"/>
      <c r="G21" s="31"/>
      <c r="H21" s="31"/>
      <c r="I21" s="31"/>
      <c r="J21" s="31"/>
      <c r="K21" s="31"/>
      <c r="L21" s="31"/>
      <c r="M21" s="31"/>
      <c r="N21" s="29"/>
    </row>
    <row r="22" spans="1:14" x14ac:dyDescent="0.25">
      <c r="A22" s="3" t="s">
        <v>4</v>
      </c>
      <c r="B22" s="31" t="e">
        <f>SUM(#REF!/1000)</f>
        <v>#REF!</v>
      </c>
      <c r="C22" s="31">
        <v>263</v>
      </c>
      <c r="D22" s="80" t="s">
        <v>379</v>
      </c>
      <c r="E22" s="79" t="e">
        <f>SUM(#REF!)/130/1000</f>
        <v>#REF!</v>
      </c>
      <c r="F22" s="31">
        <f>SUM('[17]TFI &amp; TeKSS-Jan 30th - Feb 26th'!M33)/130/1000</f>
        <v>0</v>
      </c>
      <c r="G22" s="31"/>
      <c r="H22" s="31"/>
      <c r="I22" s="31"/>
      <c r="J22" s="31"/>
      <c r="K22" s="31"/>
      <c r="L22" s="31"/>
      <c r="M22" s="31" t="e">
        <f>SUM(E22:L22)</f>
        <v>#REF!</v>
      </c>
      <c r="N22" s="29">
        <v>200</v>
      </c>
    </row>
    <row r="23" spans="1:14" x14ac:dyDescent="0.25">
      <c r="A23" s="3" t="s">
        <v>7</v>
      </c>
      <c r="B23" s="33" t="e">
        <f t="shared" ref="B23" si="14">SUM(B22/B6)</f>
        <v>#REF!</v>
      </c>
      <c r="C23" s="33">
        <v>0.15</v>
      </c>
      <c r="D23" s="33"/>
      <c r="E23" s="33" t="e">
        <f>E22/$E$6</f>
        <v>#REF!</v>
      </c>
      <c r="F23" s="33">
        <f>F22/$F$6</f>
        <v>0</v>
      </c>
      <c r="G23" s="33"/>
      <c r="H23" s="33"/>
      <c r="I23" s="33"/>
      <c r="J23" s="33"/>
      <c r="K23" s="33"/>
      <c r="L23" s="33"/>
      <c r="M23" s="33" t="e">
        <f t="shared" ref="M23" si="15">M22/$E$6</f>
        <v>#REF!</v>
      </c>
      <c r="N23" s="36">
        <v>9.7000000000000003E-2</v>
      </c>
    </row>
    <row r="24" spans="1:14" x14ac:dyDescent="0.25">
      <c r="A24" s="3"/>
      <c r="B24" s="39"/>
      <c r="C24" s="31"/>
      <c r="D24" s="31"/>
      <c r="E24" s="31"/>
      <c r="F24" s="31"/>
      <c r="G24" s="31"/>
      <c r="H24" s="31"/>
      <c r="I24" s="31"/>
      <c r="J24" s="31"/>
      <c r="K24" s="31"/>
      <c r="L24" s="31"/>
      <c r="M24" s="31"/>
      <c r="N24" s="29"/>
    </row>
    <row r="25" spans="1:14" x14ac:dyDescent="0.25">
      <c r="A25" s="3" t="s">
        <v>8</v>
      </c>
      <c r="B25" s="31" t="e">
        <f>SUM(#REF!/1000)</f>
        <v>#REF!</v>
      </c>
      <c r="C25" s="31">
        <v>305</v>
      </c>
      <c r="D25" s="31"/>
      <c r="E25" s="31" t="e">
        <f>SUM(#REF!-#REF!-#REF!+#REF!)/130/1000</f>
        <v>#REF!</v>
      </c>
      <c r="F25" s="31">
        <f>F6-F12-F19-F22+('[17]TFI &amp; TeKSS-Jan 30th - Feb 26th'!J247/130000)</f>
        <v>34.625548384615385</v>
      </c>
      <c r="G25" s="31"/>
      <c r="H25" s="31"/>
      <c r="I25" s="31"/>
      <c r="J25" s="31"/>
      <c r="K25" s="31"/>
      <c r="L25" s="31"/>
      <c r="M25" s="31" t="e">
        <f>SUM(E25:L25)</f>
        <v>#REF!</v>
      </c>
      <c r="N25" s="29">
        <v>596</v>
      </c>
    </row>
    <row r="26" spans="1:14" x14ac:dyDescent="0.25">
      <c r="A26" s="3" t="s">
        <v>9</v>
      </c>
      <c r="B26" s="33" t="e">
        <f t="shared" ref="B26" si="16">SUM(B25/B6)</f>
        <v>#REF!</v>
      </c>
      <c r="C26" s="33">
        <v>0.17</v>
      </c>
      <c r="D26" s="33"/>
      <c r="E26" s="33" t="e">
        <f>E25/$E$6</f>
        <v>#REF!</v>
      </c>
      <c r="F26" s="33">
        <f>F25/$F$6</f>
        <v>0.37096894132878561</v>
      </c>
      <c r="G26" s="33"/>
      <c r="H26" s="33"/>
      <c r="I26" s="33"/>
      <c r="J26" s="33"/>
      <c r="K26" s="33"/>
      <c r="L26" s="33"/>
      <c r="M26" s="33" t="e">
        <f t="shared" ref="M26" si="17">M25/$E$6</f>
        <v>#REF!</v>
      </c>
      <c r="N26" s="34">
        <v>0.28999999999999998</v>
      </c>
    </row>
    <row r="27" spans="1:14" x14ac:dyDescent="0.25">
      <c r="A27" s="4"/>
      <c r="E27" s="17" t="e">
        <f>SUM(E6-E12-E19-E22)</f>
        <v>#REF!</v>
      </c>
    </row>
    <row r="28" spans="1:14" x14ac:dyDescent="0.25">
      <c r="A28" s="4"/>
      <c r="B28" s="20"/>
    </row>
    <row r="29" spans="1:14" x14ac:dyDescent="0.25">
      <c r="A29" s="4"/>
      <c r="B29" s="20"/>
    </row>
    <row r="31" spans="1:14" x14ac:dyDescent="0.25">
      <c r="A31" s="4"/>
      <c r="B31" s="21"/>
    </row>
  </sheetData>
  <pageMargins left="0.7" right="0.7" top="0.75" bottom="0.75" header="0.3" footer="0.3"/>
  <pageSetup orientation="landscape" horizontalDpi="4294967292" verticalDpi="0" r:id="rId1"/>
  <ignoredErrors>
    <ignoredError sqref="M8 M22 M25" formulaRange="1"/>
    <ignoredError sqref="M17 M15 M12 M10 M19" formula="1" formulaRange="1"/>
    <ignoredError sqref="M9 M11 M13:M14 M16 M18 E10:E14 M20:N20 N19 E16" formula="1"/>
    <ignoredError sqref="E18:E21" numberStoredAsText="1" formula="1"/>
    <ignoredError sqref="D17 D22:E23 D18:D21" numberStoredAsText="1"/>
  </ignoredError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307"/>
  <sheetViews>
    <sheetView workbookViewId="0">
      <pane ySplit="1" topLeftCell="A7" activePane="bottomLeft" state="frozen"/>
      <selection pane="bottomLeft" activeCell="K19" sqref="K19"/>
    </sheetView>
  </sheetViews>
  <sheetFormatPr defaultRowHeight="15" x14ac:dyDescent="0.25"/>
  <cols>
    <col min="1" max="8" width="3" style="159" customWidth="1"/>
    <col min="9" max="9" width="40.28515625" style="159" customWidth="1"/>
    <col min="10" max="10" width="15" style="23" bestFit="1" customWidth="1"/>
    <col min="11" max="11" width="15" style="164" customWidth="1"/>
    <col min="12" max="12" width="5" style="154" customWidth="1"/>
    <col min="13" max="13" width="30.7109375" style="154" bestFit="1" customWidth="1"/>
    <col min="14" max="14" width="9.7109375" style="154" bestFit="1" customWidth="1"/>
    <col min="15" max="15" width="9.42578125" style="154" customWidth="1"/>
    <col min="16" max="16" width="69.85546875" style="154" customWidth="1"/>
    <col min="17" max="16384" width="9.140625" style="154"/>
  </cols>
  <sheetData>
    <row r="1" spans="1:16" s="158" customFormat="1" ht="30.75" thickBot="1" x14ac:dyDescent="0.3">
      <c r="A1" s="132" t="s">
        <v>395</v>
      </c>
      <c r="B1" s="132"/>
      <c r="C1" s="132"/>
      <c r="D1" s="132"/>
      <c r="E1" s="157"/>
      <c r="F1" s="157"/>
      <c r="G1" s="157"/>
      <c r="H1" s="157"/>
      <c r="I1" s="157"/>
      <c r="J1" s="137" t="s">
        <v>478</v>
      </c>
      <c r="K1" s="160"/>
      <c r="M1" s="108" t="s">
        <v>381</v>
      </c>
      <c r="N1" s="109" t="s">
        <v>380</v>
      </c>
      <c r="O1" s="110" t="s">
        <v>433</v>
      </c>
      <c r="P1" s="109" t="s">
        <v>382</v>
      </c>
    </row>
    <row r="2" spans="1:16" ht="15.75" thickTop="1" x14ac:dyDescent="0.25">
      <c r="A2" s="155"/>
      <c r="B2" s="155" t="s">
        <v>20</v>
      </c>
      <c r="C2" s="155"/>
      <c r="D2" s="155"/>
      <c r="E2" s="155"/>
      <c r="F2" s="155"/>
      <c r="G2" s="155"/>
      <c r="H2" s="155"/>
      <c r="I2" s="155"/>
      <c r="J2" s="138"/>
      <c r="K2" s="161"/>
      <c r="M2" s="46" t="s">
        <v>269</v>
      </c>
      <c r="N2" s="116">
        <f>J91</f>
        <v>9131.16</v>
      </c>
      <c r="O2" s="46"/>
      <c r="P2" s="46" t="s">
        <v>442</v>
      </c>
    </row>
    <row r="3" spans="1:16" x14ac:dyDescent="0.25">
      <c r="A3" s="155"/>
      <c r="B3" s="155"/>
      <c r="C3" s="155"/>
      <c r="D3" s="155" t="s">
        <v>21</v>
      </c>
      <c r="E3" s="155"/>
      <c r="F3" s="155"/>
      <c r="G3" s="155"/>
      <c r="H3" s="155"/>
      <c r="I3" s="155"/>
      <c r="J3" s="138"/>
      <c r="K3" s="161"/>
      <c r="M3" s="46" t="s">
        <v>270</v>
      </c>
      <c r="N3" s="116">
        <f>J126</f>
        <v>307000</v>
      </c>
      <c r="O3" s="46"/>
      <c r="P3" s="46" t="s">
        <v>442</v>
      </c>
    </row>
    <row r="4" spans="1:16" x14ac:dyDescent="0.25">
      <c r="A4" s="155"/>
      <c r="B4" s="155"/>
      <c r="C4" s="155"/>
      <c r="D4" s="155"/>
      <c r="E4" s="155" t="s">
        <v>22</v>
      </c>
      <c r="F4" s="155"/>
      <c r="G4" s="155"/>
      <c r="H4" s="155"/>
      <c r="I4" s="155"/>
      <c r="J4" s="138"/>
      <c r="K4" s="161"/>
      <c r="M4" s="46" t="s">
        <v>271</v>
      </c>
      <c r="N4" s="116">
        <f>J157</f>
        <v>6387</v>
      </c>
      <c r="O4" s="46"/>
      <c r="P4" s="46" t="s">
        <v>442</v>
      </c>
    </row>
    <row r="5" spans="1:16" x14ac:dyDescent="0.25">
      <c r="A5" s="155"/>
      <c r="B5" s="155"/>
      <c r="C5" s="155"/>
      <c r="D5" s="155"/>
      <c r="E5" s="155"/>
      <c r="F5" s="155" t="s">
        <v>23</v>
      </c>
      <c r="G5" s="155"/>
      <c r="H5" s="155"/>
      <c r="I5" s="155"/>
      <c r="J5" s="138">
        <v>7227108.5</v>
      </c>
      <c r="K5" s="161"/>
      <c r="M5" s="46" t="s">
        <v>272</v>
      </c>
      <c r="N5" s="116">
        <f>J173</f>
        <v>0</v>
      </c>
      <c r="O5" s="46"/>
      <c r="P5" s="46" t="s">
        <v>442</v>
      </c>
    </row>
    <row r="6" spans="1:16" x14ac:dyDescent="0.25">
      <c r="A6" s="155"/>
      <c r="B6" s="155"/>
      <c r="C6" s="155"/>
      <c r="D6" s="155"/>
      <c r="E6" s="155"/>
      <c r="F6" s="155" t="s">
        <v>24</v>
      </c>
      <c r="G6" s="155"/>
      <c r="H6" s="155"/>
      <c r="I6" s="155"/>
      <c r="J6" s="138">
        <v>802394</v>
      </c>
      <c r="K6" s="161"/>
      <c r="M6" s="46" t="s">
        <v>273</v>
      </c>
      <c r="N6" s="116">
        <f>J187</f>
        <v>54264</v>
      </c>
      <c r="O6" s="46"/>
      <c r="P6" s="46" t="s">
        <v>442</v>
      </c>
    </row>
    <row r="7" spans="1:16" ht="45" x14ac:dyDescent="0.25">
      <c r="A7" s="155"/>
      <c r="B7" s="155"/>
      <c r="C7" s="155"/>
      <c r="D7" s="155"/>
      <c r="E7" s="155"/>
      <c r="F7" s="155" t="s">
        <v>25</v>
      </c>
      <c r="G7" s="155"/>
      <c r="H7" s="155"/>
      <c r="I7" s="155"/>
      <c r="J7" s="138">
        <v>1097808</v>
      </c>
      <c r="K7" s="161"/>
      <c r="M7" s="59" t="s">
        <v>377</v>
      </c>
      <c r="N7" s="117">
        <v>101080</v>
      </c>
      <c r="O7" s="46"/>
      <c r="P7" s="62" t="s">
        <v>399</v>
      </c>
    </row>
    <row r="8" spans="1:16" x14ac:dyDescent="0.25">
      <c r="A8" s="155"/>
      <c r="B8" s="155"/>
      <c r="C8" s="155"/>
      <c r="D8" s="155"/>
      <c r="E8" s="155"/>
      <c r="F8" s="155" t="s">
        <v>26</v>
      </c>
      <c r="G8" s="155"/>
      <c r="H8" s="155"/>
      <c r="I8" s="155"/>
      <c r="J8" s="138">
        <v>333908</v>
      </c>
      <c r="K8" s="161"/>
      <c r="M8" s="119" t="s">
        <v>443</v>
      </c>
      <c r="N8" s="46"/>
      <c r="O8" s="46"/>
      <c r="P8" s="46"/>
    </row>
    <row r="9" spans="1:16" x14ac:dyDescent="0.25">
      <c r="A9" s="155"/>
      <c r="B9" s="155"/>
      <c r="C9" s="155"/>
      <c r="D9" s="155"/>
      <c r="E9" s="155"/>
      <c r="F9" s="155" t="s">
        <v>27</v>
      </c>
      <c r="G9" s="155"/>
      <c r="H9" s="155"/>
      <c r="I9" s="155"/>
      <c r="J9" s="138">
        <v>4566370</v>
      </c>
      <c r="K9" s="161"/>
      <c r="M9" s="67" t="s">
        <v>421</v>
      </c>
      <c r="N9" s="117">
        <f>J284*O9</f>
        <v>0</v>
      </c>
      <c r="O9" s="68">
        <f>'Appportionment Basis-Common cos'!B5</f>
        <v>0.5</v>
      </c>
      <c r="P9" s="46"/>
    </row>
    <row r="10" spans="1:16" x14ac:dyDescent="0.25">
      <c r="A10" s="155"/>
      <c r="B10" s="155"/>
      <c r="C10" s="155"/>
      <c r="D10" s="155"/>
      <c r="E10" s="155"/>
      <c r="F10" s="155" t="s">
        <v>28</v>
      </c>
      <c r="G10" s="155"/>
      <c r="H10" s="155"/>
      <c r="I10" s="155"/>
      <c r="J10" s="138">
        <v>382820</v>
      </c>
      <c r="K10" s="161"/>
      <c r="M10" s="67" t="s">
        <v>422</v>
      </c>
      <c r="N10" s="117">
        <f>J290*O10</f>
        <v>0</v>
      </c>
      <c r="O10" s="68">
        <f>'Appportionment Basis-Common cos'!C5</f>
        <v>0.3</v>
      </c>
      <c r="P10" s="46"/>
    </row>
    <row r="11" spans="1:16" x14ac:dyDescent="0.25">
      <c r="A11" s="155"/>
      <c r="B11" s="155"/>
      <c r="C11" s="155"/>
      <c r="D11" s="155"/>
      <c r="E11" s="155"/>
      <c r="F11" s="155" t="s">
        <v>29</v>
      </c>
      <c r="G11" s="155"/>
      <c r="H11" s="155"/>
      <c r="I11" s="155"/>
      <c r="J11" s="138"/>
      <c r="K11" s="161"/>
      <c r="M11" s="67" t="s">
        <v>423</v>
      </c>
      <c r="N11" s="117">
        <f>J272*O11</f>
        <v>0</v>
      </c>
      <c r="O11" s="68">
        <f>'Appportionment Basis-Common cos'!D5</f>
        <v>0.45</v>
      </c>
      <c r="P11" s="46"/>
    </row>
    <row r="12" spans="1:16" x14ac:dyDescent="0.25">
      <c r="A12" s="155"/>
      <c r="B12" s="155"/>
      <c r="C12" s="155"/>
      <c r="D12" s="155"/>
      <c r="E12" s="155"/>
      <c r="F12" s="155"/>
      <c r="G12" s="155" t="s">
        <v>30</v>
      </c>
      <c r="H12" s="155"/>
      <c r="I12" s="155"/>
      <c r="J12" s="138">
        <v>19180</v>
      </c>
      <c r="K12" s="161"/>
      <c r="M12" s="67" t="s">
        <v>424</v>
      </c>
      <c r="N12" s="117">
        <f>(J266-N7)*O12</f>
        <v>-45486</v>
      </c>
      <c r="O12" s="68">
        <f>'Appportionment Basis-Common cos'!E5</f>
        <v>0.45</v>
      </c>
      <c r="P12" s="46"/>
    </row>
    <row r="13" spans="1:16" x14ac:dyDescent="0.25">
      <c r="A13" s="155"/>
      <c r="B13" s="155"/>
      <c r="C13" s="155"/>
      <c r="D13" s="155"/>
      <c r="E13" s="155"/>
      <c r="F13" s="155"/>
      <c r="G13" s="155" t="s">
        <v>31</v>
      </c>
      <c r="H13" s="155"/>
      <c r="I13" s="155"/>
      <c r="J13" s="138">
        <v>43715</v>
      </c>
      <c r="K13" s="161"/>
      <c r="M13" s="67" t="s">
        <v>432</v>
      </c>
      <c r="N13" s="117">
        <f>J278*O13</f>
        <v>0</v>
      </c>
      <c r="O13" s="68">
        <f>'Appportionment Basis-Common cos'!F5</f>
        <v>0.5</v>
      </c>
      <c r="P13" s="46"/>
    </row>
    <row r="14" spans="1:16" x14ac:dyDescent="0.25">
      <c r="A14" s="155"/>
      <c r="B14" s="155"/>
      <c r="C14" s="155"/>
      <c r="D14" s="155"/>
      <c r="E14" s="155"/>
      <c r="F14" s="155"/>
      <c r="G14" s="155" t="s">
        <v>32</v>
      </c>
      <c r="H14" s="155"/>
      <c r="I14" s="155"/>
      <c r="J14" s="138">
        <v>-10889.87</v>
      </c>
      <c r="K14" s="161"/>
      <c r="M14" s="67" t="s">
        <v>426</v>
      </c>
      <c r="N14" s="117">
        <f>J302*O14</f>
        <v>0</v>
      </c>
      <c r="O14" s="68">
        <f>'Appportionment Basis-Common cos'!G5</f>
        <v>0.35</v>
      </c>
      <c r="P14" s="46"/>
    </row>
    <row r="15" spans="1:16" x14ac:dyDescent="0.25">
      <c r="A15" s="155"/>
      <c r="B15" s="155"/>
      <c r="C15" s="155"/>
      <c r="D15" s="155"/>
      <c r="E15" s="155"/>
      <c r="F15" s="155"/>
      <c r="G15" s="155" t="s">
        <v>33</v>
      </c>
      <c r="H15" s="155"/>
      <c r="I15" s="155"/>
      <c r="J15" s="138">
        <v>-30561.91</v>
      </c>
      <c r="K15" s="161"/>
      <c r="M15" s="67" t="s">
        <v>427</v>
      </c>
      <c r="N15" s="117">
        <f>J296*O15</f>
        <v>0</v>
      </c>
      <c r="O15" s="68">
        <f>'Appportionment Basis-Common cos'!H5</f>
        <v>0.15</v>
      </c>
      <c r="P15" s="46"/>
    </row>
    <row r="16" spans="1:16" x14ac:dyDescent="0.25">
      <c r="A16" s="155"/>
      <c r="B16" s="155"/>
      <c r="C16" s="155"/>
      <c r="D16" s="155"/>
      <c r="E16" s="155"/>
      <c r="F16" s="155"/>
      <c r="G16" s="155" t="s">
        <v>34</v>
      </c>
      <c r="H16" s="155"/>
      <c r="I16" s="155"/>
      <c r="J16" s="138">
        <v>-18439</v>
      </c>
      <c r="K16" s="161"/>
      <c r="M16" s="106" t="s">
        <v>12</v>
      </c>
      <c r="N16" s="136">
        <f>SUM(N2:N15)</f>
        <v>432376.16</v>
      </c>
      <c r="O16" s="107"/>
      <c r="P16" s="46"/>
    </row>
    <row r="17" spans="1:16" x14ac:dyDescent="0.25">
      <c r="A17" s="155"/>
      <c r="B17" s="155"/>
      <c r="C17" s="155"/>
      <c r="D17" s="155"/>
      <c r="E17" s="155"/>
      <c r="F17" s="155"/>
      <c r="G17" s="155" t="s">
        <v>35</v>
      </c>
      <c r="H17" s="155"/>
      <c r="I17" s="155"/>
      <c r="J17" s="138">
        <v>-37890</v>
      </c>
      <c r="K17" s="161"/>
      <c r="M17" s="46"/>
      <c r="N17" s="47"/>
      <c r="O17" s="111"/>
      <c r="P17" s="46"/>
    </row>
    <row r="18" spans="1:16" x14ac:dyDescent="0.25">
      <c r="A18" s="155"/>
      <c r="B18" s="155"/>
      <c r="C18" s="155"/>
      <c r="D18" s="155"/>
      <c r="E18" s="155"/>
      <c r="F18" s="155"/>
      <c r="G18" s="155" t="s">
        <v>36</v>
      </c>
      <c r="H18" s="155"/>
      <c r="I18" s="155"/>
      <c r="J18" s="138">
        <v>-4250</v>
      </c>
      <c r="K18" s="161"/>
      <c r="M18" s="104"/>
      <c r="N18" s="134"/>
      <c r="O18" s="135"/>
      <c r="P18" s="104"/>
    </row>
    <row r="19" spans="1:16" ht="30" x14ac:dyDescent="0.25">
      <c r="A19" s="155"/>
      <c r="B19" s="155"/>
      <c r="C19" s="155"/>
      <c r="D19" s="155"/>
      <c r="E19" s="155"/>
      <c r="F19" s="155"/>
      <c r="G19" s="155" t="s">
        <v>37</v>
      </c>
      <c r="H19" s="155"/>
      <c r="I19" s="155"/>
      <c r="J19" s="138">
        <v>-2170</v>
      </c>
      <c r="K19" s="161"/>
      <c r="M19" s="65" t="s">
        <v>397</v>
      </c>
      <c r="N19" s="58" t="s">
        <v>380</v>
      </c>
      <c r="O19" s="112" t="s">
        <v>433</v>
      </c>
      <c r="P19" s="58" t="s">
        <v>382</v>
      </c>
    </row>
    <row r="20" spans="1:16" x14ac:dyDescent="0.25">
      <c r="A20" s="155"/>
      <c r="B20" s="155"/>
      <c r="C20" s="155"/>
      <c r="D20" s="155"/>
      <c r="E20" s="155"/>
      <c r="F20" s="155"/>
      <c r="G20" s="155" t="s">
        <v>445</v>
      </c>
      <c r="H20" s="155"/>
      <c r="I20" s="155"/>
      <c r="J20" s="138">
        <v>-115000</v>
      </c>
      <c r="K20" s="161"/>
      <c r="M20" s="46" t="s">
        <v>269</v>
      </c>
      <c r="N20" s="116">
        <f>J112-J91</f>
        <v>-9131.16</v>
      </c>
      <c r="O20" s="60"/>
      <c r="P20" s="46" t="s">
        <v>442</v>
      </c>
    </row>
    <row r="21" spans="1:16" ht="15.75" thickBot="1" x14ac:dyDescent="0.3">
      <c r="A21" s="155"/>
      <c r="B21" s="155"/>
      <c r="C21" s="155"/>
      <c r="D21" s="155"/>
      <c r="E21" s="155"/>
      <c r="F21" s="155" t="s">
        <v>38</v>
      </c>
      <c r="G21" s="155"/>
      <c r="H21" s="155"/>
      <c r="I21" s="155"/>
      <c r="J21" s="139">
        <v>-156305.78</v>
      </c>
      <c r="K21" s="162"/>
      <c r="M21" s="46" t="s">
        <v>270</v>
      </c>
      <c r="N21" s="116">
        <f>J148-J126</f>
        <v>-307000</v>
      </c>
      <c r="O21" s="60"/>
      <c r="P21" s="46" t="s">
        <v>442</v>
      </c>
    </row>
    <row r="22" spans="1:16" ht="15.75" thickBot="1" x14ac:dyDescent="0.3">
      <c r="A22" s="155"/>
      <c r="B22" s="155"/>
      <c r="C22" s="155"/>
      <c r="D22" s="155"/>
      <c r="E22" s="155" t="s">
        <v>39</v>
      </c>
      <c r="F22" s="155"/>
      <c r="G22" s="155"/>
      <c r="H22" s="155"/>
      <c r="I22" s="155"/>
      <c r="J22" s="140">
        <v>14254102.720000001</v>
      </c>
      <c r="K22" s="162"/>
      <c r="M22" s="46" t="s">
        <v>271</v>
      </c>
      <c r="N22" s="116">
        <f>J162-J157</f>
        <v>14633</v>
      </c>
      <c r="O22" s="60"/>
      <c r="P22" s="46" t="s">
        <v>442</v>
      </c>
    </row>
    <row r="23" spans="1:16" ht="30" customHeight="1" thickBot="1" x14ac:dyDescent="0.3">
      <c r="A23" s="155"/>
      <c r="B23" s="155"/>
      <c r="C23" s="155"/>
      <c r="D23" s="155" t="s">
        <v>40</v>
      </c>
      <c r="E23" s="155"/>
      <c r="F23" s="155"/>
      <c r="G23" s="155"/>
      <c r="H23" s="155"/>
      <c r="I23" s="155"/>
      <c r="J23" s="141">
        <v>14254102.720000001</v>
      </c>
      <c r="K23" s="162"/>
      <c r="M23" s="46" t="s">
        <v>272</v>
      </c>
      <c r="N23" s="116">
        <f>J174-J173</f>
        <v>33119</v>
      </c>
      <c r="O23" s="64"/>
      <c r="P23" s="46" t="s">
        <v>442</v>
      </c>
    </row>
    <row r="24" spans="1:16" ht="30" customHeight="1" x14ac:dyDescent="0.25">
      <c r="A24" s="155"/>
      <c r="B24" s="155"/>
      <c r="C24" s="155"/>
      <c r="D24" s="155" t="s">
        <v>41</v>
      </c>
      <c r="E24" s="155"/>
      <c r="F24" s="155"/>
      <c r="G24" s="155"/>
      <c r="H24" s="155"/>
      <c r="I24" s="155"/>
      <c r="J24" s="142"/>
      <c r="K24" s="161"/>
      <c r="M24" s="46" t="s">
        <v>273</v>
      </c>
      <c r="N24" s="116">
        <f>J191-J187</f>
        <v>395736</v>
      </c>
      <c r="O24" s="64"/>
      <c r="P24" s="46" t="s">
        <v>442</v>
      </c>
    </row>
    <row r="25" spans="1:16" ht="30" customHeight="1" x14ac:dyDescent="0.25">
      <c r="A25" s="155"/>
      <c r="B25" s="155"/>
      <c r="C25" s="155"/>
      <c r="D25" s="155"/>
      <c r="E25" s="155" t="s">
        <v>42</v>
      </c>
      <c r="F25" s="155"/>
      <c r="G25" s="155"/>
      <c r="H25" s="155"/>
      <c r="I25" s="155"/>
      <c r="J25" s="138"/>
      <c r="K25" s="161"/>
      <c r="M25" s="66" t="s">
        <v>474</v>
      </c>
      <c r="N25" s="116">
        <f>J194</f>
        <v>12000</v>
      </c>
      <c r="O25" s="60"/>
      <c r="P25" s="46"/>
    </row>
    <row r="26" spans="1:16" x14ac:dyDescent="0.25">
      <c r="A26" s="155"/>
      <c r="B26" s="155"/>
      <c r="C26" s="155"/>
      <c r="D26" s="155"/>
      <c r="E26" s="155"/>
      <c r="F26" s="155" t="s">
        <v>43</v>
      </c>
      <c r="G26" s="155"/>
      <c r="H26" s="155"/>
      <c r="I26" s="155"/>
      <c r="J26" s="138"/>
      <c r="K26" s="161"/>
      <c r="M26" s="103" t="s">
        <v>440</v>
      </c>
      <c r="N26" s="116">
        <f>J224*O26</f>
        <v>27884.149999999998</v>
      </c>
      <c r="O26" s="68">
        <f>'Appportionment Basis-Common cos'!I5</f>
        <v>0.35</v>
      </c>
      <c r="P26" s="46"/>
    </row>
    <row r="27" spans="1:16" x14ac:dyDescent="0.25">
      <c r="A27" s="155"/>
      <c r="B27" s="155"/>
      <c r="C27" s="155"/>
      <c r="D27" s="155"/>
      <c r="E27" s="155"/>
      <c r="F27" s="155"/>
      <c r="G27" s="155" t="s">
        <v>44</v>
      </c>
      <c r="H27" s="155"/>
      <c r="I27" s="155"/>
      <c r="J27" s="138">
        <v>2808582.36</v>
      </c>
      <c r="K27" s="161"/>
      <c r="M27" s="66" t="s">
        <v>441</v>
      </c>
      <c r="N27" s="116"/>
      <c r="O27" s="46"/>
      <c r="P27" s="59"/>
    </row>
    <row r="28" spans="1:16" x14ac:dyDescent="0.25">
      <c r="A28" s="155"/>
      <c r="B28" s="155"/>
      <c r="C28" s="155"/>
      <c r="D28" s="155"/>
      <c r="E28" s="155"/>
      <c r="F28" s="155"/>
      <c r="G28" s="155" t="s">
        <v>45</v>
      </c>
      <c r="H28" s="155"/>
      <c r="I28" s="155"/>
      <c r="J28" s="138">
        <v>291869</v>
      </c>
      <c r="K28" s="161"/>
      <c r="M28" s="115" t="s">
        <v>429</v>
      </c>
      <c r="N28" s="116"/>
      <c r="O28" s="46"/>
      <c r="P28" s="46"/>
    </row>
    <row r="29" spans="1:16" x14ac:dyDescent="0.25">
      <c r="A29" s="155"/>
      <c r="B29" s="155"/>
      <c r="C29" s="155"/>
      <c r="D29" s="155"/>
      <c r="E29" s="155"/>
      <c r="F29" s="155"/>
      <c r="G29" s="155" t="s">
        <v>46</v>
      </c>
      <c r="H29" s="155"/>
      <c r="I29" s="155"/>
      <c r="J29" s="138">
        <v>28000</v>
      </c>
      <c r="K29" s="161"/>
      <c r="M29" s="67" t="s">
        <v>383</v>
      </c>
      <c r="N29" s="117">
        <f>(J198+J210)*O29</f>
        <v>4335</v>
      </c>
      <c r="O29" s="113">
        <f>'Appportionment Basis-Common cos'!J5</f>
        <v>0.3</v>
      </c>
      <c r="P29" s="46"/>
    </row>
    <row r="30" spans="1:16" x14ac:dyDescent="0.25">
      <c r="A30" s="155"/>
      <c r="B30" s="155"/>
      <c r="C30" s="155"/>
      <c r="D30" s="155"/>
      <c r="E30" s="155"/>
      <c r="F30" s="155"/>
      <c r="G30" s="155" t="s">
        <v>47</v>
      </c>
      <c r="H30" s="155"/>
      <c r="I30" s="155"/>
      <c r="J30" s="138">
        <v>181647.5</v>
      </c>
      <c r="K30" s="161"/>
      <c r="M30" s="67" t="s">
        <v>384</v>
      </c>
      <c r="N30" s="117">
        <f>J228*O30</f>
        <v>321684.82799999998</v>
      </c>
      <c r="O30" s="113">
        <f>'Appportionment Basis-Common cos'!J5</f>
        <v>0.3</v>
      </c>
      <c r="P30" s="46"/>
    </row>
    <row r="31" spans="1:16" ht="15.75" thickBot="1" x14ac:dyDescent="0.3">
      <c r="A31" s="155"/>
      <c r="B31" s="155"/>
      <c r="C31" s="155"/>
      <c r="D31" s="155"/>
      <c r="E31" s="155"/>
      <c r="F31" s="155"/>
      <c r="G31" s="155" t="s">
        <v>479</v>
      </c>
      <c r="H31" s="155"/>
      <c r="I31" s="155"/>
      <c r="J31" s="143">
        <v>1360</v>
      </c>
      <c r="K31" s="162"/>
      <c r="M31" s="67" t="s">
        <v>385</v>
      </c>
      <c r="N31" s="117">
        <f>J231*O31</f>
        <v>389107.99799999996</v>
      </c>
      <c r="O31" s="113">
        <f>'Appportionment Basis-Common cos'!J5</f>
        <v>0.3</v>
      </c>
      <c r="P31" s="46"/>
    </row>
    <row r="32" spans="1:16" x14ac:dyDescent="0.25">
      <c r="A32" s="155"/>
      <c r="B32" s="155"/>
      <c r="C32" s="155"/>
      <c r="D32" s="155"/>
      <c r="E32" s="155"/>
      <c r="F32" s="155" t="s">
        <v>48</v>
      </c>
      <c r="G32" s="155"/>
      <c r="H32" s="155"/>
      <c r="I32" s="155"/>
      <c r="J32" s="138">
        <v>3311458.86</v>
      </c>
      <c r="K32" s="161"/>
      <c r="M32" s="67" t="s">
        <v>386</v>
      </c>
      <c r="N32" s="117">
        <f>J236*O32</f>
        <v>-211065.52799999999</v>
      </c>
      <c r="O32" s="113">
        <f>'Appportionment Basis-Common cos'!J5</f>
        <v>0.3</v>
      </c>
      <c r="P32" s="46"/>
    </row>
    <row r="33" spans="1:16" ht="30" customHeight="1" x14ac:dyDescent="0.25">
      <c r="A33" s="155"/>
      <c r="B33" s="155"/>
      <c r="C33" s="155"/>
      <c r="D33" s="155"/>
      <c r="E33" s="155"/>
      <c r="F33" s="155" t="s">
        <v>49</v>
      </c>
      <c r="G33" s="155"/>
      <c r="H33" s="155"/>
      <c r="I33" s="155"/>
      <c r="J33" s="138"/>
      <c r="K33" s="161"/>
      <c r="M33" s="67" t="s">
        <v>438</v>
      </c>
      <c r="N33" s="116">
        <f>J218*O33</f>
        <v>8779.7999999999993</v>
      </c>
      <c r="O33" s="113">
        <f>'Appportionment Basis-Common cos'!J5</f>
        <v>0.3</v>
      </c>
      <c r="P33" s="46"/>
    </row>
    <row r="34" spans="1:16" x14ac:dyDescent="0.25">
      <c r="A34" s="155"/>
      <c r="B34" s="155"/>
      <c r="C34" s="155"/>
      <c r="D34" s="155"/>
      <c r="E34" s="155"/>
      <c r="F34" s="155"/>
      <c r="G34" s="155" t="s">
        <v>268</v>
      </c>
      <c r="H34" s="155"/>
      <c r="I34" s="155"/>
      <c r="J34" s="138">
        <v>168042.51</v>
      </c>
      <c r="K34" s="161"/>
      <c r="M34" s="61" t="s">
        <v>12</v>
      </c>
      <c r="N34" s="118">
        <f>SUM(N20:N33)</f>
        <v>680083.08799999999</v>
      </c>
      <c r="O34" s="70"/>
    </row>
    <row r="35" spans="1:16" x14ac:dyDescent="0.25">
      <c r="A35" s="155"/>
      <c r="B35" s="155"/>
      <c r="C35" s="155"/>
      <c r="D35" s="155"/>
      <c r="E35" s="155"/>
      <c r="F35" s="155"/>
      <c r="G35" s="155" t="s">
        <v>446</v>
      </c>
      <c r="H35" s="155"/>
      <c r="I35" s="155"/>
      <c r="J35" s="138">
        <v>17500</v>
      </c>
      <c r="K35" s="161"/>
    </row>
    <row r="36" spans="1:16" x14ac:dyDescent="0.25">
      <c r="A36" s="155"/>
      <c r="B36" s="155"/>
      <c r="C36" s="155"/>
      <c r="D36" s="155"/>
      <c r="E36" s="155"/>
      <c r="F36" s="155"/>
      <c r="G36" s="155" t="s">
        <v>50</v>
      </c>
      <c r="H36" s="155"/>
      <c r="I36" s="155"/>
      <c r="J36" s="138">
        <v>29900</v>
      </c>
      <c r="K36" s="161"/>
    </row>
    <row r="37" spans="1:16" x14ac:dyDescent="0.25">
      <c r="A37" s="155"/>
      <c r="B37" s="155"/>
      <c r="C37" s="155"/>
      <c r="D37" s="155"/>
      <c r="E37" s="155"/>
      <c r="F37" s="155"/>
      <c r="G37" s="155" t="s">
        <v>447</v>
      </c>
      <c r="H37" s="155"/>
      <c r="I37" s="155"/>
      <c r="J37" s="138">
        <v>4500</v>
      </c>
      <c r="K37" s="161"/>
    </row>
    <row r="38" spans="1:16" x14ac:dyDescent="0.25">
      <c r="A38" s="155"/>
      <c r="B38" s="155"/>
      <c r="C38" s="155"/>
      <c r="D38" s="155"/>
      <c r="E38" s="155"/>
      <c r="F38" s="155"/>
      <c r="G38" s="155" t="s">
        <v>448</v>
      </c>
      <c r="H38" s="155"/>
      <c r="I38" s="155"/>
      <c r="J38" s="138">
        <v>2200</v>
      </c>
      <c r="K38" s="161"/>
    </row>
    <row r="39" spans="1:16" x14ac:dyDescent="0.25">
      <c r="A39" s="155"/>
      <c r="B39" s="155"/>
      <c r="C39" s="155"/>
      <c r="D39" s="155"/>
      <c r="E39" s="155"/>
      <c r="F39" s="155"/>
      <c r="G39" s="155" t="s">
        <v>449</v>
      </c>
      <c r="H39" s="155"/>
      <c r="I39" s="155"/>
      <c r="J39" s="138">
        <v>3285</v>
      </c>
      <c r="K39" s="161"/>
    </row>
    <row r="40" spans="1:16" x14ac:dyDescent="0.25">
      <c r="A40" s="155"/>
      <c r="B40" s="155"/>
      <c r="C40" s="155"/>
      <c r="D40" s="155"/>
      <c r="E40" s="155"/>
      <c r="F40" s="155"/>
      <c r="G40" s="155" t="s">
        <v>450</v>
      </c>
      <c r="H40" s="155"/>
      <c r="I40" s="155"/>
      <c r="J40" s="138">
        <v>3000</v>
      </c>
      <c r="K40" s="161"/>
    </row>
    <row r="41" spans="1:16" x14ac:dyDescent="0.25">
      <c r="A41" s="155"/>
      <c r="B41" s="155"/>
      <c r="C41" s="155"/>
      <c r="D41" s="155"/>
      <c r="E41" s="155"/>
      <c r="F41" s="155"/>
      <c r="G41" s="155" t="s">
        <v>451</v>
      </c>
      <c r="H41" s="155"/>
      <c r="I41" s="155"/>
      <c r="J41" s="138">
        <v>48000</v>
      </c>
      <c r="K41" s="161"/>
    </row>
    <row r="42" spans="1:16" x14ac:dyDescent="0.25">
      <c r="A42" s="155"/>
      <c r="B42" s="155"/>
      <c r="C42" s="155"/>
      <c r="D42" s="155"/>
      <c r="E42" s="155"/>
      <c r="F42" s="155"/>
      <c r="G42" s="155" t="s">
        <v>51</v>
      </c>
      <c r="H42" s="155"/>
      <c r="I42" s="155"/>
      <c r="J42" s="138">
        <v>19000</v>
      </c>
      <c r="K42" s="161"/>
    </row>
    <row r="43" spans="1:16" x14ac:dyDescent="0.25">
      <c r="A43" s="155"/>
      <c r="B43" s="155"/>
      <c r="C43" s="155"/>
      <c r="D43" s="155"/>
      <c r="E43" s="155"/>
      <c r="F43" s="155"/>
      <c r="G43" s="155" t="s">
        <v>52</v>
      </c>
      <c r="H43" s="155"/>
      <c r="I43" s="155"/>
      <c r="J43" s="138">
        <v>227500</v>
      </c>
      <c r="K43" s="161"/>
    </row>
    <row r="44" spans="1:16" x14ac:dyDescent="0.25">
      <c r="A44" s="155"/>
      <c r="B44" s="155"/>
      <c r="C44" s="155"/>
      <c r="D44" s="155"/>
      <c r="E44" s="155"/>
      <c r="F44" s="155"/>
      <c r="G44" s="155" t="s">
        <v>53</v>
      </c>
      <c r="H44" s="155"/>
      <c r="I44" s="155"/>
      <c r="J44" s="138">
        <v>942353.13</v>
      </c>
      <c r="K44" s="161"/>
    </row>
    <row r="45" spans="1:16" ht="15.75" thickBot="1" x14ac:dyDescent="0.3">
      <c r="A45" s="155"/>
      <c r="B45" s="155"/>
      <c r="C45" s="155"/>
      <c r="D45" s="155"/>
      <c r="E45" s="155"/>
      <c r="F45" s="155" t="s">
        <v>54</v>
      </c>
      <c r="G45" s="155"/>
      <c r="H45" s="155"/>
      <c r="I45" s="155"/>
      <c r="J45" s="143">
        <v>1465280.64</v>
      </c>
      <c r="K45" s="162"/>
    </row>
    <row r="46" spans="1:16" x14ac:dyDescent="0.25">
      <c r="A46" s="155"/>
      <c r="B46" s="155"/>
      <c r="C46" s="155"/>
      <c r="D46" s="155"/>
      <c r="E46" s="155"/>
      <c r="F46" s="155" t="s">
        <v>55</v>
      </c>
      <c r="G46" s="155"/>
      <c r="H46" s="155"/>
      <c r="I46" s="155"/>
      <c r="J46" s="138"/>
      <c r="K46" s="161"/>
    </row>
    <row r="47" spans="1:16" ht="30" customHeight="1" x14ac:dyDescent="0.25">
      <c r="A47" s="155"/>
      <c r="B47" s="155"/>
      <c r="C47" s="155"/>
      <c r="D47" s="155"/>
      <c r="E47" s="155"/>
      <c r="F47" s="155"/>
      <c r="G47" s="155" t="s">
        <v>56</v>
      </c>
      <c r="H47" s="155"/>
      <c r="I47" s="155"/>
      <c r="J47" s="138">
        <v>2362931.2000000002</v>
      </c>
      <c r="K47" s="161"/>
    </row>
    <row r="48" spans="1:16" x14ac:dyDescent="0.25">
      <c r="A48" s="155"/>
      <c r="B48" s="155"/>
      <c r="C48" s="155"/>
      <c r="D48" s="155"/>
      <c r="E48" s="155"/>
      <c r="F48" s="155"/>
      <c r="G48" s="155" t="s">
        <v>57</v>
      </c>
      <c r="H48" s="155"/>
      <c r="I48" s="155"/>
      <c r="J48" s="138">
        <v>856353.75</v>
      </c>
      <c r="K48" s="161"/>
    </row>
    <row r="49" spans="1:11" ht="15.75" thickBot="1" x14ac:dyDescent="0.3">
      <c r="A49" s="155"/>
      <c r="B49" s="155"/>
      <c r="C49" s="155"/>
      <c r="D49" s="155"/>
      <c r="E49" s="155"/>
      <c r="F49" s="155"/>
      <c r="G49" s="155" t="s">
        <v>58</v>
      </c>
      <c r="H49" s="155"/>
      <c r="I49" s="155"/>
      <c r="J49" s="143">
        <v>306488</v>
      </c>
      <c r="K49" s="162"/>
    </row>
    <row r="50" spans="1:11" x14ac:dyDescent="0.25">
      <c r="A50" s="155"/>
      <c r="B50" s="155"/>
      <c r="C50" s="155"/>
      <c r="D50" s="155"/>
      <c r="E50" s="155"/>
      <c r="F50" s="155"/>
      <c r="G50" s="155" t="s">
        <v>59</v>
      </c>
      <c r="H50" s="155"/>
      <c r="I50" s="155"/>
      <c r="J50" s="138">
        <v>69360.5</v>
      </c>
      <c r="K50" s="161"/>
    </row>
    <row r="51" spans="1:11" ht="30" customHeight="1" x14ac:dyDescent="0.25">
      <c r="A51" s="155"/>
      <c r="B51" s="155"/>
      <c r="C51" s="155"/>
      <c r="D51" s="155"/>
      <c r="E51" s="155"/>
      <c r="F51" s="155"/>
      <c r="G51" s="155" t="s">
        <v>60</v>
      </c>
      <c r="H51" s="155"/>
      <c r="I51" s="155"/>
      <c r="J51" s="138">
        <v>0</v>
      </c>
      <c r="K51" s="161"/>
    </row>
    <row r="52" spans="1:11" x14ac:dyDescent="0.25">
      <c r="A52" s="155"/>
      <c r="B52" s="155"/>
      <c r="C52" s="155"/>
      <c r="D52" s="155"/>
      <c r="E52" s="155"/>
      <c r="F52" s="155" t="s">
        <v>61</v>
      </c>
      <c r="G52" s="155"/>
      <c r="H52" s="155"/>
      <c r="I52" s="155"/>
      <c r="J52" s="138">
        <v>3595133.45</v>
      </c>
      <c r="K52" s="161"/>
    </row>
    <row r="53" spans="1:11" x14ac:dyDescent="0.25">
      <c r="A53" s="155"/>
      <c r="B53" s="155"/>
      <c r="C53" s="155"/>
      <c r="D53" s="155"/>
      <c r="E53" s="155"/>
      <c r="F53" s="155" t="s">
        <v>62</v>
      </c>
      <c r="G53" s="155"/>
      <c r="H53" s="155"/>
      <c r="I53" s="155"/>
      <c r="J53" s="138"/>
      <c r="K53" s="161"/>
    </row>
    <row r="54" spans="1:11" x14ac:dyDescent="0.25">
      <c r="A54" s="155"/>
      <c r="B54" s="155"/>
      <c r="C54" s="155"/>
      <c r="D54" s="155"/>
      <c r="E54" s="155"/>
      <c r="F54" s="155"/>
      <c r="G54" s="155" t="s">
        <v>63</v>
      </c>
      <c r="H54" s="155"/>
      <c r="I54" s="155"/>
      <c r="J54" s="138">
        <v>1220700.6599999999</v>
      </c>
      <c r="K54" s="161"/>
    </row>
    <row r="55" spans="1:11" x14ac:dyDescent="0.25">
      <c r="A55" s="155"/>
      <c r="B55" s="155"/>
      <c r="C55" s="155"/>
      <c r="D55" s="155"/>
      <c r="E55" s="155"/>
      <c r="F55" s="155"/>
      <c r="G55" s="155" t="s">
        <v>64</v>
      </c>
      <c r="H55" s="155"/>
      <c r="I55" s="155"/>
      <c r="J55" s="138">
        <v>281333.34000000003</v>
      </c>
      <c r="K55" s="161"/>
    </row>
    <row r="56" spans="1:11" x14ac:dyDescent="0.25">
      <c r="A56" s="155"/>
      <c r="B56" s="155"/>
      <c r="C56" s="155"/>
      <c r="D56" s="155"/>
      <c r="E56" s="155"/>
      <c r="F56" s="155"/>
      <c r="G56" s="155" t="s">
        <v>65</v>
      </c>
      <c r="H56" s="155"/>
      <c r="I56" s="155"/>
      <c r="J56" s="138">
        <v>128338.42</v>
      </c>
      <c r="K56" s="161"/>
    </row>
    <row r="57" spans="1:11" ht="15.75" thickBot="1" x14ac:dyDescent="0.3">
      <c r="A57" s="155"/>
      <c r="B57" s="155"/>
      <c r="C57" s="155"/>
      <c r="D57" s="155"/>
      <c r="E57" s="155"/>
      <c r="F57" s="155"/>
      <c r="G57" s="155" t="s">
        <v>66</v>
      </c>
      <c r="H57" s="155"/>
      <c r="I57" s="155"/>
      <c r="J57" s="143">
        <v>79611.88</v>
      </c>
      <c r="K57" s="162"/>
    </row>
    <row r="58" spans="1:11" x14ac:dyDescent="0.25">
      <c r="A58" s="155"/>
      <c r="B58" s="155"/>
      <c r="C58" s="155"/>
      <c r="D58" s="155"/>
      <c r="E58" s="155"/>
      <c r="F58" s="155" t="s">
        <v>67</v>
      </c>
      <c r="G58" s="155"/>
      <c r="H58" s="155"/>
      <c r="I58" s="155"/>
      <c r="J58" s="138">
        <v>1709984.3</v>
      </c>
      <c r="K58" s="161"/>
    </row>
    <row r="59" spans="1:11" ht="30" customHeight="1" x14ac:dyDescent="0.25">
      <c r="A59" s="155"/>
      <c r="B59" s="155"/>
      <c r="C59" s="155"/>
      <c r="D59" s="155"/>
      <c r="E59" s="155"/>
      <c r="F59" s="155" t="s">
        <v>68</v>
      </c>
      <c r="G59" s="155"/>
      <c r="H59" s="155"/>
      <c r="I59" s="155"/>
      <c r="J59" s="138"/>
      <c r="K59" s="161"/>
    </row>
    <row r="60" spans="1:11" x14ac:dyDescent="0.25">
      <c r="A60" s="155"/>
      <c r="B60" s="155"/>
      <c r="C60" s="155"/>
      <c r="D60" s="155"/>
      <c r="E60" s="155"/>
      <c r="F60" s="155"/>
      <c r="G60" s="155" t="s">
        <v>452</v>
      </c>
      <c r="H60" s="155"/>
      <c r="I60" s="155"/>
      <c r="J60" s="138">
        <v>0</v>
      </c>
      <c r="K60" s="161"/>
    </row>
    <row r="61" spans="1:11" ht="15.75" thickBot="1" x14ac:dyDescent="0.3">
      <c r="A61" s="155"/>
      <c r="B61" s="155"/>
      <c r="C61" s="155"/>
      <c r="D61" s="155"/>
      <c r="E61" s="155"/>
      <c r="F61" s="155"/>
      <c r="G61" s="155" t="s">
        <v>69</v>
      </c>
      <c r="H61" s="155"/>
      <c r="I61" s="155"/>
      <c r="J61" s="139">
        <v>1800</v>
      </c>
      <c r="K61" s="162"/>
    </row>
    <row r="62" spans="1:11" ht="15.75" thickBot="1" x14ac:dyDescent="0.3">
      <c r="A62" s="155"/>
      <c r="B62" s="155"/>
      <c r="C62" s="155"/>
      <c r="D62" s="155"/>
      <c r="E62" s="155"/>
      <c r="F62" s="155" t="s">
        <v>70</v>
      </c>
      <c r="G62" s="155"/>
      <c r="H62" s="155"/>
      <c r="I62" s="155"/>
      <c r="J62" s="140">
        <v>1800</v>
      </c>
      <c r="K62" s="162"/>
    </row>
    <row r="63" spans="1:11" ht="30" customHeight="1" thickBot="1" x14ac:dyDescent="0.3">
      <c r="A63" s="155"/>
      <c r="B63" s="155"/>
      <c r="C63" s="155"/>
      <c r="D63" s="155"/>
      <c r="E63" s="155" t="s">
        <v>71</v>
      </c>
      <c r="F63" s="155"/>
      <c r="G63" s="155"/>
      <c r="H63" s="155"/>
      <c r="I63" s="155"/>
      <c r="J63" s="140">
        <v>10083657.25</v>
      </c>
      <c r="K63" s="162"/>
    </row>
    <row r="64" spans="1:11" ht="30" customHeight="1" thickBot="1" x14ac:dyDescent="0.3">
      <c r="A64" s="155"/>
      <c r="B64" s="155"/>
      <c r="C64" s="155"/>
      <c r="D64" s="155" t="s">
        <v>72</v>
      </c>
      <c r="E64" s="155"/>
      <c r="F64" s="155"/>
      <c r="G64" s="155"/>
      <c r="H64" s="155"/>
      <c r="I64" s="155"/>
      <c r="J64" s="144">
        <v>10083657.25</v>
      </c>
      <c r="K64" s="162"/>
    </row>
    <row r="65" spans="1:11" ht="30" customHeight="1" x14ac:dyDescent="0.25">
      <c r="A65" s="155"/>
      <c r="B65" s="155"/>
      <c r="C65" s="155" t="s">
        <v>73</v>
      </c>
      <c r="D65" s="155"/>
      <c r="E65" s="155"/>
      <c r="F65" s="155"/>
      <c r="G65" s="155"/>
      <c r="H65" s="155"/>
      <c r="I65" s="155"/>
      <c r="J65" s="142">
        <v>4170445.47</v>
      </c>
      <c r="K65" s="161"/>
    </row>
    <row r="66" spans="1:11" ht="30" customHeight="1" x14ac:dyDescent="0.25">
      <c r="A66" s="155"/>
      <c r="B66" s="155"/>
      <c r="C66" s="155"/>
      <c r="D66" s="155" t="s">
        <v>74</v>
      </c>
      <c r="E66" s="155"/>
      <c r="F66" s="155"/>
      <c r="G66" s="155"/>
      <c r="H66" s="155"/>
      <c r="I66" s="155"/>
      <c r="J66" s="138"/>
      <c r="K66" s="161"/>
    </row>
    <row r="67" spans="1:11" x14ac:dyDescent="0.25">
      <c r="A67" s="155"/>
      <c r="B67" s="155"/>
      <c r="C67" s="155"/>
      <c r="D67" s="155"/>
      <c r="E67" s="155" t="s">
        <v>75</v>
      </c>
      <c r="F67" s="155"/>
      <c r="G67" s="155"/>
      <c r="H67" s="155"/>
      <c r="I67" s="155"/>
      <c r="J67" s="138"/>
      <c r="K67" s="161"/>
    </row>
    <row r="68" spans="1:11" x14ac:dyDescent="0.25">
      <c r="A68" s="155"/>
      <c r="B68" s="155"/>
      <c r="C68" s="155"/>
      <c r="D68" s="155"/>
      <c r="E68" s="155"/>
      <c r="F68" s="155" t="s">
        <v>189</v>
      </c>
      <c r="G68" s="155"/>
      <c r="H68" s="155"/>
      <c r="I68" s="155"/>
      <c r="J68" s="138"/>
      <c r="K68" s="161"/>
    </row>
    <row r="69" spans="1:11" x14ac:dyDescent="0.25">
      <c r="A69" s="155"/>
      <c r="B69" s="155"/>
      <c r="C69" s="155"/>
      <c r="D69" s="155"/>
      <c r="E69" s="155"/>
      <c r="F69" s="155"/>
      <c r="G69" s="155" t="s">
        <v>76</v>
      </c>
      <c r="H69" s="155"/>
      <c r="I69" s="155"/>
      <c r="J69" s="138"/>
      <c r="K69" s="161"/>
    </row>
    <row r="70" spans="1:11" x14ac:dyDescent="0.25">
      <c r="A70" s="155"/>
      <c r="B70" s="155"/>
      <c r="C70" s="155"/>
      <c r="D70" s="155"/>
      <c r="E70" s="155"/>
      <c r="F70" s="155"/>
      <c r="G70" s="155"/>
      <c r="H70" s="155" t="s">
        <v>77</v>
      </c>
      <c r="I70" s="155"/>
      <c r="J70" s="138">
        <v>10000</v>
      </c>
      <c r="K70" s="161"/>
    </row>
    <row r="71" spans="1:11" x14ac:dyDescent="0.25">
      <c r="A71" s="155"/>
      <c r="B71" s="155"/>
      <c r="C71" s="155"/>
      <c r="D71" s="155"/>
      <c r="E71" s="155"/>
      <c r="F71" s="155"/>
      <c r="G71" s="155"/>
      <c r="H71" s="155" t="s">
        <v>78</v>
      </c>
      <c r="I71" s="155"/>
      <c r="J71" s="138">
        <v>27952.400000000001</v>
      </c>
      <c r="K71" s="161"/>
    </row>
    <row r="72" spans="1:11" x14ac:dyDescent="0.25">
      <c r="A72" s="155"/>
      <c r="B72" s="155"/>
      <c r="C72" s="155"/>
      <c r="D72" s="155"/>
      <c r="E72" s="155"/>
      <c r="F72" s="155"/>
      <c r="G72" s="155"/>
      <c r="H72" s="155" t="s">
        <v>79</v>
      </c>
      <c r="I72" s="155"/>
      <c r="J72" s="138">
        <v>750</v>
      </c>
      <c r="K72" s="161"/>
    </row>
    <row r="73" spans="1:11" x14ac:dyDescent="0.25">
      <c r="A73" s="155"/>
      <c r="B73" s="155"/>
      <c r="C73" s="155"/>
      <c r="D73" s="155"/>
      <c r="E73" s="155"/>
      <c r="F73" s="155"/>
      <c r="G73" s="155"/>
      <c r="H73" s="155" t="s">
        <v>80</v>
      </c>
      <c r="I73" s="155"/>
      <c r="J73" s="138">
        <v>5821</v>
      </c>
      <c r="K73" s="161"/>
    </row>
    <row r="74" spans="1:11" x14ac:dyDescent="0.25">
      <c r="A74" s="155"/>
      <c r="B74" s="155"/>
      <c r="C74" s="155"/>
      <c r="D74" s="155"/>
      <c r="E74" s="155"/>
      <c r="F74" s="155"/>
      <c r="G74" s="155"/>
      <c r="H74" s="155" t="s">
        <v>453</v>
      </c>
      <c r="I74" s="155"/>
      <c r="J74" s="138">
        <v>4284</v>
      </c>
      <c r="K74" s="161"/>
    </row>
    <row r="75" spans="1:11" x14ac:dyDescent="0.25">
      <c r="A75" s="155"/>
      <c r="B75" s="155"/>
      <c r="C75" s="155"/>
      <c r="D75" s="155"/>
      <c r="E75" s="155"/>
      <c r="F75" s="155"/>
      <c r="G75" s="155"/>
      <c r="H75" s="155" t="s">
        <v>81</v>
      </c>
      <c r="I75" s="155"/>
      <c r="J75" s="138"/>
      <c r="K75" s="161"/>
    </row>
    <row r="76" spans="1:11" ht="15.75" thickBot="1" x14ac:dyDescent="0.3">
      <c r="A76" s="155"/>
      <c r="B76" s="155"/>
      <c r="C76" s="155"/>
      <c r="D76" s="155"/>
      <c r="E76" s="155"/>
      <c r="F76" s="155"/>
      <c r="G76" s="155"/>
      <c r="H76" s="155"/>
      <c r="I76" s="155" t="s">
        <v>82</v>
      </c>
      <c r="J76" s="143">
        <v>17495</v>
      </c>
      <c r="K76" s="162"/>
    </row>
    <row r="77" spans="1:11" x14ac:dyDescent="0.25">
      <c r="A77" s="155"/>
      <c r="B77" s="155"/>
      <c r="C77" s="155"/>
      <c r="D77" s="155"/>
      <c r="E77" s="155"/>
      <c r="F77" s="155"/>
      <c r="G77" s="155"/>
      <c r="H77" s="155"/>
      <c r="I77" s="155" t="s">
        <v>454</v>
      </c>
      <c r="J77" s="138">
        <v>1305</v>
      </c>
      <c r="K77" s="161"/>
    </row>
    <row r="78" spans="1:11" ht="30" customHeight="1" x14ac:dyDescent="0.25">
      <c r="A78" s="155"/>
      <c r="B78" s="155"/>
      <c r="C78" s="155"/>
      <c r="D78" s="155"/>
      <c r="E78" s="155"/>
      <c r="F78" s="155"/>
      <c r="G78" s="155"/>
      <c r="H78" s="155" t="s">
        <v>83</v>
      </c>
      <c r="I78" s="155"/>
      <c r="J78" s="138">
        <v>18800</v>
      </c>
      <c r="K78" s="161"/>
    </row>
    <row r="79" spans="1:11" x14ac:dyDescent="0.25">
      <c r="A79" s="155"/>
      <c r="B79" s="155"/>
      <c r="C79" s="155"/>
      <c r="D79" s="155"/>
      <c r="E79" s="155"/>
      <c r="F79" s="155"/>
      <c r="G79" s="155"/>
      <c r="H79" s="155" t="s">
        <v>190</v>
      </c>
      <c r="I79" s="155"/>
      <c r="J79" s="138">
        <v>78075</v>
      </c>
      <c r="K79" s="161"/>
    </row>
    <row r="80" spans="1:11" x14ac:dyDescent="0.25">
      <c r="A80" s="155"/>
      <c r="B80" s="155"/>
      <c r="C80" s="155"/>
      <c r="D80" s="155"/>
      <c r="E80" s="155"/>
      <c r="F80" s="155"/>
      <c r="G80" s="155"/>
      <c r="H80" s="155" t="s">
        <v>84</v>
      </c>
      <c r="I80" s="155"/>
      <c r="J80" s="138">
        <v>7662</v>
      </c>
      <c r="K80" s="161"/>
    </row>
    <row r="81" spans="1:11" ht="15.75" thickBot="1" x14ac:dyDescent="0.3">
      <c r="A81" s="155"/>
      <c r="B81" s="155"/>
      <c r="C81" s="155"/>
      <c r="D81" s="155"/>
      <c r="E81" s="155"/>
      <c r="F81" s="155"/>
      <c r="G81" s="155" t="s">
        <v>85</v>
      </c>
      <c r="H81" s="155"/>
      <c r="I81" s="155"/>
      <c r="J81" s="139">
        <v>153344.4</v>
      </c>
      <c r="K81" s="162"/>
    </row>
    <row r="82" spans="1:11" ht="15.75" thickBot="1" x14ac:dyDescent="0.3">
      <c r="A82" s="155"/>
      <c r="B82" s="155"/>
      <c r="C82" s="155"/>
      <c r="D82" s="155"/>
      <c r="E82" s="155"/>
      <c r="F82" s="155"/>
      <c r="G82" s="155" t="s">
        <v>86</v>
      </c>
      <c r="H82" s="155"/>
      <c r="I82" s="155"/>
      <c r="J82" s="141"/>
      <c r="K82" s="162"/>
    </row>
    <row r="83" spans="1:11" ht="30" customHeight="1" x14ac:dyDescent="0.25">
      <c r="A83" s="155"/>
      <c r="B83" s="155"/>
      <c r="C83" s="155"/>
      <c r="D83" s="155"/>
      <c r="E83" s="155"/>
      <c r="F83" s="155"/>
      <c r="G83" s="155"/>
      <c r="H83" s="155" t="s">
        <v>87</v>
      </c>
      <c r="I83" s="155"/>
      <c r="J83" s="138">
        <v>560490</v>
      </c>
      <c r="K83" s="161"/>
    </row>
    <row r="84" spans="1:11" ht="30" customHeight="1" x14ac:dyDescent="0.25">
      <c r="A84" s="155"/>
      <c r="B84" s="155"/>
      <c r="C84" s="155"/>
      <c r="D84" s="155"/>
      <c r="E84" s="155"/>
      <c r="F84" s="155"/>
      <c r="G84" s="155"/>
      <c r="H84" s="155" t="s">
        <v>88</v>
      </c>
      <c r="I84" s="155"/>
      <c r="J84" s="138">
        <v>75850</v>
      </c>
      <c r="K84" s="161"/>
    </row>
    <row r="85" spans="1:11" x14ac:dyDescent="0.25">
      <c r="A85" s="155"/>
      <c r="B85" s="155"/>
      <c r="C85" s="155"/>
      <c r="D85" s="155"/>
      <c r="E85" s="155"/>
      <c r="F85" s="155"/>
      <c r="G85" s="155"/>
      <c r="H85" s="155" t="s">
        <v>89</v>
      </c>
      <c r="I85" s="155"/>
      <c r="J85" s="138">
        <v>50000</v>
      </c>
      <c r="K85" s="161"/>
    </row>
    <row r="86" spans="1:11" x14ac:dyDescent="0.25">
      <c r="A86" s="155"/>
      <c r="B86" s="155"/>
      <c r="C86" s="155"/>
      <c r="D86" s="155"/>
      <c r="E86" s="155"/>
      <c r="F86" s="155"/>
      <c r="G86" s="155"/>
      <c r="H86" s="155" t="s">
        <v>90</v>
      </c>
      <c r="I86" s="155"/>
      <c r="J86" s="138">
        <v>0</v>
      </c>
      <c r="K86" s="161"/>
    </row>
    <row r="87" spans="1:11" x14ac:dyDescent="0.25">
      <c r="A87" s="155"/>
      <c r="B87" s="155"/>
      <c r="C87" s="155"/>
      <c r="D87" s="155"/>
      <c r="E87" s="155"/>
      <c r="F87" s="155"/>
      <c r="G87" s="155" t="s">
        <v>91</v>
      </c>
      <c r="H87" s="155"/>
      <c r="I87" s="155"/>
      <c r="J87" s="138">
        <v>686340</v>
      </c>
      <c r="K87" s="161"/>
    </row>
    <row r="88" spans="1:11" x14ac:dyDescent="0.25">
      <c r="A88" s="155"/>
      <c r="B88" s="155"/>
      <c r="C88" s="155"/>
      <c r="D88" s="155"/>
      <c r="E88" s="155"/>
      <c r="F88" s="155"/>
      <c r="G88" s="155" t="s">
        <v>92</v>
      </c>
      <c r="H88" s="155"/>
      <c r="I88" s="155"/>
      <c r="J88" s="138"/>
      <c r="K88" s="161"/>
    </row>
    <row r="89" spans="1:11" x14ac:dyDescent="0.25">
      <c r="A89" s="155"/>
      <c r="B89" s="155"/>
      <c r="C89" s="155"/>
      <c r="D89" s="155"/>
      <c r="E89" s="155"/>
      <c r="F89" s="155"/>
      <c r="G89" s="155"/>
      <c r="H89" s="155" t="s">
        <v>93</v>
      </c>
      <c r="I89" s="155"/>
      <c r="J89" s="138">
        <v>8586.6</v>
      </c>
      <c r="K89" s="161"/>
    </row>
    <row r="90" spans="1:11" ht="15.75" thickBot="1" x14ac:dyDescent="0.3">
      <c r="A90" s="155"/>
      <c r="B90" s="155"/>
      <c r="C90" s="155"/>
      <c r="D90" s="155"/>
      <c r="E90" s="155"/>
      <c r="F90" s="155"/>
      <c r="G90" s="155"/>
      <c r="H90" s="155" t="s">
        <v>94</v>
      </c>
      <c r="I90" s="155"/>
      <c r="J90" s="143">
        <v>11706.66</v>
      </c>
      <c r="K90" s="162"/>
    </row>
    <row r="91" spans="1:11" x14ac:dyDescent="0.25">
      <c r="A91" s="155"/>
      <c r="B91" s="155"/>
      <c r="C91" s="155"/>
      <c r="D91" s="155"/>
      <c r="E91" s="155"/>
      <c r="F91" s="155"/>
      <c r="G91" s="155"/>
      <c r="H91" s="155" t="s">
        <v>95</v>
      </c>
      <c r="I91" s="155"/>
      <c r="J91" s="138">
        <v>9131.16</v>
      </c>
      <c r="K91" s="161"/>
    </row>
    <row r="92" spans="1:11" ht="30" customHeight="1" x14ac:dyDescent="0.25">
      <c r="A92" s="155"/>
      <c r="B92" s="155"/>
      <c r="C92" s="155"/>
      <c r="D92" s="155"/>
      <c r="E92" s="155"/>
      <c r="F92" s="155"/>
      <c r="G92" s="155" t="s">
        <v>96</v>
      </c>
      <c r="H92" s="155"/>
      <c r="I92" s="155"/>
      <c r="J92" s="138">
        <v>29424.42</v>
      </c>
      <c r="K92" s="161"/>
    </row>
    <row r="93" spans="1:11" x14ac:dyDescent="0.25">
      <c r="A93" s="155"/>
      <c r="B93" s="155"/>
      <c r="C93" s="155"/>
      <c r="D93" s="155"/>
      <c r="E93" s="155"/>
      <c r="F93" s="155"/>
      <c r="G93" s="155" t="s">
        <v>97</v>
      </c>
      <c r="H93" s="155"/>
      <c r="I93" s="155"/>
      <c r="J93" s="138"/>
      <c r="K93" s="161"/>
    </row>
    <row r="94" spans="1:11" x14ac:dyDescent="0.25">
      <c r="A94" s="155"/>
      <c r="B94" s="155"/>
      <c r="C94" s="155"/>
      <c r="D94" s="155"/>
      <c r="E94" s="155"/>
      <c r="F94" s="155"/>
      <c r="G94" s="155"/>
      <c r="H94" s="155" t="s">
        <v>98</v>
      </c>
      <c r="I94" s="155"/>
      <c r="J94" s="138">
        <v>1500</v>
      </c>
      <c r="K94" s="161"/>
    </row>
    <row r="95" spans="1:11" x14ac:dyDescent="0.25">
      <c r="A95" s="155"/>
      <c r="B95" s="155"/>
      <c r="C95" s="155"/>
      <c r="D95" s="155"/>
      <c r="E95" s="155"/>
      <c r="F95" s="155"/>
      <c r="G95" s="155"/>
      <c r="H95" s="155" t="s">
        <v>99</v>
      </c>
      <c r="I95" s="155"/>
      <c r="J95" s="138">
        <v>2500</v>
      </c>
      <c r="K95" s="161"/>
    </row>
    <row r="96" spans="1:11" ht="15.75" thickBot="1" x14ac:dyDescent="0.3">
      <c r="A96" s="155"/>
      <c r="B96" s="155"/>
      <c r="C96" s="155"/>
      <c r="D96" s="155"/>
      <c r="E96" s="155"/>
      <c r="F96" s="155"/>
      <c r="G96" s="155"/>
      <c r="H96" s="155" t="s">
        <v>100</v>
      </c>
      <c r="I96" s="155"/>
      <c r="J96" s="143">
        <v>58830</v>
      </c>
      <c r="K96" s="162"/>
    </row>
    <row r="97" spans="1:11" x14ac:dyDescent="0.25">
      <c r="A97" s="155"/>
      <c r="B97" s="155"/>
      <c r="C97" s="155"/>
      <c r="D97" s="155"/>
      <c r="E97" s="155"/>
      <c r="F97" s="155"/>
      <c r="G97" s="155"/>
      <c r="H97" s="155" t="s">
        <v>101</v>
      </c>
      <c r="I97" s="155"/>
      <c r="J97" s="138">
        <v>11140</v>
      </c>
      <c r="K97" s="161"/>
    </row>
    <row r="98" spans="1:11" ht="30" customHeight="1" x14ac:dyDescent="0.25">
      <c r="A98" s="155"/>
      <c r="B98" s="155"/>
      <c r="C98" s="155"/>
      <c r="D98" s="155"/>
      <c r="E98" s="155"/>
      <c r="F98" s="155"/>
      <c r="G98" s="155" t="s">
        <v>102</v>
      </c>
      <c r="H98" s="155"/>
      <c r="I98" s="155"/>
      <c r="J98" s="138">
        <v>73970</v>
      </c>
      <c r="K98" s="161"/>
    </row>
    <row r="99" spans="1:11" x14ac:dyDescent="0.25">
      <c r="A99" s="155"/>
      <c r="B99" s="155"/>
      <c r="C99" s="155"/>
      <c r="D99" s="155"/>
      <c r="E99" s="155"/>
      <c r="F99" s="155"/>
      <c r="G99" s="155" t="s">
        <v>103</v>
      </c>
      <c r="H99" s="155"/>
      <c r="I99" s="155"/>
      <c r="J99" s="138"/>
      <c r="K99" s="161"/>
    </row>
    <row r="100" spans="1:11" x14ac:dyDescent="0.25">
      <c r="A100" s="155"/>
      <c r="B100" s="155"/>
      <c r="C100" s="155"/>
      <c r="D100" s="155"/>
      <c r="E100" s="155"/>
      <c r="F100" s="155"/>
      <c r="G100" s="155"/>
      <c r="H100" s="155" t="s">
        <v>104</v>
      </c>
      <c r="I100" s="155"/>
      <c r="J100" s="138">
        <v>10475</v>
      </c>
      <c r="K100" s="161"/>
    </row>
    <row r="101" spans="1:11" x14ac:dyDescent="0.25">
      <c r="A101" s="155"/>
      <c r="B101" s="155"/>
      <c r="C101" s="155"/>
      <c r="D101" s="155"/>
      <c r="E101" s="155"/>
      <c r="F101" s="155"/>
      <c r="G101" s="155"/>
      <c r="H101" s="155" t="s">
        <v>105</v>
      </c>
      <c r="I101" s="155"/>
      <c r="J101" s="138">
        <v>80835</v>
      </c>
      <c r="K101" s="161"/>
    </row>
    <row r="102" spans="1:11" ht="15.75" thickBot="1" x14ac:dyDescent="0.3">
      <c r="A102" s="155"/>
      <c r="B102" s="155"/>
      <c r="C102" s="155"/>
      <c r="D102" s="155"/>
      <c r="E102" s="155"/>
      <c r="F102" s="155"/>
      <c r="G102" s="155"/>
      <c r="H102" s="155" t="s">
        <v>106</v>
      </c>
      <c r="I102" s="155"/>
      <c r="J102" s="143">
        <v>300</v>
      </c>
      <c r="K102" s="162"/>
    </row>
    <row r="103" spans="1:11" x14ac:dyDescent="0.25">
      <c r="A103" s="155"/>
      <c r="B103" s="155"/>
      <c r="C103" s="155"/>
      <c r="D103" s="155"/>
      <c r="E103" s="155"/>
      <c r="F103" s="155"/>
      <c r="G103" s="155"/>
      <c r="H103" s="155" t="s">
        <v>455</v>
      </c>
      <c r="I103" s="155"/>
      <c r="J103" s="138">
        <v>54264</v>
      </c>
      <c r="K103" s="161"/>
    </row>
    <row r="104" spans="1:11" ht="30" customHeight="1" x14ac:dyDescent="0.25">
      <c r="A104" s="155"/>
      <c r="B104" s="155"/>
      <c r="C104" s="155"/>
      <c r="D104" s="155"/>
      <c r="E104" s="155"/>
      <c r="F104" s="155"/>
      <c r="G104" s="155"/>
      <c r="H104" s="155" t="s">
        <v>107</v>
      </c>
      <c r="I104" s="155"/>
      <c r="J104" s="138">
        <v>2170</v>
      </c>
      <c r="K104" s="161"/>
    </row>
    <row r="105" spans="1:11" x14ac:dyDescent="0.25">
      <c r="A105" s="155"/>
      <c r="B105" s="155"/>
      <c r="C105" s="155"/>
      <c r="D105" s="155"/>
      <c r="E105" s="155"/>
      <c r="F105" s="155"/>
      <c r="G105" s="155"/>
      <c r="H105" s="155" t="s">
        <v>475</v>
      </c>
      <c r="I105" s="155"/>
      <c r="J105" s="138">
        <v>1400</v>
      </c>
      <c r="K105" s="161"/>
    </row>
    <row r="106" spans="1:11" x14ac:dyDescent="0.25">
      <c r="A106" s="155"/>
      <c r="B106" s="155"/>
      <c r="C106" s="155"/>
      <c r="D106" s="155"/>
      <c r="E106" s="155"/>
      <c r="F106" s="155"/>
      <c r="G106" s="155" t="s">
        <v>108</v>
      </c>
      <c r="H106" s="155"/>
      <c r="I106" s="155"/>
      <c r="J106" s="138">
        <v>149444</v>
      </c>
      <c r="K106" s="161"/>
    </row>
    <row r="107" spans="1:11" ht="15.75" thickBot="1" x14ac:dyDescent="0.3">
      <c r="A107" s="155"/>
      <c r="B107" s="155"/>
      <c r="C107" s="155"/>
      <c r="D107" s="155"/>
      <c r="E107" s="155"/>
      <c r="F107" s="155"/>
      <c r="G107" s="155" t="s">
        <v>456</v>
      </c>
      <c r="H107" s="155"/>
      <c r="I107" s="155"/>
      <c r="J107" s="143"/>
      <c r="K107" s="162"/>
    </row>
    <row r="108" spans="1:11" x14ac:dyDescent="0.25">
      <c r="A108" s="155"/>
      <c r="B108" s="155"/>
      <c r="C108" s="155"/>
      <c r="D108" s="155"/>
      <c r="E108" s="155"/>
      <c r="F108" s="155"/>
      <c r="G108" s="155"/>
      <c r="H108" s="155" t="s">
        <v>476</v>
      </c>
      <c r="I108" s="155"/>
      <c r="J108" s="138">
        <v>9898.83</v>
      </c>
      <c r="K108" s="161"/>
    </row>
    <row r="109" spans="1:11" ht="30" customHeight="1" x14ac:dyDescent="0.25">
      <c r="A109" s="155"/>
      <c r="B109" s="155"/>
      <c r="C109" s="155"/>
      <c r="D109" s="155"/>
      <c r="E109" s="155"/>
      <c r="F109" s="155"/>
      <c r="G109" s="155"/>
      <c r="H109" s="155" t="s">
        <v>457</v>
      </c>
      <c r="I109" s="155"/>
      <c r="J109" s="138">
        <v>6255.43</v>
      </c>
      <c r="K109" s="161"/>
    </row>
    <row r="110" spans="1:11" ht="15.75" thickBot="1" x14ac:dyDescent="0.3">
      <c r="A110" s="155"/>
      <c r="B110" s="155"/>
      <c r="C110" s="155"/>
      <c r="D110" s="155"/>
      <c r="E110" s="155"/>
      <c r="F110" s="155"/>
      <c r="G110" s="155" t="s">
        <v>458</v>
      </c>
      <c r="H110" s="155"/>
      <c r="I110" s="155"/>
      <c r="J110" s="139">
        <v>16154.26</v>
      </c>
      <c r="K110" s="162"/>
    </row>
    <row r="111" spans="1:11" ht="15.75" thickBot="1" x14ac:dyDescent="0.3">
      <c r="A111" s="155"/>
      <c r="B111" s="155"/>
      <c r="C111" s="155"/>
      <c r="D111" s="155"/>
      <c r="E111" s="155"/>
      <c r="F111" s="155" t="s">
        <v>191</v>
      </c>
      <c r="G111" s="155"/>
      <c r="H111" s="155"/>
      <c r="I111" s="155"/>
      <c r="J111" s="141">
        <v>1108677.08</v>
      </c>
      <c r="K111" s="162"/>
    </row>
    <row r="112" spans="1:11" ht="30" customHeight="1" x14ac:dyDescent="0.25">
      <c r="A112" s="155"/>
      <c r="B112" s="155"/>
      <c r="C112" s="155"/>
      <c r="D112" s="155"/>
      <c r="E112" s="155"/>
      <c r="F112" s="155" t="s">
        <v>109</v>
      </c>
      <c r="G112" s="155"/>
      <c r="H112" s="155"/>
      <c r="I112" s="155"/>
      <c r="J112" s="142"/>
      <c r="K112" s="161"/>
    </row>
    <row r="113" spans="1:11" ht="30" customHeight="1" x14ac:dyDescent="0.25">
      <c r="A113" s="155"/>
      <c r="B113" s="155"/>
      <c r="C113" s="155"/>
      <c r="D113" s="155"/>
      <c r="E113" s="155"/>
      <c r="F113" s="155"/>
      <c r="G113" s="155" t="s">
        <v>110</v>
      </c>
      <c r="H113" s="155"/>
      <c r="I113" s="155"/>
      <c r="J113" s="138"/>
      <c r="K113" s="161"/>
    </row>
    <row r="114" spans="1:11" x14ac:dyDescent="0.25">
      <c r="A114" s="155"/>
      <c r="B114" s="155"/>
      <c r="C114" s="155"/>
      <c r="D114" s="155"/>
      <c r="E114" s="155"/>
      <c r="F114" s="155"/>
      <c r="G114" s="155"/>
      <c r="H114" s="155" t="s">
        <v>111</v>
      </c>
      <c r="I114" s="155"/>
      <c r="J114" s="138">
        <v>42000</v>
      </c>
      <c r="K114" s="161"/>
    </row>
    <row r="115" spans="1:11" x14ac:dyDescent="0.25">
      <c r="A115" s="155"/>
      <c r="B115" s="155"/>
      <c r="C115" s="155"/>
      <c r="D115" s="155"/>
      <c r="E115" s="155"/>
      <c r="F115" s="155"/>
      <c r="G115" s="155"/>
      <c r="H115" s="155" t="s">
        <v>480</v>
      </c>
      <c r="I115" s="155"/>
      <c r="J115" s="138">
        <v>890</v>
      </c>
      <c r="K115" s="161"/>
    </row>
    <row r="116" spans="1:11" x14ac:dyDescent="0.25">
      <c r="A116" s="155"/>
      <c r="B116" s="155"/>
      <c r="C116" s="155"/>
      <c r="D116" s="155"/>
      <c r="E116" s="155"/>
      <c r="F116" s="155"/>
      <c r="G116" s="155"/>
      <c r="H116" s="155" t="s">
        <v>112</v>
      </c>
      <c r="I116" s="155"/>
      <c r="J116" s="138">
        <v>76506.12</v>
      </c>
      <c r="K116" s="161"/>
    </row>
    <row r="117" spans="1:11" x14ac:dyDescent="0.25">
      <c r="A117" s="155"/>
      <c r="B117" s="155"/>
      <c r="C117" s="155"/>
      <c r="D117" s="155"/>
      <c r="E117" s="155"/>
      <c r="F117" s="155"/>
      <c r="G117" s="155"/>
      <c r="H117" s="155" t="s">
        <v>481</v>
      </c>
      <c r="I117" s="155"/>
      <c r="J117" s="138">
        <v>2000</v>
      </c>
      <c r="K117" s="161"/>
    </row>
    <row r="118" spans="1:11" x14ac:dyDescent="0.25">
      <c r="A118" s="155"/>
      <c r="B118" s="155"/>
      <c r="C118" s="155"/>
      <c r="D118" s="155"/>
      <c r="E118" s="155"/>
      <c r="F118" s="155"/>
      <c r="G118" s="155"/>
      <c r="H118" s="155" t="s">
        <v>113</v>
      </c>
      <c r="I118" s="155"/>
      <c r="J118" s="138">
        <v>109301</v>
      </c>
      <c r="K118" s="161"/>
    </row>
    <row r="119" spans="1:11" ht="15.75" thickBot="1" x14ac:dyDescent="0.3">
      <c r="A119" s="155"/>
      <c r="B119" s="155"/>
      <c r="C119" s="155"/>
      <c r="D119" s="155"/>
      <c r="E119" s="155"/>
      <c r="F119" s="155"/>
      <c r="G119" s="155"/>
      <c r="H119" s="155" t="s">
        <v>114</v>
      </c>
      <c r="I119" s="155"/>
      <c r="J119" s="143">
        <v>1404.15</v>
      </c>
      <c r="K119" s="162"/>
    </row>
    <row r="120" spans="1:11" x14ac:dyDescent="0.25">
      <c r="A120" s="155"/>
      <c r="B120" s="155"/>
      <c r="C120" s="155"/>
      <c r="D120" s="155"/>
      <c r="E120" s="155"/>
      <c r="F120" s="155"/>
      <c r="G120" s="155"/>
      <c r="H120" s="155" t="s">
        <v>459</v>
      </c>
      <c r="I120" s="155"/>
      <c r="J120" s="138">
        <v>4284</v>
      </c>
      <c r="K120" s="161"/>
    </row>
    <row r="121" spans="1:11" ht="30" customHeight="1" x14ac:dyDescent="0.25">
      <c r="A121" s="155"/>
      <c r="B121" s="155"/>
      <c r="C121" s="155"/>
      <c r="D121" s="155"/>
      <c r="E121" s="155"/>
      <c r="F121" s="155"/>
      <c r="G121" s="155"/>
      <c r="H121" s="155" t="s">
        <v>115</v>
      </c>
      <c r="I121" s="155"/>
      <c r="J121" s="138">
        <v>35022</v>
      </c>
      <c r="K121" s="161"/>
    </row>
    <row r="122" spans="1:11" x14ac:dyDescent="0.25">
      <c r="A122" s="155"/>
      <c r="B122" s="155"/>
      <c r="C122" s="155"/>
      <c r="D122" s="155"/>
      <c r="E122" s="155"/>
      <c r="F122" s="155"/>
      <c r="G122" s="155" t="s">
        <v>116</v>
      </c>
      <c r="H122" s="155"/>
      <c r="I122" s="155"/>
      <c r="J122" s="138">
        <v>271407.27</v>
      </c>
      <c r="K122" s="161"/>
    </row>
    <row r="123" spans="1:11" x14ac:dyDescent="0.25">
      <c r="A123" s="155"/>
      <c r="B123" s="155"/>
      <c r="C123" s="155"/>
      <c r="D123" s="155"/>
      <c r="E123" s="155"/>
      <c r="F123" s="155"/>
      <c r="G123" s="155" t="s">
        <v>117</v>
      </c>
      <c r="H123" s="155"/>
      <c r="I123" s="155"/>
      <c r="J123" s="138"/>
      <c r="K123" s="161"/>
    </row>
    <row r="124" spans="1:11" x14ac:dyDescent="0.25">
      <c r="A124" s="155"/>
      <c r="B124" s="155"/>
      <c r="C124" s="155"/>
      <c r="D124" s="155"/>
      <c r="E124" s="155"/>
      <c r="F124" s="155"/>
      <c r="G124" s="155"/>
      <c r="H124" s="155" t="s">
        <v>118</v>
      </c>
      <c r="I124" s="155"/>
      <c r="J124" s="138">
        <v>210000</v>
      </c>
      <c r="K124" s="161"/>
    </row>
    <row r="125" spans="1:11" ht="15.75" thickBot="1" x14ac:dyDescent="0.3">
      <c r="A125" s="155"/>
      <c r="B125" s="155"/>
      <c r="C125" s="155"/>
      <c r="D125" s="155"/>
      <c r="E125" s="155"/>
      <c r="F125" s="155"/>
      <c r="G125" s="155"/>
      <c r="H125" s="155" t="s">
        <v>119</v>
      </c>
      <c r="I125" s="155"/>
      <c r="J125" s="143">
        <v>97000</v>
      </c>
      <c r="K125" s="162"/>
    </row>
    <row r="126" spans="1:11" x14ac:dyDescent="0.25">
      <c r="A126" s="155"/>
      <c r="B126" s="155"/>
      <c r="C126" s="155"/>
      <c r="D126" s="155"/>
      <c r="E126" s="155"/>
      <c r="F126" s="155"/>
      <c r="G126" s="155" t="s">
        <v>120</v>
      </c>
      <c r="H126" s="155"/>
      <c r="I126" s="155"/>
      <c r="J126" s="138">
        <v>307000</v>
      </c>
      <c r="K126" s="161"/>
    </row>
    <row r="127" spans="1:11" ht="30" customHeight="1" x14ac:dyDescent="0.25">
      <c r="A127" s="155"/>
      <c r="B127" s="155"/>
      <c r="C127" s="155"/>
      <c r="D127" s="155"/>
      <c r="E127" s="155"/>
      <c r="F127" s="155"/>
      <c r="G127" s="155" t="s">
        <v>121</v>
      </c>
      <c r="H127" s="155"/>
      <c r="I127" s="155"/>
      <c r="J127" s="138"/>
      <c r="K127" s="161"/>
    </row>
    <row r="128" spans="1:11" ht="30" customHeight="1" x14ac:dyDescent="0.25">
      <c r="A128" s="155"/>
      <c r="B128" s="155"/>
      <c r="C128" s="155"/>
      <c r="D128" s="155"/>
      <c r="E128" s="155"/>
      <c r="F128" s="155"/>
      <c r="G128" s="155"/>
      <c r="H128" s="43" t="s">
        <v>460</v>
      </c>
      <c r="I128" s="43"/>
      <c r="J128" s="145">
        <v>2041.78</v>
      </c>
      <c r="K128" s="161"/>
    </row>
    <row r="129" spans="1:11" x14ac:dyDescent="0.25">
      <c r="A129" s="155"/>
      <c r="B129" s="155"/>
      <c r="C129" s="155"/>
      <c r="D129" s="155"/>
      <c r="E129" s="155"/>
      <c r="F129" s="155"/>
      <c r="G129" s="155"/>
      <c r="H129" s="155" t="s">
        <v>461</v>
      </c>
      <c r="I129" s="155"/>
      <c r="J129" s="138">
        <v>4377.5600000000004</v>
      </c>
      <c r="K129" s="161"/>
    </row>
    <row r="130" spans="1:11" ht="15.75" thickBot="1" x14ac:dyDescent="0.3">
      <c r="A130" s="155"/>
      <c r="B130" s="155"/>
      <c r="C130" s="155"/>
      <c r="D130" s="155"/>
      <c r="E130" s="155"/>
      <c r="F130" s="155"/>
      <c r="G130" s="155" t="s">
        <v>122</v>
      </c>
      <c r="H130" s="155"/>
      <c r="I130" s="155"/>
      <c r="J130" s="143">
        <v>6419.34</v>
      </c>
      <c r="K130" s="162"/>
    </row>
    <row r="131" spans="1:11" x14ac:dyDescent="0.25">
      <c r="A131" s="155"/>
      <c r="B131" s="155"/>
      <c r="C131" s="155"/>
      <c r="D131" s="155"/>
      <c r="E131" s="155"/>
      <c r="F131" s="155"/>
      <c r="G131" s="155" t="s">
        <v>123</v>
      </c>
      <c r="H131" s="155"/>
      <c r="I131" s="155"/>
      <c r="J131" s="145"/>
      <c r="K131" s="161"/>
    </row>
    <row r="132" spans="1:11" ht="30" customHeight="1" x14ac:dyDescent="0.25">
      <c r="A132" s="155"/>
      <c r="B132" s="155"/>
      <c r="C132" s="155"/>
      <c r="D132" s="155"/>
      <c r="E132" s="155"/>
      <c r="F132" s="155"/>
      <c r="G132" s="155"/>
      <c r="H132" s="155" t="s">
        <v>462</v>
      </c>
      <c r="I132" s="155"/>
      <c r="J132" s="138">
        <v>15060</v>
      </c>
      <c r="K132" s="161"/>
    </row>
    <row r="133" spans="1:11" x14ac:dyDescent="0.25">
      <c r="A133" s="155"/>
      <c r="B133" s="155"/>
      <c r="C133" s="155"/>
      <c r="D133" s="155"/>
      <c r="E133" s="155"/>
      <c r="F133" s="155"/>
      <c r="G133" s="155"/>
      <c r="H133" s="155" t="s">
        <v>463</v>
      </c>
      <c r="I133" s="155"/>
      <c r="J133" s="138">
        <v>6850</v>
      </c>
      <c r="K133" s="161"/>
    </row>
    <row r="134" spans="1:11" x14ac:dyDescent="0.25">
      <c r="A134" s="155"/>
      <c r="B134" s="155"/>
      <c r="C134" s="155"/>
      <c r="D134" s="155"/>
      <c r="E134" s="155"/>
      <c r="F134" s="155"/>
      <c r="G134" s="155"/>
      <c r="H134" s="155" t="s">
        <v>124</v>
      </c>
      <c r="I134" s="155"/>
      <c r="J134" s="138">
        <v>68290</v>
      </c>
      <c r="K134" s="161"/>
    </row>
    <row r="135" spans="1:11" x14ac:dyDescent="0.25">
      <c r="A135" s="155"/>
      <c r="B135" s="155"/>
      <c r="C135" s="155"/>
      <c r="D135" s="155"/>
      <c r="E135" s="155"/>
      <c r="F135" s="155"/>
      <c r="G135" s="155" t="s">
        <v>125</v>
      </c>
      <c r="H135" s="155"/>
      <c r="I135" s="155"/>
      <c r="J135" s="138">
        <v>90200</v>
      </c>
      <c r="K135" s="161"/>
    </row>
    <row r="136" spans="1:11" x14ac:dyDescent="0.25">
      <c r="A136" s="155"/>
      <c r="B136" s="155"/>
      <c r="C136" s="155"/>
      <c r="D136" s="155"/>
      <c r="E136" s="155"/>
      <c r="F136" s="155"/>
      <c r="G136" s="155" t="s">
        <v>126</v>
      </c>
      <c r="H136" s="155"/>
      <c r="I136" s="155"/>
      <c r="J136" s="138"/>
      <c r="K136" s="161"/>
    </row>
    <row r="137" spans="1:11" ht="15.75" thickBot="1" x14ac:dyDescent="0.3">
      <c r="A137" s="155"/>
      <c r="B137" s="155"/>
      <c r="C137" s="155"/>
      <c r="D137" s="155"/>
      <c r="E137" s="155"/>
      <c r="F137" s="155"/>
      <c r="G137" s="155"/>
      <c r="H137" s="155" t="s">
        <v>127</v>
      </c>
      <c r="I137" s="155"/>
      <c r="J137" s="143">
        <v>720</v>
      </c>
      <c r="K137" s="162"/>
    </row>
    <row r="138" spans="1:11" x14ac:dyDescent="0.25">
      <c r="A138" s="155"/>
      <c r="B138" s="155"/>
      <c r="C138" s="155"/>
      <c r="D138" s="155"/>
      <c r="E138" s="155"/>
      <c r="F138" s="155"/>
      <c r="G138" s="155"/>
      <c r="H138" s="155" t="s">
        <v>128</v>
      </c>
      <c r="I138" s="155"/>
      <c r="J138" s="138">
        <v>29705</v>
      </c>
      <c r="K138" s="161"/>
    </row>
    <row r="139" spans="1:11" ht="30" customHeight="1" x14ac:dyDescent="0.25">
      <c r="A139" s="155"/>
      <c r="B139" s="155"/>
      <c r="C139" s="155"/>
      <c r="D139" s="155"/>
      <c r="E139" s="155"/>
      <c r="F139" s="155"/>
      <c r="G139" s="155"/>
      <c r="H139" s="155" t="s">
        <v>129</v>
      </c>
      <c r="I139" s="155"/>
      <c r="J139" s="138">
        <v>3285</v>
      </c>
      <c r="K139" s="161"/>
    </row>
    <row r="140" spans="1:11" x14ac:dyDescent="0.25">
      <c r="A140" s="155"/>
      <c r="B140" s="155"/>
      <c r="C140" s="155"/>
      <c r="D140" s="155"/>
      <c r="E140" s="155"/>
      <c r="F140" s="155"/>
      <c r="G140" s="155" t="s">
        <v>130</v>
      </c>
      <c r="H140" s="155"/>
      <c r="I140" s="155"/>
      <c r="J140" s="138">
        <v>33710</v>
      </c>
      <c r="K140" s="161"/>
    </row>
    <row r="141" spans="1:11" x14ac:dyDescent="0.25">
      <c r="A141" s="155"/>
      <c r="B141" s="155"/>
      <c r="C141" s="155"/>
      <c r="D141" s="155"/>
      <c r="E141" s="155"/>
      <c r="F141" s="155"/>
      <c r="G141" s="155" t="s">
        <v>131</v>
      </c>
      <c r="H141" s="155"/>
      <c r="I141" s="155"/>
      <c r="J141" s="138"/>
      <c r="K141" s="161"/>
    </row>
    <row r="142" spans="1:11" x14ac:dyDescent="0.25">
      <c r="A142" s="155"/>
      <c r="B142" s="155"/>
      <c r="C142" s="155"/>
      <c r="D142" s="155"/>
      <c r="E142" s="155"/>
      <c r="F142" s="155"/>
      <c r="G142" s="155"/>
      <c r="H142" s="155" t="s">
        <v>132</v>
      </c>
      <c r="I142" s="155"/>
      <c r="J142" s="138">
        <v>10125</v>
      </c>
      <c r="K142" s="161"/>
    </row>
    <row r="143" spans="1:11" ht="15.75" thickBot="1" x14ac:dyDescent="0.3">
      <c r="A143" s="155"/>
      <c r="B143" s="155"/>
      <c r="C143" s="155"/>
      <c r="D143" s="155"/>
      <c r="E143" s="155"/>
      <c r="F143" s="155"/>
      <c r="G143" s="155" t="s">
        <v>133</v>
      </c>
      <c r="H143" s="155"/>
      <c r="I143" s="155"/>
      <c r="J143" s="143">
        <v>10125</v>
      </c>
      <c r="K143" s="162"/>
    </row>
    <row r="144" spans="1:11" x14ac:dyDescent="0.25">
      <c r="A144" s="155"/>
      <c r="B144" s="155"/>
      <c r="C144" s="155"/>
      <c r="D144" s="155"/>
      <c r="E144" s="155"/>
      <c r="F144" s="155" t="s">
        <v>134</v>
      </c>
      <c r="G144" s="155"/>
      <c r="H144" s="155"/>
      <c r="I144" s="155"/>
      <c r="J144" s="138">
        <v>718861.61</v>
      </c>
      <c r="K144" s="161"/>
    </row>
    <row r="145" spans="1:11" ht="30" customHeight="1" x14ac:dyDescent="0.25">
      <c r="A145" s="155"/>
      <c r="B145" s="155"/>
      <c r="C145" s="155"/>
      <c r="D145" s="155"/>
      <c r="E145" s="155"/>
      <c r="F145" s="155" t="s">
        <v>135</v>
      </c>
      <c r="G145" s="155"/>
      <c r="H145" s="155"/>
      <c r="I145" s="155"/>
      <c r="J145" s="138"/>
      <c r="K145" s="161"/>
    </row>
    <row r="146" spans="1:11" ht="15.75" thickBot="1" x14ac:dyDescent="0.3">
      <c r="A146" s="155"/>
      <c r="B146" s="155"/>
      <c r="C146" s="155"/>
      <c r="D146" s="155"/>
      <c r="E146" s="155"/>
      <c r="F146" s="155"/>
      <c r="G146" s="155" t="s">
        <v>192</v>
      </c>
      <c r="H146" s="155"/>
      <c r="I146" s="155"/>
      <c r="J146" s="139"/>
      <c r="K146" s="162"/>
    </row>
    <row r="147" spans="1:11" ht="15.75" thickBot="1" x14ac:dyDescent="0.3">
      <c r="A147" s="155"/>
      <c r="B147" s="155"/>
      <c r="C147" s="155"/>
      <c r="D147" s="155"/>
      <c r="E147" s="155"/>
      <c r="F147" s="155"/>
      <c r="G147" s="155"/>
      <c r="H147" s="155" t="s">
        <v>193</v>
      </c>
      <c r="I147" s="155"/>
      <c r="J147" s="141">
        <v>0</v>
      </c>
      <c r="K147" s="162"/>
    </row>
    <row r="148" spans="1:11" ht="30" customHeight="1" x14ac:dyDescent="0.25">
      <c r="A148" s="155"/>
      <c r="B148" s="155"/>
      <c r="C148" s="155"/>
      <c r="D148" s="155"/>
      <c r="E148" s="155"/>
      <c r="F148" s="155"/>
      <c r="G148" s="155" t="s">
        <v>194</v>
      </c>
      <c r="H148" s="155"/>
      <c r="I148" s="155"/>
      <c r="J148" s="142">
        <v>0</v>
      </c>
      <c r="K148" s="161"/>
    </row>
    <row r="149" spans="1:11" ht="30" customHeight="1" x14ac:dyDescent="0.25">
      <c r="A149" s="155"/>
      <c r="B149" s="155"/>
      <c r="C149" s="155"/>
      <c r="D149" s="155"/>
      <c r="E149" s="155"/>
      <c r="F149" s="155"/>
      <c r="G149" s="155" t="s">
        <v>195</v>
      </c>
      <c r="H149" s="155"/>
      <c r="I149" s="155"/>
      <c r="J149" s="138"/>
      <c r="K149" s="161"/>
    </row>
    <row r="150" spans="1:11" x14ac:dyDescent="0.25">
      <c r="A150" s="155"/>
      <c r="B150" s="155"/>
      <c r="C150" s="155"/>
      <c r="D150" s="155"/>
      <c r="E150" s="155"/>
      <c r="F150" s="155"/>
      <c r="G150" s="155"/>
      <c r="H150" s="155" t="s">
        <v>136</v>
      </c>
      <c r="I150" s="155"/>
      <c r="J150" s="138">
        <v>1000</v>
      </c>
      <c r="K150" s="161"/>
    </row>
    <row r="151" spans="1:11" ht="15.75" thickBot="1" x14ac:dyDescent="0.3">
      <c r="A151" s="155"/>
      <c r="B151" s="155"/>
      <c r="C151" s="155"/>
      <c r="D151" s="155"/>
      <c r="E151" s="155"/>
      <c r="F151" s="155"/>
      <c r="G151" s="155"/>
      <c r="H151" s="155" t="s">
        <v>137</v>
      </c>
      <c r="I151" s="155"/>
      <c r="J151" s="143">
        <v>29988</v>
      </c>
      <c r="K151" s="162"/>
    </row>
    <row r="152" spans="1:11" x14ac:dyDescent="0.25">
      <c r="A152" s="155"/>
      <c r="B152" s="155"/>
      <c r="C152" s="155"/>
      <c r="D152" s="155"/>
      <c r="E152" s="155"/>
      <c r="F152" s="155"/>
      <c r="G152" s="155" t="s">
        <v>196</v>
      </c>
      <c r="H152" s="43"/>
      <c r="I152" s="43"/>
      <c r="J152" s="145">
        <v>30988</v>
      </c>
      <c r="K152" s="161"/>
    </row>
    <row r="153" spans="1:11" ht="15.75" thickBot="1" x14ac:dyDescent="0.3">
      <c r="A153" s="155"/>
      <c r="B153" s="155"/>
      <c r="C153" s="155"/>
      <c r="D153" s="155"/>
      <c r="E153" s="155"/>
      <c r="F153" s="155" t="s">
        <v>138</v>
      </c>
      <c r="G153" s="155"/>
      <c r="H153" s="43"/>
      <c r="I153" s="43"/>
      <c r="J153" s="146">
        <v>30988</v>
      </c>
      <c r="K153" s="162"/>
    </row>
    <row r="154" spans="1:11" x14ac:dyDescent="0.25">
      <c r="A154" s="155"/>
      <c r="B154" s="155"/>
      <c r="C154" s="155"/>
      <c r="D154" s="155"/>
      <c r="E154" s="155"/>
      <c r="F154" s="155" t="s">
        <v>178</v>
      </c>
      <c r="G154" s="43"/>
      <c r="H154" s="43"/>
      <c r="I154" s="43"/>
      <c r="J154" s="145"/>
      <c r="K154" s="161"/>
    </row>
    <row r="155" spans="1:11" x14ac:dyDescent="0.25">
      <c r="A155" s="155"/>
      <c r="B155" s="155"/>
      <c r="C155" s="155"/>
      <c r="D155" s="155"/>
      <c r="E155" s="155"/>
      <c r="F155" s="155"/>
      <c r="G155" s="43" t="s">
        <v>197</v>
      </c>
      <c r="H155" s="43"/>
      <c r="I155" s="43"/>
      <c r="J155" s="145"/>
      <c r="K155" s="161"/>
    </row>
    <row r="156" spans="1:11" ht="15.75" thickBot="1" x14ac:dyDescent="0.3">
      <c r="A156" s="155"/>
      <c r="B156" s="155"/>
      <c r="C156" s="155"/>
      <c r="D156" s="155"/>
      <c r="E156" s="155"/>
      <c r="F156" s="155"/>
      <c r="G156" s="43"/>
      <c r="H156" s="43" t="s">
        <v>198</v>
      </c>
      <c r="I156" s="43"/>
      <c r="J156" s="146">
        <v>9494.25</v>
      </c>
      <c r="K156" s="162"/>
    </row>
    <row r="157" spans="1:11" x14ac:dyDescent="0.25">
      <c r="A157" s="155"/>
      <c r="B157" s="155"/>
      <c r="C157" s="155"/>
      <c r="D157" s="155"/>
      <c r="E157" s="155"/>
      <c r="F157" s="155"/>
      <c r="G157" s="43"/>
      <c r="H157" s="43" t="s">
        <v>199</v>
      </c>
      <c r="I157" s="43"/>
      <c r="J157" s="145">
        <v>6387</v>
      </c>
      <c r="K157" s="161"/>
    </row>
    <row r="158" spans="1:11" ht="30" customHeight="1" x14ac:dyDescent="0.25">
      <c r="A158" s="155"/>
      <c r="B158" s="155"/>
      <c r="C158" s="155"/>
      <c r="D158" s="155"/>
      <c r="E158" s="155"/>
      <c r="F158" s="155"/>
      <c r="G158" s="155"/>
      <c r="H158" s="155" t="s">
        <v>200</v>
      </c>
      <c r="I158" s="155"/>
      <c r="J158" s="138">
        <v>250</v>
      </c>
      <c r="K158" s="161"/>
    </row>
    <row r="159" spans="1:11" x14ac:dyDescent="0.25">
      <c r="A159" s="155"/>
      <c r="B159" s="155"/>
      <c r="C159" s="155"/>
      <c r="D159" s="155"/>
      <c r="E159" s="155"/>
      <c r="F159" s="155"/>
      <c r="G159" s="155" t="s">
        <v>201</v>
      </c>
      <c r="H159" s="155"/>
      <c r="I159" s="155"/>
      <c r="J159" s="138">
        <v>16131.25</v>
      </c>
      <c r="K159" s="161"/>
    </row>
    <row r="160" spans="1:11" ht="15.75" thickBot="1" x14ac:dyDescent="0.3">
      <c r="A160" s="155"/>
      <c r="B160" s="155"/>
      <c r="C160" s="155"/>
      <c r="D160" s="155"/>
      <c r="E160" s="155"/>
      <c r="F160" s="155"/>
      <c r="G160" s="155" t="s">
        <v>179</v>
      </c>
      <c r="H160" s="155"/>
      <c r="I160" s="155"/>
      <c r="J160" s="139"/>
      <c r="K160" s="162"/>
    </row>
    <row r="161" spans="1:11" ht="15.75" thickBot="1" x14ac:dyDescent="0.3">
      <c r="A161" s="155"/>
      <c r="B161" s="155"/>
      <c r="C161" s="155"/>
      <c r="D161" s="155"/>
      <c r="E161" s="155"/>
      <c r="F161" s="155"/>
      <c r="G161" s="155"/>
      <c r="H161" s="155" t="s">
        <v>180</v>
      </c>
      <c r="I161" s="155"/>
      <c r="J161" s="141">
        <v>96220</v>
      </c>
      <c r="K161" s="162"/>
    </row>
    <row r="162" spans="1:11" ht="30" customHeight="1" x14ac:dyDescent="0.25">
      <c r="A162" s="155"/>
      <c r="B162" s="155"/>
      <c r="C162" s="155"/>
      <c r="D162" s="155"/>
      <c r="E162" s="155"/>
      <c r="F162" s="155"/>
      <c r="G162" s="155"/>
      <c r="H162" s="155" t="s">
        <v>181</v>
      </c>
      <c r="I162" s="155"/>
      <c r="J162" s="142">
        <v>21020</v>
      </c>
      <c r="K162" s="161"/>
    </row>
    <row r="163" spans="1:11" ht="30" customHeight="1" x14ac:dyDescent="0.25">
      <c r="A163" s="155"/>
      <c r="B163" s="155"/>
      <c r="C163" s="155"/>
      <c r="D163" s="155"/>
      <c r="E163" s="155"/>
      <c r="F163" s="155"/>
      <c r="G163" s="155" t="s">
        <v>182</v>
      </c>
      <c r="H163" s="155"/>
      <c r="I163" s="155"/>
      <c r="J163" s="138">
        <v>117240</v>
      </c>
      <c r="K163" s="161"/>
    </row>
    <row r="164" spans="1:11" x14ac:dyDescent="0.25">
      <c r="A164" s="155"/>
      <c r="B164" s="155"/>
      <c r="C164" s="155"/>
      <c r="D164" s="155"/>
      <c r="E164" s="155"/>
      <c r="F164" s="155"/>
      <c r="G164" s="155" t="s">
        <v>202</v>
      </c>
      <c r="H164" s="155"/>
      <c r="I164" s="155"/>
      <c r="J164" s="138"/>
      <c r="K164" s="161"/>
    </row>
    <row r="165" spans="1:11" x14ac:dyDescent="0.25">
      <c r="A165" s="155"/>
      <c r="B165" s="155"/>
      <c r="C165" s="155"/>
      <c r="D165" s="155"/>
      <c r="E165" s="155"/>
      <c r="F165" s="155"/>
      <c r="G165" s="155"/>
      <c r="H165" s="155" t="s">
        <v>203</v>
      </c>
      <c r="I165" s="155"/>
      <c r="J165" s="138">
        <v>1615</v>
      </c>
      <c r="K165" s="161"/>
    </row>
    <row r="166" spans="1:11" ht="15.75" thickBot="1" x14ac:dyDescent="0.3">
      <c r="A166" s="155"/>
      <c r="B166" s="155"/>
      <c r="C166" s="155"/>
      <c r="D166" s="155"/>
      <c r="E166" s="155"/>
      <c r="F166" s="155"/>
      <c r="G166" s="155"/>
      <c r="H166" s="155" t="s">
        <v>204</v>
      </c>
      <c r="I166" s="155"/>
      <c r="J166" s="143">
        <v>25</v>
      </c>
      <c r="K166" s="162"/>
    </row>
    <row r="167" spans="1:11" x14ac:dyDescent="0.25">
      <c r="A167" s="155"/>
      <c r="B167" s="155"/>
      <c r="C167" s="155"/>
      <c r="D167" s="155"/>
      <c r="E167" s="155"/>
      <c r="F167" s="155"/>
      <c r="G167" s="155"/>
      <c r="H167" s="155" t="s">
        <v>477</v>
      </c>
      <c r="I167" s="155"/>
      <c r="J167" s="138">
        <v>50000</v>
      </c>
      <c r="K167" s="161"/>
    </row>
    <row r="168" spans="1:11" ht="30" customHeight="1" x14ac:dyDescent="0.25">
      <c r="A168" s="155"/>
      <c r="B168" s="155"/>
      <c r="C168" s="155"/>
      <c r="D168" s="155"/>
      <c r="E168" s="155"/>
      <c r="F168" s="155"/>
      <c r="G168" s="155" t="s">
        <v>205</v>
      </c>
      <c r="H168" s="155"/>
      <c r="I168" s="155"/>
      <c r="J168" s="138">
        <v>51640</v>
      </c>
      <c r="K168" s="161"/>
    </row>
    <row r="169" spans="1:11" x14ac:dyDescent="0.25">
      <c r="A169" s="155"/>
      <c r="B169" s="155"/>
      <c r="C169" s="155"/>
      <c r="D169" s="155"/>
      <c r="E169" s="155"/>
      <c r="F169" s="155" t="s">
        <v>183</v>
      </c>
      <c r="G169" s="155"/>
      <c r="H169" s="155"/>
      <c r="I169" s="155"/>
      <c r="J169" s="138">
        <v>185011.25</v>
      </c>
      <c r="K169" s="161"/>
    </row>
    <row r="170" spans="1:11" x14ac:dyDescent="0.25">
      <c r="A170" s="155"/>
      <c r="B170" s="155"/>
      <c r="C170" s="155"/>
      <c r="D170" s="155"/>
      <c r="E170" s="155"/>
      <c r="F170" s="155" t="s">
        <v>206</v>
      </c>
      <c r="G170" s="155"/>
      <c r="H170" s="155"/>
      <c r="I170" s="155"/>
      <c r="J170" s="138"/>
      <c r="K170" s="161"/>
    </row>
    <row r="171" spans="1:11" x14ac:dyDescent="0.25">
      <c r="A171" s="155"/>
      <c r="B171" s="155"/>
      <c r="C171" s="155"/>
      <c r="D171" s="155"/>
      <c r="E171" s="155"/>
      <c r="F171" s="155"/>
      <c r="G171" s="155" t="s">
        <v>184</v>
      </c>
      <c r="H171" s="155"/>
      <c r="I171" s="155"/>
      <c r="J171" s="138"/>
      <c r="K171" s="161"/>
    </row>
    <row r="172" spans="1:11" ht="15.75" thickBot="1" x14ac:dyDescent="0.3">
      <c r="A172" s="155"/>
      <c r="B172" s="155"/>
      <c r="C172" s="155"/>
      <c r="D172" s="155"/>
      <c r="E172" s="155"/>
      <c r="F172" s="155"/>
      <c r="G172" s="155"/>
      <c r="H172" s="155" t="s">
        <v>464</v>
      </c>
      <c r="I172" s="155"/>
      <c r="J172" s="139">
        <v>54264</v>
      </c>
      <c r="K172" s="162"/>
    </row>
    <row r="173" spans="1:11" ht="15.75" thickBot="1" x14ac:dyDescent="0.3">
      <c r="A173" s="155"/>
      <c r="B173" s="155"/>
      <c r="C173" s="155"/>
      <c r="D173" s="155"/>
      <c r="E173" s="155"/>
      <c r="F173" s="155"/>
      <c r="G173" s="155"/>
      <c r="H173" s="155" t="s">
        <v>185</v>
      </c>
      <c r="I173" s="155"/>
      <c r="J173" s="141"/>
      <c r="K173" s="162"/>
    </row>
    <row r="174" spans="1:11" ht="30" customHeight="1" x14ac:dyDescent="0.25">
      <c r="A174" s="155"/>
      <c r="B174" s="155"/>
      <c r="C174" s="155"/>
      <c r="D174" s="155"/>
      <c r="E174" s="155"/>
      <c r="F174" s="155"/>
      <c r="G174" s="155"/>
      <c r="H174" s="155"/>
      <c r="I174" s="155" t="s">
        <v>262</v>
      </c>
      <c r="J174" s="142">
        <v>33119</v>
      </c>
      <c r="K174" s="161"/>
    </row>
    <row r="175" spans="1:11" ht="30" customHeight="1" x14ac:dyDescent="0.25">
      <c r="A175" s="155"/>
      <c r="B175" s="155"/>
      <c r="C175" s="155"/>
      <c r="D175" s="155"/>
      <c r="E175" s="155"/>
      <c r="F175" s="155"/>
      <c r="G175" s="155"/>
      <c r="H175" s="155" t="s">
        <v>263</v>
      </c>
      <c r="I175" s="155"/>
      <c r="J175" s="138">
        <v>33119</v>
      </c>
      <c r="K175" s="161"/>
    </row>
    <row r="176" spans="1:11" x14ac:dyDescent="0.25">
      <c r="A176" s="155"/>
      <c r="B176" s="155"/>
      <c r="C176" s="155"/>
      <c r="D176" s="155"/>
      <c r="E176" s="155"/>
      <c r="F176" s="155"/>
      <c r="G176" s="155" t="s">
        <v>186</v>
      </c>
      <c r="H176" s="155"/>
      <c r="I176" s="155"/>
      <c r="J176" s="138">
        <v>87383</v>
      </c>
      <c r="K176" s="161"/>
    </row>
    <row r="177" spans="1:11" x14ac:dyDescent="0.25">
      <c r="A177" s="155"/>
      <c r="B177" s="155"/>
      <c r="C177" s="155"/>
      <c r="D177" s="155"/>
      <c r="E177" s="155"/>
      <c r="F177" s="155"/>
      <c r="G177" s="155" t="s">
        <v>207</v>
      </c>
      <c r="H177" s="155"/>
      <c r="I177" s="155"/>
      <c r="J177" s="138"/>
      <c r="K177" s="161"/>
    </row>
    <row r="178" spans="1:11" x14ac:dyDescent="0.25">
      <c r="A178" s="155"/>
      <c r="B178" s="155"/>
      <c r="C178" s="155"/>
      <c r="D178" s="155"/>
      <c r="E178" s="155"/>
      <c r="F178" s="155"/>
      <c r="G178" s="155"/>
      <c r="H178" s="155" t="s">
        <v>211</v>
      </c>
      <c r="I178" s="155"/>
      <c r="J178" s="138">
        <v>199500</v>
      </c>
      <c r="K178" s="161"/>
    </row>
    <row r="179" spans="1:11" x14ac:dyDescent="0.25">
      <c r="A179" s="155"/>
      <c r="B179" s="155"/>
      <c r="C179" s="155"/>
      <c r="D179" s="155"/>
      <c r="E179" s="155"/>
      <c r="F179" s="155"/>
      <c r="G179" s="155" t="s">
        <v>208</v>
      </c>
      <c r="H179" s="155"/>
      <c r="I179" s="155"/>
      <c r="J179" s="138">
        <v>199500</v>
      </c>
      <c r="K179" s="161"/>
    </row>
    <row r="180" spans="1:11" ht="15.75" thickBot="1" x14ac:dyDescent="0.3">
      <c r="A180" s="155"/>
      <c r="B180" s="155"/>
      <c r="C180" s="155"/>
      <c r="D180" s="155"/>
      <c r="E180" s="155"/>
      <c r="F180" s="155"/>
      <c r="G180" s="155" t="s">
        <v>187</v>
      </c>
      <c r="H180" s="155"/>
      <c r="I180" s="155"/>
      <c r="J180" s="139"/>
      <c r="K180" s="162"/>
    </row>
    <row r="181" spans="1:11" ht="15.75" thickBot="1" x14ac:dyDescent="0.3">
      <c r="A181" s="155"/>
      <c r="B181" s="155"/>
      <c r="C181" s="155"/>
      <c r="D181" s="155"/>
      <c r="E181" s="155"/>
      <c r="F181" s="155"/>
      <c r="G181" s="155"/>
      <c r="H181" s="155" t="s">
        <v>209</v>
      </c>
      <c r="I181" s="155"/>
      <c r="J181" s="141">
        <v>90000</v>
      </c>
      <c r="K181" s="162"/>
    </row>
    <row r="182" spans="1:11" ht="30" customHeight="1" x14ac:dyDescent="0.25">
      <c r="A182" s="155"/>
      <c r="B182" s="155"/>
      <c r="C182" s="155"/>
      <c r="D182" s="155"/>
      <c r="E182" s="155"/>
      <c r="F182" s="155"/>
      <c r="G182" s="155" t="s">
        <v>188</v>
      </c>
      <c r="H182" s="155"/>
      <c r="I182" s="155"/>
      <c r="J182" s="138">
        <v>90000</v>
      </c>
      <c r="K182" s="161"/>
    </row>
    <row r="183" spans="1:11" ht="30" customHeight="1" x14ac:dyDescent="0.25">
      <c r="A183" s="155"/>
      <c r="B183" s="155"/>
      <c r="C183" s="155"/>
      <c r="D183" s="155"/>
      <c r="E183" s="155"/>
      <c r="F183" s="155"/>
      <c r="G183" s="155" t="s">
        <v>482</v>
      </c>
      <c r="H183" s="155"/>
      <c r="I183" s="155"/>
      <c r="J183" s="138">
        <v>1180</v>
      </c>
      <c r="K183" s="161"/>
    </row>
    <row r="184" spans="1:11" x14ac:dyDescent="0.25">
      <c r="A184" s="155"/>
      <c r="B184" s="155"/>
      <c r="C184" s="155"/>
      <c r="D184" s="155"/>
      <c r="E184" s="155"/>
      <c r="F184" s="155" t="s">
        <v>210</v>
      </c>
      <c r="G184" s="155"/>
      <c r="H184" s="155"/>
      <c r="I184" s="155"/>
      <c r="J184" s="138">
        <v>378063</v>
      </c>
      <c r="K184" s="161"/>
    </row>
    <row r="185" spans="1:11" x14ac:dyDescent="0.25">
      <c r="A185" s="155"/>
      <c r="B185" s="155"/>
      <c r="C185" s="155"/>
      <c r="D185" s="155"/>
      <c r="E185" s="155"/>
      <c r="F185" s="155" t="s">
        <v>465</v>
      </c>
      <c r="G185" s="155"/>
      <c r="H185" s="155"/>
      <c r="I185" s="155"/>
      <c r="J185" s="138"/>
      <c r="K185" s="161"/>
    </row>
    <row r="186" spans="1:11" ht="15.75" thickBot="1" x14ac:dyDescent="0.3">
      <c r="A186" s="155"/>
      <c r="B186" s="155"/>
      <c r="C186" s="155"/>
      <c r="D186" s="155"/>
      <c r="E186" s="155"/>
      <c r="F186" s="155"/>
      <c r="G186" s="155" t="s">
        <v>483</v>
      </c>
      <c r="H186" s="155"/>
      <c r="I186" s="155"/>
      <c r="J186" s="143">
        <v>935.5</v>
      </c>
      <c r="K186" s="162"/>
    </row>
    <row r="187" spans="1:11" x14ac:dyDescent="0.25">
      <c r="A187" s="155"/>
      <c r="B187" s="155"/>
      <c r="C187" s="155"/>
      <c r="D187" s="155"/>
      <c r="E187" s="155"/>
      <c r="F187" s="155"/>
      <c r="G187" s="155" t="s">
        <v>466</v>
      </c>
      <c r="H187" s="155"/>
      <c r="I187" s="155"/>
      <c r="J187" s="138">
        <v>54264</v>
      </c>
      <c r="K187" s="161"/>
    </row>
    <row r="188" spans="1:11" ht="30" customHeight="1" x14ac:dyDescent="0.25">
      <c r="A188" s="155"/>
      <c r="B188" s="155"/>
      <c r="C188" s="155"/>
      <c r="D188" s="155"/>
      <c r="E188" s="155"/>
      <c r="F188" s="155" t="s">
        <v>467</v>
      </c>
      <c r="G188" s="155"/>
      <c r="H188" s="155"/>
      <c r="I188" s="155"/>
      <c r="J188" s="138">
        <v>55199.5</v>
      </c>
      <c r="K188" s="161"/>
    </row>
    <row r="189" spans="1:11" ht="15.75" thickBot="1" x14ac:dyDescent="0.3">
      <c r="A189" s="155"/>
      <c r="B189" s="155"/>
      <c r="C189" s="155"/>
      <c r="D189" s="155"/>
      <c r="E189" s="155"/>
      <c r="F189" s="155" t="s">
        <v>139</v>
      </c>
      <c r="G189" s="155"/>
      <c r="H189" s="155"/>
      <c r="I189" s="155"/>
      <c r="J189" s="139"/>
      <c r="K189" s="162"/>
    </row>
    <row r="190" spans="1:11" ht="15.75" thickBot="1" x14ac:dyDescent="0.3">
      <c r="A190" s="155"/>
      <c r="B190" s="155"/>
      <c r="C190" s="155"/>
      <c r="D190" s="155"/>
      <c r="E190" s="155"/>
      <c r="F190" s="155"/>
      <c r="G190" s="155" t="s">
        <v>468</v>
      </c>
      <c r="H190" s="155"/>
      <c r="I190" s="155"/>
      <c r="J190" s="141"/>
      <c r="K190" s="162"/>
    </row>
    <row r="191" spans="1:11" ht="30" customHeight="1" x14ac:dyDescent="0.25">
      <c r="A191" s="155"/>
      <c r="B191" s="155"/>
      <c r="C191" s="155"/>
      <c r="D191" s="155"/>
      <c r="E191" s="155"/>
      <c r="F191" s="155"/>
      <c r="G191" s="155"/>
      <c r="H191" s="155" t="s">
        <v>140</v>
      </c>
      <c r="I191" s="155"/>
      <c r="J191" s="142">
        <v>450000</v>
      </c>
      <c r="K191" s="161"/>
    </row>
    <row r="192" spans="1:11" ht="30" customHeight="1" x14ac:dyDescent="0.25">
      <c r="A192" s="155"/>
      <c r="B192" s="155"/>
      <c r="C192" s="155"/>
      <c r="D192" s="155"/>
      <c r="E192" s="155"/>
      <c r="F192" s="155"/>
      <c r="G192" s="155" t="s">
        <v>469</v>
      </c>
      <c r="H192" s="155"/>
      <c r="I192" s="155"/>
      <c r="J192" s="138">
        <v>450000</v>
      </c>
      <c r="K192" s="161"/>
    </row>
    <row r="193" spans="1:11" ht="15.75" thickBot="1" x14ac:dyDescent="0.3">
      <c r="A193" s="155"/>
      <c r="B193" s="155"/>
      <c r="C193" s="155"/>
      <c r="D193" s="155"/>
      <c r="E193" s="155"/>
      <c r="F193" s="155"/>
      <c r="G193" s="155" t="s">
        <v>141</v>
      </c>
      <c r="H193" s="155"/>
      <c r="I193" s="155"/>
      <c r="J193" s="143"/>
      <c r="K193" s="162"/>
    </row>
    <row r="194" spans="1:11" x14ac:dyDescent="0.25">
      <c r="A194" s="155"/>
      <c r="B194" s="155"/>
      <c r="C194" s="155"/>
      <c r="D194" s="155"/>
      <c r="E194" s="155"/>
      <c r="F194" s="155"/>
      <c r="G194" s="155"/>
      <c r="H194" s="155" t="s">
        <v>142</v>
      </c>
      <c r="I194" s="155"/>
      <c r="J194" s="142">
        <v>12000</v>
      </c>
      <c r="K194" s="161"/>
    </row>
    <row r="195" spans="1:11" ht="30" customHeight="1" x14ac:dyDescent="0.25">
      <c r="A195" s="155"/>
      <c r="B195" s="155"/>
      <c r="C195" s="155"/>
      <c r="D195" s="155"/>
      <c r="E195" s="155"/>
      <c r="F195" s="155"/>
      <c r="G195" s="155"/>
      <c r="H195" s="155" t="s">
        <v>143</v>
      </c>
      <c r="I195" s="155"/>
      <c r="J195" s="138">
        <v>156563</v>
      </c>
      <c r="K195" s="161"/>
    </row>
    <row r="196" spans="1:11" x14ac:dyDescent="0.25">
      <c r="A196" s="155"/>
      <c r="B196" s="155"/>
      <c r="C196" s="155"/>
      <c r="D196" s="155"/>
      <c r="E196" s="155"/>
      <c r="F196" s="155"/>
      <c r="G196" s="155"/>
      <c r="H196" s="155" t="s">
        <v>470</v>
      </c>
      <c r="I196" s="155"/>
      <c r="J196" s="138">
        <v>16200</v>
      </c>
      <c r="K196" s="161"/>
    </row>
    <row r="197" spans="1:11" ht="15.75" thickBot="1" x14ac:dyDescent="0.3">
      <c r="A197" s="155"/>
      <c r="B197" s="155"/>
      <c r="C197" s="155"/>
      <c r="D197" s="155"/>
      <c r="E197" s="155"/>
      <c r="F197" s="155"/>
      <c r="G197" s="155"/>
      <c r="H197" s="155" t="s">
        <v>144</v>
      </c>
      <c r="I197" s="155"/>
      <c r="J197" s="143">
        <v>33877</v>
      </c>
      <c r="K197" s="162"/>
    </row>
    <row r="198" spans="1:11" x14ac:dyDescent="0.25">
      <c r="A198" s="155"/>
      <c r="B198" s="155"/>
      <c r="C198" s="155"/>
      <c r="D198" s="155"/>
      <c r="E198" s="155"/>
      <c r="F198" s="155"/>
      <c r="G198" s="155"/>
      <c r="H198" s="155" t="s">
        <v>145</v>
      </c>
      <c r="I198" s="155"/>
      <c r="J198" s="142">
        <v>14450</v>
      </c>
      <c r="K198" s="161"/>
    </row>
    <row r="199" spans="1:11" ht="30" customHeight="1" x14ac:dyDescent="0.25">
      <c r="A199" s="155"/>
      <c r="B199" s="155"/>
      <c r="C199" s="155"/>
      <c r="D199" s="155"/>
      <c r="E199" s="155"/>
      <c r="F199" s="155"/>
      <c r="G199" s="155"/>
      <c r="H199" s="155" t="s">
        <v>146</v>
      </c>
      <c r="I199" s="155"/>
      <c r="J199" s="138">
        <v>3230</v>
      </c>
      <c r="K199" s="161"/>
    </row>
    <row r="200" spans="1:11" x14ac:dyDescent="0.25">
      <c r="A200" s="155"/>
      <c r="B200" s="155"/>
      <c r="C200" s="155"/>
      <c r="D200" s="155"/>
      <c r="E200" s="155"/>
      <c r="F200" s="155"/>
      <c r="G200" s="155"/>
      <c r="H200" s="155" t="s">
        <v>484</v>
      </c>
      <c r="I200" s="155"/>
      <c r="J200" s="138">
        <v>16187</v>
      </c>
      <c r="K200" s="161"/>
    </row>
    <row r="201" spans="1:11" x14ac:dyDescent="0.25">
      <c r="A201" s="155"/>
      <c r="B201" s="155"/>
      <c r="C201" s="155"/>
      <c r="D201" s="155"/>
      <c r="E201" s="155"/>
      <c r="F201" s="155"/>
      <c r="G201" s="155"/>
      <c r="H201" s="155" t="s">
        <v>147</v>
      </c>
      <c r="I201" s="155"/>
      <c r="J201" s="138">
        <v>1200</v>
      </c>
      <c r="K201" s="161"/>
    </row>
    <row r="202" spans="1:11" x14ac:dyDescent="0.25">
      <c r="A202" s="155"/>
      <c r="B202" s="155"/>
      <c r="C202" s="155"/>
      <c r="D202" s="155"/>
      <c r="E202" s="155"/>
      <c r="F202" s="155"/>
      <c r="G202" s="155" t="s">
        <v>148</v>
      </c>
      <c r="H202" s="155"/>
      <c r="I202" s="155"/>
      <c r="J202" s="138">
        <v>253707</v>
      </c>
      <c r="K202" s="161"/>
    </row>
    <row r="203" spans="1:11" ht="15.75" thickBot="1" x14ac:dyDescent="0.3">
      <c r="A203" s="155"/>
      <c r="B203" s="155"/>
      <c r="C203" s="155"/>
      <c r="D203" s="155"/>
      <c r="E203" s="155"/>
      <c r="F203" s="155"/>
      <c r="G203" s="155" t="s">
        <v>149</v>
      </c>
      <c r="H203" s="155"/>
      <c r="I203" s="155"/>
      <c r="J203" s="143"/>
      <c r="K203" s="162"/>
    </row>
    <row r="204" spans="1:11" x14ac:dyDescent="0.25">
      <c r="A204" s="155"/>
      <c r="B204" s="155"/>
      <c r="C204" s="155"/>
      <c r="D204" s="155"/>
      <c r="E204" s="155"/>
      <c r="F204" s="155"/>
      <c r="G204" s="155"/>
      <c r="H204" s="155" t="s">
        <v>150</v>
      </c>
      <c r="I204" s="155"/>
      <c r="J204" s="138">
        <v>7554.41</v>
      </c>
      <c r="K204" s="161"/>
    </row>
    <row r="205" spans="1:11" ht="30" customHeight="1" x14ac:dyDescent="0.25">
      <c r="A205" s="155"/>
      <c r="B205" s="155"/>
      <c r="C205" s="155"/>
      <c r="D205" s="155"/>
      <c r="E205" s="155"/>
      <c r="F205" s="155"/>
      <c r="G205" s="155"/>
      <c r="H205" s="155" t="s">
        <v>151</v>
      </c>
      <c r="I205" s="155"/>
      <c r="J205" s="138">
        <v>-2604.44</v>
      </c>
      <c r="K205" s="161"/>
    </row>
    <row r="206" spans="1:11" x14ac:dyDescent="0.25">
      <c r="A206" s="155"/>
      <c r="B206" s="155"/>
      <c r="C206" s="155"/>
      <c r="D206" s="155"/>
      <c r="E206" s="155"/>
      <c r="F206" s="155"/>
      <c r="G206" s="155"/>
      <c r="H206" s="155" t="s">
        <v>152</v>
      </c>
      <c r="I206" s="155"/>
      <c r="J206" s="138">
        <v>15053.02</v>
      </c>
      <c r="K206" s="161"/>
    </row>
    <row r="207" spans="1:11" x14ac:dyDescent="0.25">
      <c r="A207" s="155"/>
      <c r="B207" s="155"/>
      <c r="C207" s="155"/>
      <c r="D207" s="155"/>
      <c r="E207" s="155"/>
      <c r="F207" s="155"/>
      <c r="G207" s="155"/>
      <c r="H207" s="155" t="s">
        <v>471</v>
      </c>
      <c r="I207" s="155"/>
      <c r="J207" s="138">
        <v>28061.26</v>
      </c>
      <c r="K207" s="161"/>
    </row>
    <row r="208" spans="1:11" x14ac:dyDescent="0.25">
      <c r="A208" s="155"/>
      <c r="B208" s="155"/>
      <c r="C208" s="155"/>
      <c r="D208" s="155"/>
      <c r="E208" s="155"/>
      <c r="F208" s="155"/>
      <c r="G208" s="155"/>
      <c r="H208" s="155" t="s">
        <v>472</v>
      </c>
      <c r="I208" s="155"/>
      <c r="J208" s="138">
        <v>3655.73</v>
      </c>
      <c r="K208" s="161"/>
    </row>
    <row r="209" spans="1:11" ht="15.75" thickBot="1" x14ac:dyDescent="0.3">
      <c r="A209" s="155"/>
      <c r="B209" s="155"/>
      <c r="C209" s="155"/>
      <c r="D209" s="155"/>
      <c r="E209" s="155"/>
      <c r="F209" s="155"/>
      <c r="G209" s="155" t="s">
        <v>153</v>
      </c>
      <c r="H209" s="155"/>
      <c r="I209" s="155"/>
      <c r="J209" s="143">
        <v>51719.98</v>
      </c>
      <c r="K209" s="162"/>
    </row>
    <row r="210" spans="1:11" x14ac:dyDescent="0.25">
      <c r="A210" s="155"/>
      <c r="B210" s="155"/>
      <c r="C210" s="155"/>
      <c r="D210" s="155"/>
      <c r="E210" s="155"/>
      <c r="F210" s="155"/>
      <c r="G210" s="155" t="s">
        <v>154</v>
      </c>
      <c r="H210" s="155"/>
      <c r="I210" s="155"/>
      <c r="J210" s="142"/>
      <c r="K210" s="161"/>
    </row>
    <row r="211" spans="1:11" ht="30" customHeight="1" x14ac:dyDescent="0.25">
      <c r="A211" s="155"/>
      <c r="B211" s="155"/>
      <c r="C211" s="155"/>
      <c r="D211" s="155"/>
      <c r="E211" s="155"/>
      <c r="F211" s="155"/>
      <c r="G211" s="155"/>
      <c r="H211" s="155" t="s">
        <v>155</v>
      </c>
      <c r="I211" s="155"/>
      <c r="J211" s="138">
        <v>7711.2</v>
      </c>
      <c r="K211" s="161"/>
    </row>
    <row r="212" spans="1:11" x14ac:dyDescent="0.25">
      <c r="A212" s="155"/>
      <c r="B212" s="155"/>
      <c r="C212" s="155"/>
      <c r="D212" s="155"/>
      <c r="E212" s="155"/>
      <c r="F212" s="155"/>
      <c r="G212" s="155"/>
      <c r="H212" s="155" t="s">
        <v>156</v>
      </c>
      <c r="I212" s="155"/>
      <c r="J212" s="138">
        <v>13114.65</v>
      </c>
      <c r="K212" s="161"/>
    </row>
    <row r="213" spans="1:11" x14ac:dyDescent="0.25">
      <c r="A213" s="155"/>
      <c r="B213" s="155"/>
      <c r="C213" s="155"/>
      <c r="D213" s="155"/>
      <c r="E213" s="155"/>
      <c r="F213" s="155"/>
      <c r="G213" s="155"/>
      <c r="H213" s="155" t="s">
        <v>157</v>
      </c>
      <c r="I213" s="155"/>
      <c r="J213" s="138">
        <v>140000</v>
      </c>
      <c r="K213" s="161"/>
    </row>
    <row r="214" spans="1:11" x14ac:dyDescent="0.25">
      <c r="A214" s="155"/>
      <c r="B214" s="155"/>
      <c r="C214" s="155"/>
      <c r="D214" s="155"/>
      <c r="E214" s="155"/>
      <c r="F214" s="155"/>
      <c r="G214" s="155"/>
      <c r="H214" s="155" t="s">
        <v>158</v>
      </c>
      <c r="I214" s="155"/>
      <c r="J214" s="138">
        <v>104248.3</v>
      </c>
      <c r="K214" s="161"/>
    </row>
    <row r="215" spans="1:11" x14ac:dyDescent="0.25">
      <c r="A215" s="155"/>
      <c r="B215" s="155"/>
      <c r="C215" s="155"/>
      <c r="D215" s="155"/>
      <c r="E215" s="155"/>
      <c r="F215" s="155"/>
      <c r="G215" s="155" t="s">
        <v>159</v>
      </c>
      <c r="H215" s="155"/>
      <c r="I215" s="155"/>
      <c r="J215" s="138">
        <v>265074.15000000002</v>
      </c>
      <c r="K215" s="161"/>
    </row>
    <row r="216" spans="1:11" x14ac:dyDescent="0.25">
      <c r="A216" s="155"/>
      <c r="B216" s="155"/>
      <c r="C216" s="155"/>
      <c r="D216" s="155"/>
      <c r="E216" s="155"/>
      <c r="F216" s="155"/>
      <c r="G216" s="155" t="s">
        <v>160</v>
      </c>
      <c r="H216" s="155"/>
      <c r="I216" s="155"/>
      <c r="J216" s="138"/>
      <c r="K216" s="161"/>
    </row>
    <row r="217" spans="1:11" ht="15.75" thickBot="1" x14ac:dyDescent="0.3">
      <c r="A217" s="155"/>
      <c r="B217" s="155"/>
      <c r="C217" s="155"/>
      <c r="D217" s="155"/>
      <c r="E217" s="155"/>
      <c r="F217" s="155"/>
      <c r="G217" s="155"/>
      <c r="H217" s="155" t="s">
        <v>161</v>
      </c>
      <c r="I217" s="155"/>
      <c r="J217" s="143">
        <v>31187</v>
      </c>
      <c r="K217" s="162"/>
    </row>
    <row r="218" spans="1:11" x14ac:dyDescent="0.25">
      <c r="A218" s="155"/>
      <c r="B218" s="155"/>
      <c r="C218" s="155"/>
      <c r="D218" s="155"/>
      <c r="E218" s="155"/>
      <c r="F218" s="155"/>
      <c r="G218" s="155"/>
      <c r="H218" s="155" t="s">
        <v>162</v>
      </c>
      <c r="I218" s="155"/>
      <c r="J218" s="142">
        <v>29266</v>
      </c>
      <c r="K218" s="161"/>
    </row>
    <row r="219" spans="1:11" ht="30" customHeight="1" x14ac:dyDescent="0.25">
      <c r="A219" s="155"/>
      <c r="B219" s="155"/>
      <c r="C219" s="155"/>
      <c r="D219" s="155"/>
      <c r="E219" s="155"/>
      <c r="F219" s="155"/>
      <c r="G219" s="155"/>
      <c r="H219" s="155" t="s">
        <v>485</v>
      </c>
      <c r="I219" s="155"/>
      <c r="J219" s="138"/>
      <c r="K219" s="161"/>
    </row>
    <row r="220" spans="1:11" x14ac:dyDescent="0.25">
      <c r="A220" s="155"/>
      <c r="B220" s="155"/>
      <c r="C220" s="155"/>
      <c r="D220" s="155"/>
      <c r="E220" s="155"/>
      <c r="F220" s="155"/>
      <c r="G220" s="155"/>
      <c r="H220" s="155"/>
      <c r="I220" s="155" t="s">
        <v>486</v>
      </c>
      <c r="J220" s="138">
        <v>2216</v>
      </c>
      <c r="K220" s="161"/>
    </row>
    <row r="221" spans="1:11" x14ac:dyDescent="0.25">
      <c r="A221" s="155"/>
      <c r="B221" s="155"/>
      <c r="C221" s="155"/>
      <c r="D221" s="155"/>
      <c r="E221" s="155"/>
      <c r="F221" s="155"/>
      <c r="G221" s="155"/>
      <c r="H221" s="155"/>
      <c r="I221" s="155" t="s">
        <v>487</v>
      </c>
      <c r="J221" s="138">
        <v>13000</v>
      </c>
      <c r="K221" s="161"/>
    </row>
    <row r="222" spans="1:11" x14ac:dyDescent="0.25">
      <c r="A222" s="155"/>
      <c r="B222" s="155"/>
      <c r="C222" s="155"/>
      <c r="D222" s="155"/>
      <c r="E222" s="155"/>
      <c r="F222" s="155"/>
      <c r="G222" s="155"/>
      <c r="H222" s="155"/>
      <c r="I222" s="155" t="s">
        <v>488</v>
      </c>
      <c r="J222" s="138">
        <v>4000</v>
      </c>
      <c r="K222" s="161"/>
    </row>
    <row r="223" spans="1:11" ht="15.75" thickBot="1" x14ac:dyDescent="0.3">
      <c r="A223" s="155"/>
      <c r="B223" s="155"/>
      <c r="C223" s="155"/>
      <c r="D223" s="155"/>
      <c r="E223" s="155"/>
      <c r="F223" s="155"/>
      <c r="G223" s="155"/>
      <c r="H223" s="155" t="s">
        <v>489</v>
      </c>
      <c r="I223" s="155"/>
      <c r="J223" s="143">
        <v>19216</v>
      </c>
      <c r="K223" s="162"/>
    </row>
    <row r="224" spans="1:11" x14ac:dyDescent="0.25">
      <c r="A224" s="155"/>
      <c r="B224" s="155"/>
      <c r="C224" s="155"/>
      <c r="D224" s="155"/>
      <c r="E224" s="155"/>
      <c r="F224" s="155"/>
      <c r="G224" s="155" t="s">
        <v>163</v>
      </c>
      <c r="H224" s="155"/>
      <c r="I224" s="155"/>
      <c r="J224" s="142">
        <v>79669</v>
      </c>
      <c r="K224" s="161"/>
    </row>
    <row r="225" spans="1:11" ht="30" customHeight="1" x14ac:dyDescent="0.25">
      <c r="A225" s="155"/>
      <c r="B225" s="155"/>
      <c r="C225" s="155"/>
      <c r="D225" s="155"/>
      <c r="E225" s="155"/>
      <c r="F225" s="155"/>
      <c r="G225" s="155" t="s">
        <v>167</v>
      </c>
      <c r="H225" s="155"/>
      <c r="I225" s="155"/>
      <c r="J225" s="138"/>
      <c r="K225" s="161"/>
    </row>
    <row r="226" spans="1:11" x14ac:dyDescent="0.25">
      <c r="A226" s="155"/>
      <c r="B226" s="155"/>
      <c r="C226" s="155"/>
      <c r="D226" s="155"/>
      <c r="E226" s="155"/>
      <c r="F226" s="155"/>
      <c r="G226" s="155"/>
      <c r="H226" s="155" t="s">
        <v>168</v>
      </c>
      <c r="I226" s="155"/>
      <c r="J226" s="138">
        <v>53795.93</v>
      </c>
      <c r="K226" s="161"/>
    </row>
    <row r="227" spans="1:11" ht="15.75" thickBot="1" x14ac:dyDescent="0.3">
      <c r="A227" s="155"/>
      <c r="B227" s="155"/>
      <c r="C227" s="155"/>
      <c r="D227" s="155"/>
      <c r="E227" s="155"/>
      <c r="F227" s="155"/>
      <c r="G227" s="155"/>
      <c r="H227" s="155" t="s">
        <v>473</v>
      </c>
      <c r="I227" s="155"/>
      <c r="J227" s="143">
        <v>72862.64</v>
      </c>
      <c r="K227" s="162"/>
    </row>
    <row r="228" spans="1:11" x14ac:dyDescent="0.25">
      <c r="A228" s="155"/>
      <c r="B228" s="155"/>
      <c r="C228" s="155"/>
      <c r="D228" s="155"/>
      <c r="E228" s="155"/>
      <c r="F228" s="155"/>
      <c r="G228" s="155"/>
      <c r="H228" s="155" t="s">
        <v>169</v>
      </c>
      <c r="I228" s="155"/>
      <c r="J228" s="142">
        <v>1072282.76</v>
      </c>
      <c r="K228" s="161"/>
    </row>
    <row r="229" spans="1:11" ht="30" customHeight="1" x14ac:dyDescent="0.25">
      <c r="A229" s="155"/>
      <c r="B229" s="155"/>
      <c r="C229" s="155"/>
      <c r="D229" s="155"/>
      <c r="E229" s="155"/>
      <c r="F229" s="155"/>
      <c r="G229" s="155"/>
      <c r="H229" s="155" t="s">
        <v>490</v>
      </c>
      <c r="I229" s="155"/>
      <c r="J229" s="138">
        <v>97585.33</v>
      </c>
      <c r="K229" s="161"/>
    </row>
    <row r="230" spans="1:11" ht="15.75" thickBot="1" x14ac:dyDescent="0.3">
      <c r="A230" s="155"/>
      <c r="B230" s="155"/>
      <c r="C230" s="155"/>
      <c r="D230" s="155"/>
      <c r="E230" s="155"/>
      <c r="F230" s="155"/>
      <c r="G230" s="155"/>
      <c r="H230" s="155" t="s">
        <v>170</v>
      </c>
      <c r="I230" s="155"/>
      <c r="J230" s="143">
        <v>500</v>
      </c>
      <c r="K230" s="162"/>
    </row>
    <row r="231" spans="1:11" x14ac:dyDescent="0.25">
      <c r="A231" s="155"/>
      <c r="B231" s="155"/>
      <c r="C231" s="155"/>
      <c r="D231" s="155"/>
      <c r="E231" s="155"/>
      <c r="F231" s="155"/>
      <c r="G231" s="155" t="s">
        <v>172</v>
      </c>
      <c r="H231" s="155"/>
      <c r="I231" s="155"/>
      <c r="J231" s="142">
        <v>1297026.6599999999</v>
      </c>
      <c r="K231" s="161"/>
    </row>
    <row r="232" spans="1:11" ht="30" customHeight="1" x14ac:dyDescent="0.25">
      <c r="A232" s="155"/>
      <c r="B232" s="155"/>
      <c r="C232" s="155"/>
      <c r="D232" s="155"/>
      <c r="E232" s="155"/>
      <c r="F232" s="155" t="s">
        <v>173</v>
      </c>
      <c r="G232" s="155"/>
      <c r="H232" s="155"/>
      <c r="I232" s="155"/>
      <c r="J232" s="138">
        <v>2397196.79</v>
      </c>
      <c r="K232" s="161"/>
    </row>
    <row r="233" spans="1:11" x14ac:dyDescent="0.25">
      <c r="A233" s="155"/>
      <c r="B233" s="155"/>
      <c r="C233" s="155"/>
      <c r="D233" s="155"/>
      <c r="E233" s="155" t="s">
        <v>174</v>
      </c>
      <c r="F233" s="155"/>
      <c r="G233" s="155"/>
      <c r="H233" s="155"/>
      <c r="I233" s="155"/>
      <c r="J233" s="138">
        <v>4873997.2300000004</v>
      </c>
      <c r="K233" s="161"/>
    </row>
    <row r="234" spans="1:11" x14ac:dyDescent="0.25">
      <c r="A234" s="155"/>
      <c r="B234" s="155"/>
      <c r="C234" s="155"/>
      <c r="D234" s="155" t="s">
        <v>175</v>
      </c>
      <c r="E234" s="155"/>
      <c r="F234" s="155"/>
      <c r="G234" s="155"/>
      <c r="H234" s="155"/>
      <c r="I234" s="155"/>
      <c r="J234" s="138">
        <v>4873997.2300000004</v>
      </c>
      <c r="K234" s="161"/>
    </row>
    <row r="235" spans="1:11" x14ac:dyDescent="0.25">
      <c r="A235" s="155"/>
      <c r="B235" s="155" t="s">
        <v>176</v>
      </c>
      <c r="C235" s="155"/>
      <c r="D235" s="155"/>
      <c r="E235" s="155"/>
      <c r="F235" s="155"/>
      <c r="G235" s="155"/>
      <c r="H235" s="155"/>
      <c r="I235" s="155"/>
      <c r="J235" s="139">
        <v>-703551.76</v>
      </c>
      <c r="K235" s="162"/>
    </row>
    <row r="236" spans="1:11" ht="15.75" thickBot="1" x14ac:dyDescent="0.3">
      <c r="A236" s="155"/>
      <c r="B236" s="155"/>
      <c r="C236" s="155"/>
      <c r="D236" s="155"/>
      <c r="E236" s="155"/>
      <c r="F236" s="155"/>
      <c r="G236" s="155"/>
      <c r="H236" s="155"/>
      <c r="I236" s="155"/>
      <c r="J236" s="142">
        <v>-703551.76</v>
      </c>
      <c r="K236" s="161"/>
    </row>
    <row r="237" spans="1:11" ht="30" customHeight="1" thickBot="1" x14ac:dyDescent="0.3">
      <c r="A237" s="155"/>
      <c r="B237" s="155"/>
      <c r="C237" s="155"/>
      <c r="D237" s="155"/>
      <c r="E237" s="155"/>
      <c r="F237" s="155"/>
      <c r="G237" s="155"/>
      <c r="H237" s="155"/>
      <c r="I237" s="155"/>
      <c r="J237" s="140"/>
      <c r="K237" s="162"/>
    </row>
    <row r="238" spans="1:11" ht="30" customHeight="1" thickBot="1" x14ac:dyDescent="0.3">
      <c r="A238" s="155"/>
      <c r="B238" s="155"/>
      <c r="C238" s="155"/>
      <c r="D238" s="155"/>
      <c r="E238" s="155"/>
      <c r="F238" s="155"/>
      <c r="G238" s="155"/>
      <c r="H238" s="155"/>
      <c r="I238" s="155"/>
      <c r="J238" s="140"/>
      <c r="K238" s="162"/>
    </row>
    <row r="239" spans="1:11" ht="30" customHeight="1" thickBot="1" x14ac:dyDescent="0.3">
      <c r="A239" s="155"/>
      <c r="B239" s="155"/>
      <c r="C239" s="155"/>
      <c r="D239" s="155"/>
      <c r="E239" s="155"/>
      <c r="F239" s="155"/>
      <c r="G239" s="155"/>
      <c r="H239" s="155"/>
      <c r="I239" s="155"/>
      <c r="J239" s="141"/>
      <c r="K239" s="162"/>
    </row>
    <row r="240" spans="1:11" ht="30" customHeight="1" x14ac:dyDescent="0.25">
      <c r="A240" s="155"/>
      <c r="B240" s="155"/>
      <c r="C240" s="155"/>
      <c r="D240" s="155"/>
      <c r="E240" s="155"/>
      <c r="F240" s="155"/>
      <c r="G240" s="155"/>
      <c r="H240" s="155"/>
      <c r="I240" s="155"/>
      <c r="J240" s="138"/>
      <c r="K240" s="161"/>
    </row>
    <row r="241" spans="1:13" ht="30" customHeight="1" x14ac:dyDescent="0.25">
      <c r="A241" s="155"/>
      <c r="B241" s="155"/>
      <c r="C241" s="155"/>
      <c r="D241" s="155"/>
      <c r="E241" s="155"/>
      <c r="F241" s="155"/>
      <c r="G241" s="155"/>
      <c r="H241" s="155"/>
      <c r="I241" s="155"/>
      <c r="J241" s="138"/>
      <c r="K241" s="161"/>
    </row>
    <row r="242" spans="1:13" x14ac:dyDescent="0.25">
      <c r="A242" s="155"/>
      <c r="B242" s="155"/>
      <c r="C242" s="155"/>
      <c r="D242" s="155"/>
      <c r="E242" s="155"/>
      <c r="F242" s="155"/>
      <c r="G242" s="155"/>
      <c r="H242" s="155"/>
      <c r="I242" s="155"/>
      <c r="J242" s="138"/>
      <c r="K242" s="161"/>
    </row>
    <row r="243" spans="1:13" x14ac:dyDescent="0.25">
      <c r="A243" s="155"/>
      <c r="B243" s="155"/>
      <c r="C243" s="155"/>
      <c r="D243" s="155"/>
      <c r="E243" s="155"/>
      <c r="F243" s="155"/>
      <c r="G243" s="155"/>
      <c r="H243" s="155"/>
      <c r="I243" s="155"/>
      <c r="J243" s="138"/>
      <c r="K243" s="161"/>
    </row>
    <row r="244" spans="1:13" ht="15.75" thickBot="1" x14ac:dyDescent="0.3">
      <c r="A244" s="155"/>
      <c r="B244" s="155"/>
      <c r="C244" s="155"/>
      <c r="D244" s="155"/>
      <c r="E244" s="155"/>
      <c r="F244" s="155"/>
      <c r="G244" s="155"/>
      <c r="H244" s="155"/>
      <c r="I244" s="155"/>
      <c r="J244" s="139"/>
      <c r="K244" s="162"/>
    </row>
    <row r="245" spans="1:13" ht="15.75" thickBot="1" x14ac:dyDescent="0.3">
      <c r="A245" s="155"/>
      <c r="B245" s="155"/>
      <c r="C245" s="155"/>
      <c r="D245" s="155"/>
      <c r="E245" s="155"/>
      <c r="F245" s="155"/>
      <c r="G245" s="155"/>
      <c r="H245" s="155"/>
      <c r="I245" s="155"/>
      <c r="J245" s="140"/>
      <c r="K245" s="162"/>
    </row>
    <row r="246" spans="1:13" ht="30" customHeight="1" thickBot="1" x14ac:dyDescent="0.3">
      <c r="A246" s="155"/>
      <c r="B246" s="155"/>
      <c r="C246" s="155"/>
      <c r="D246" s="155"/>
      <c r="E246" s="155"/>
      <c r="F246" s="155"/>
      <c r="G246" s="155"/>
      <c r="H246" s="155"/>
      <c r="I246" s="155"/>
      <c r="J246" s="140"/>
      <c r="K246" s="162"/>
    </row>
    <row r="247" spans="1:13" ht="30" customHeight="1" thickBot="1" x14ac:dyDescent="0.3">
      <c r="A247" s="155"/>
      <c r="B247" s="155"/>
      <c r="C247" s="155"/>
      <c r="D247" s="155"/>
      <c r="E247" s="155"/>
      <c r="F247" s="155"/>
      <c r="G247" s="155"/>
      <c r="H247" s="155"/>
      <c r="I247" s="155"/>
      <c r="J247" s="140"/>
      <c r="K247" s="162"/>
    </row>
    <row r="248" spans="1:13" s="156" customFormat="1" ht="30" customHeight="1" thickBot="1" x14ac:dyDescent="0.25">
      <c r="A248" s="155" t="s">
        <v>177</v>
      </c>
      <c r="B248" s="155"/>
      <c r="C248" s="155"/>
      <c r="D248" s="155"/>
      <c r="E248" s="155"/>
      <c r="F248" s="155"/>
      <c r="G248" s="155"/>
      <c r="H248" s="155"/>
      <c r="I248" s="155"/>
      <c r="J248" s="147"/>
      <c r="K248" s="163"/>
    </row>
    <row r="249" spans="1:13" ht="15.75" thickTop="1" x14ac:dyDescent="0.25"/>
    <row r="251" spans="1:13" x14ac:dyDescent="0.25">
      <c r="A251" s="133" t="s">
        <v>396</v>
      </c>
      <c r="B251" s="133"/>
      <c r="C251" s="133"/>
    </row>
    <row r="252" spans="1:13" x14ac:dyDescent="0.25">
      <c r="E252" s="157"/>
      <c r="F252" s="157"/>
      <c r="G252" s="157"/>
      <c r="H252" s="157"/>
      <c r="I252" s="157"/>
      <c r="J252" s="148"/>
      <c r="K252" s="160"/>
    </row>
    <row r="253" spans="1:13" ht="15.75" thickBot="1" x14ac:dyDescent="0.3">
      <c r="E253" s="157"/>
      <c r="F253" s="157"/>
      <c r="G253" s="157"/>
      <c r="H253" s="157"/>
      <c r="I253" s="157"/>
      <c r="J253" s="149"/>
      <c r="K253" s="165"/>
      <c r="L253" s="104"/>
      <c r="M253" s="104"/>
    </row>
    <row r="254" spans="1:13" ht="15.75" thickTop="1" x14ac:dyDescent="0.25">
      <c r="E254" s="155"/>
      <c r="F254" s="155"/>
      <c r="G254" s="155"/>
      <c r="H254" s="155"/>
      <c r="I254" s="155"/>
      <c r="J254" s="138"/>
      <c r="K254" s="161"/>
      <c r="L254" s="104"/>
      <c r="M254" s="104"/>
    </row>
    <row r="255" spans="1:13" x14ac:dyDescent="0.25">
      <c r="E255" s="155"/>
      <c r="F255" s="155"/>
      <c r="G255" s="155"/>
      <c r="H255" s="155"/>
      <c r="I255" s="155"/>
      <c r="J255" s="138"/>
      <c r="K255" s="161"/>
      <c r="L255" s="104"/>
      <c r="M255" s="104"/>
    </row>
    <row r="256" spans="1:13" x14ac:dyDescent="0.25">
      <c r="E256" s="155"/>
      <c r="F256" s="155"/>
      <c r="G256" s="155"/>
      <c r="H256" s="155"/>
      <c r="I256" s="155"/>
      <c r="J256" s="138"/>
      <c r="K256" s="161"/>
      <c r="L256" s="104"/>
      <c r="M256" s="104"/>
    </row>
    <row r="257" spans="5:13" s="154" customFormat="1" x14ac:dyDescent="0.25">
      <c r="E257" s="155"/>
      <c r="F257" s="155"/>
      <c r="G257" s="155"/>
      <c r="H257" s="43"/>
      <c r="I257" s="43"/>
      <c r="J257" s="44"/>
      <c r="K257" s="164"/>
      <c r="L257" s="104"/>
      <c r="M257" s="104"/>
    </row>
    <row r="258" spans="5:13" s="154" customFormat="1" x14ac:dyDescent="0.25">
      <c r="E258" s="155"/>
      <c r="F258" s="155"/>
      <c r="G258" s="155"/>
      <c r="H258" s="155"/>
      <c r="I258" s="155"/>
      <c r="J258" s="138"/>
      <c r="K258" s="161"/>
      <c r="L258" s="104"/>
      <c r="M258" s="104"/>
    </row>
    <row r="259" spans="5:13" s="154" customFormat="1" x14ac:dyDescent="0.25">
      <c r="E259" s="155"/>
      <c r="F259" s="155"/>
      <c r="G259" s="155"/>
      <c r="H259" s="155"/>
      <c r="I259" s="155"/>
      <c r="J259" s="139"/>
      <c r="K259" s="162"/>
      <c r="L259" s="104"/>
      <c r="M259" s="104"/>
    </row>
    <row r="260" spans="5:13" s="154" customFormat="1" x14ac:dyDescent="0.25">
      <c r="E260" s="155"/>
      <c r="F260" s="155"/>
      <c r="G260" s="25"/>
      <c r="H260" s="25"/>
      <c r="I260" s="25"/>
      <c r="J260" s="150"/>
      <c r="K260" s="161"/>
      <c r="L260" s="104"/>
      <c r="M260" s="104"/>
    </row>
    <row r="261" spans="5:13" s="154" customFormat="1" x14ac:dyDescent="0.25">
      <c r="E261" s="155"/>
      <c r="F261" s="155"/>
      <c r="G261" s="25"/>
      <c r="H261" s="25"/>
      <c r="I261" s="25"/>
      <c r="J261" s="150"/>
      <c r="K261" s="161"/>
      <c r="L261" s="104"/>
      <c r="M261" s="104"/>
    </row>
    <row r="262" spans="5:13" s="154" customFormat="1" x14ac:dyDescent="0.25">
      <c r="E262" s="155"/>
      <c r="F262" s="155"/>
      <c r="G262" s="25"/>
      <c r="H262" s="25"/>
      <c r="I262" s="25"/>
      <c r="J262" s="150"/>
      <c r="K262" s="161"/>
    </row>
    <row r="263" spans="5:13" s="154" customFormat="1" x14ac:dyDescent="0.25">
      <c r="E263" s="155"/>
      <c r="F263" s="155"/>
      <c r="G263" s="25"/>
      <c r="H263" s="25"/>
      <c r="I263" s="25"/>
      <c r="J263" s="150"/>
      <c r="K263" s="161"/>
    </row>
    <row r="264" spans="5:13" s="154" customFormat="1" x14ac:dyDescent="0.25">
      <c r="E264" s="155"/>
      <c r="F264" s="155"/>
      <c r="G264" s="25"/>
      <c r="H264" s="25"/>
      <c r="I264" s="25"/>
      <c r="J264" s="150"/>
      <c r="K264" s="161"/>
    </row>
    <row r="265" spans="5:13" s="154" customFormat="1" ht="15.75" thickBot="1" x14ac:dyDescent="0.3">
      <c r="E265" s="155"/>
      <c r="F265" s="155"/>
      <c r="G265" s="25"/>
      <c r="H265" s="25"/>
      <c r="I265" s="25"/>
      <c r="J265" s="151"/>
      <c r="K265" s="162"/>
    </row>
    <row r="266" spans="5:13" s="154" customFormat="1" x14ac:dyDescent="0.25">
      <c r="E266" s="155"/>
      <c r="F266" s="155"/>
      <c r="G266" s="25"/>
      <c r="H266" s="25"/>
      <c r="I266" s="25"/>
      <c r="J266" s="150"/>
      <c r="K266" s="161"/>
    </row>
    <row r="267" spans="5:13" s="154" customFormat="1" x14ac:dyDescent="0.25">
      <c r="E267" s="155"/>
      <c r="F267" s="155"/>
      <c r="G267" s="25"/>
      <c r="H267" s="25"/>
      <c r="I267" s="25"/>
      <c r="J267" s="150"/>
      <c r="K267" s="161"/>
    </row>
    <row r="268" spans="5:13" s="154" customFormat="1" x14ac:dyDescent="0.25">
      <c r="E268" s="155"/>
      <c r="F268" s="155"/>
      <c r="G268" s="25"/>
      <c r="H268" s="25"/>
      <c r="I268" s="25"/>
      <c r="J268" s="150"/>
      <c r="K268" s="161"/>
    </row>
    <row r="269" spans="5:13" s="154" customFormat="1" x14ac:dyDescent="0.25">
      <c r="E269" s="155"/>
      <c r="F269" s="155"/>
      <c r="G269" s="25"/>
      <c r="H269" s="25"/>
      <c r="I269" s="25"/>
      <c r="J269" s="150"/>
      <c r="K269" s="161"/>
    </row>
    <row r="270" spans="5:13" s="154" customFormat="1" x14ac:dyDescent="0.25">
      <c r="E270" s="155"/>
      <c r="F270" s="155"/>
      <c r="G270" s="25"/>
      <c r="H270" s="25"/>
      <c r="I270" s="25"/>
      <c r="J270" s="150"/>
      <c r="K270" s="161"/>
    </row>
    <row r="271" spans="5:13" s="154" customFormat="1" ht="15.75" thickBot="1" x14ac:dyDescent="0.3">
      <c r="E271" s="155"/>
      <c r="F271" s="155"/>
      <c r="G271" s="25"/>
      <c r="H271" s="25"/>
      <c r="I271" s="25"/>
      <c r="J271" s="151"/>
      <c r="K271" s="162"/>
    </row>
    <row r="272" spans="5:13" s="154" customFormat="1" x14ac:dyDescent="0.25">
      <c r="E272" s="155"/>
      <c r="F272" s="155"/>
      <c r="G272" s="25"/>
      <c r="H272" s="25"/>
      <c r="I272" s="25"/>
      <c r="J272" s="150"/>
      <c r="K272" s="161"/>
    </row>
    <row r="273" spans="5:11" s="154" customFormat="1" x14ac:dyDescent="0.25">
      <c r="E273" s="155"/>
      <c r="F273" s="155"/>
      <c r="G273" s="25"/>
      <c r="H273" s="25"/>
      <c r="I273" s="25"/>
      <c r="J273" s="150"/>
      <c r="K273" s="161"/>
    </row>
    <row r="274" spans="5:11" s="154" customFormat="1" x14ac:dyDescent="0.25">
      <c r="E274" s="155"/>
      <c r="F274" s="155"/>
      <c r="G274" s="25"/>
      <c r="H274" s="25"/>
      <c r="I274" s="25"/>
      <c r="J274" s="150"/>
      <c r="K274" s="161"/>
    </row>
    <row r="275" spans="5:11" s="154" customFormat="1" x14ac:dyDescent="0.25">
      <c r="E275" s="155"/>
      <c r="F275" s="155"/>
      <c r="G275" s="25"/>
      <c r="H275" s="25"/>
      <c r="I275" s="25"/>
      <c r="J275" s="150"/>
      <c r="K275" s="161"/>
    </row>
    <row r="276" spans="5:11" s="154" customFormat="1" x14ac:dyDescent="0.25">
      <c r="E276" s="155"/>
      <c r="F276" s="155"/>
      <c r="G276" s="25"/>
      <c r="H276" s="25"/>
      <c r="I276" s="25"/>
      <c r="J276" s="150"/>
      <c r="K276" s="161"/>
    </row>
    <row r="277" spans="5:11" s="154" customFormat="1" ht="15.75" thickBot="1" x14ac:dyDescent="0.3">
      <c r="E277" s="155"/>
      <c r="F277" s="155"/>
      <c r="G277" s="25"/>
      <c r="H277" s="25"/>
      <c r="I277" s="25"/>
      <c r="J277" s="151"/>
      <c r="K277" s="162"/>
    </row>
    <row r="278" spans="5:11" s="154" customFormat="1" x14ac:dyDescent="0.25">
      <c r="E278" s="155"/>
      <c r="F278" s="155"/>
      <c r="G278" s="25"/>
      <c r="H278" s="25"/>
      <c r="I278" s="25"/>
      <c r="J278" s="150"/>
      <c r="K278" s="161"/>
    </row>
    <row r="279" spans="5:11" s="154" customFormat="1" x14ac:dyDescent="0.25">
      <c r="E279" s="155"/>
      <c r="F279" s="155"/>
      <c r="G279" s="25"/>
      <c r="H279" s="25"/>
      <c r="I279" s="25"/>
      <c r="J279" s="150"/>
      <c r="K279" s="161"/>
    </row>
    <row r="280" spans="5:11" s="154" customFormat="1" x14ac:dyDescent="0.25">
      <c r="E280" s="155"/>
      <c r="F280" s="155"/>
      <c r="G280" s="25"/>
      <c r="H280" s="25"/>
      <c r="I280" s="25"/>
      <c r="J280" s="150"/>
      <c r="K280" s="161"/>
    </row>
    <row r="281" spans="5:11" s="154" customFormat="1" x14ac:dyDescent="0.25">
      <c r="E281" s="155"/>
      <c r="F281" s="155"/>
      <c r="G281" s="25"/>
      <c r="H281" s="25"/>
      <c r="I281" s="25"/>
      <c r="J281" s="150"/>
      <c r="K281" s="161"/>
    </row>
    <row r="282" spans="5:11" s="154" customFormat="1" x14ac:dyDescent="0.25">
      <c r="E282" s="155"/>
      <c r="F282" s="155"/>
      <c r="G282" s="25"/>
      <c r="H282" s="25"/>
      <c r="I282" s="25"/>
      <c r="J282" s="150"/>
      <c r="K282" s="161"/>
    </row>
    <row r="283" spans="5:11" s="154" customFormat="1" ht="15.75" thickBot="1" x14ac:dyDescent="0.3">
      <c r="E283" s="155"/>
      <c r="F283" s="155"/>
      <c r="G283" s="25"/>
      <c r="H283" s="25"/>
      <c r="I283" s="25"/>
      <c r="J283" s="151"/>
      <c r="K283" s="162"/>
    </row>
    <row r="284" spans="5:11" s="154" customFormat="1" x14ac:dyDescent="0.25">
      <c r="E284" s="155"/>
      <c r="F284" s="155"/>
      <c r="G284" s="25"/>
      <c r="H284" s="25"/>
      <c r="I284" s="25"/>
      <c r="J284" s="150"/>
      <c r="K284" s="161"/>
    </row>
    <row r="285" spans="5:11" s="154" customFormat="1" x14ac:dyDescent="0.25">
      <c r="E285" s="155"/>
      <c r="F285" s="155"/>
      <c r="G285" s="25"/>
      <c r="H285" s="25"/>
      <c r="I285" s="25"/>
      <c r="J285" s="150"/>
      <c r="K285" s="161"/>
    </row>
    <row r="286" spans="5:11" s="154" customFormat="1" x14ac:dyDescent="0.25">
      <c r="E286" s="155"/>
      <c r="F286" s="155"/>
      <c r="G286" s="25"/>
      <c r="H286" s="25"/>
      <c r="I286" s="25"/>
      <c r="J286" s="150"/>
      <c r="K286" s="161"/>
    </row>
    <row r="287" spans="5:11" s="154" customFormat="1" x14ac:dyDescent="0.25">
      <c r="E287" s="155"/>
      <c r="F287" s="155"/>
      <c r="G287" s="25"/>
      <c r="H287" s="25"/>
      <c r="I287" s="25"/>
      <c r="J287" s="150"/>
      <c r="K287" s="161"/>
    </row>
    <row r="288" spans="5:11" s="154" customFormat="1" x14ac:dyDescent="0.25">
      <c r="E288" s="155"/>
      <c r="F288" s="155"/>
      <c r="G288" s="25"/>
      <c r="H288" s="25"/>
      <c r="I288" s="25"/>
      <c r="J288" s="150"/>
      <c r="K288" s="161"/>
    </row>
    <row r="289" spans="5:11" s="154" customFormat="1" ht="15.75" thickBot="1" x14ac:dyDescent="0.3">
      <c r="E289" s="155"/>
      <c r="F289" s="155"/>
      <c r="G289" s="25"/>
      <c r="H289" s="25"/>
      <c r="I289" s="25"/>
      <c r="J289" s="151"/>
      <c r="K289" s="162"/>
    </row>
    <row r="290" spans="5:11" s="154" customFormat="1" x14ac:dyDescent="0.25">
      <c r="E290" s="155"/>
      <c r="F290" s="155"/>
      <c r="G290" s="25"/>
      <c r="H290" s="25"/>
      <c r="I290" s="25"/>
      <c r="J290" s="150"/>
      <c r="K290" s="161"/>
    </row>
    <row r="291" spans="5:11" s="154" customFormat="1" x14ac:dyDescent="0.25">
      <c r="E291" s="155"/>
      <c r="F291" s="155"/>
      <c r="G291" s="25"/>
      <c r="H291" s="25"/>
      <c r="I291" s="25"/>
      <c r="J291" s="150"/>
      <c r="K291" s="161"/>
    </row>
    <row r="292" spans="5:11" s="154" customFormat="1" x14ac:dyDescent="0.25">
      <c r="E292" s="155"/>
      <c r="F292" s="155"/>
      <c r="G292" s="25"/>
      <c r="H292" s="25"/>
      <c r="I292" s="25"/>
      <c r="J292" s="150"/>
      <c r="K292" s="161"/>
    </row>
    <row r="293" spans="5:11" s="154" customFormat="1" x14ac:dyDescent="0.25">
      <c r="E293" s="155"/>
      <c r="F293" s="155"/>
      <c r="G293" s="25"/>
      <c r="H293" s="25"/>
      <c r="I293" s="25"/>
      <c r="J293" s="150"/>
      <c r="K293" s="161"/>
    </row>
    <row r="294" spans="5:11" s="154" customFormat="1" x14ac:dyDescent="0.25">
      <c r="E294" s="155"/>
      <c r="F294" s="155"/>
      <c r="G294" s="25"/>
      <c r="H294" s="25"/>
      <c r="I294" s="25"/>
      <c r="J294" s="150"/>
      <c r="K294" s="161"/>
    </row>
    <row r="295" spans="5:11" s="154" customFormat="1" ht="15.75" thickBot="1" x14ac:dyDescent="0.3">
      <c r="E295" s="155"/>
      <c r="F295" s="155"/>
      <c r="G295" s="25"/>
      <c r="H295" s="25"/>
      <c r="I295" s="25"/>
      <c r="J295" s="151"/>
      <c r="K295" s="162"/>
    </row>
    <row r="296" spans="5:11" s="154" customFormat="1" x14ac:dyDescent="0.25">
      <c r="E296" s="155"/>
      <c r="F296" s="155"/>
      <c r="G296" s="25"/>
      <c r="H296" s="25"/>
      <c r="I296" s="25"/>
      <c r="J296" s="150"/>
      <c r="K296" s="161"/>
    </row>
    <row r="297" spans="5:11" s="154" customFormat="1" x14ac:dyDescent="0.25">
      <c r="E297" s="155"/>
      <c r="F297" s="155"/>
      <c r="G297" s="25"/>
      <c r="H297" s="25"/>
      <c r="I297" s="25"/>
      <c r="J297" s="150"/>
      <c r="K297" s="161"/>
    </row>
    <row r="298" spans="5:11" s="154" customFormat="1" x14ac:dyDescent="0.25">
      <c r="E298" s="155"/>
      <c r="F298" s="155"/>
      <c r="G298" s="25"/>
      <c r="H298" s="25"/>
      <c r="I298" s="25"/>
      <c r="J298" s="150"/>
      <c r="K298" s="161"/>
    </row>
    <row r="299" spans="5:11" s="154" customFormat="1" x14ac:dyDescent="0.25">
      <c r="E299" s="155"/>
      <c r="F299" s="155"/>
      <c r="G299" s="25"/>
      <c r="H299" s="25"/>
      <c r="I299" s="25"/>
      <c r="J299" s="150"/>
      <c r="K299" s="161"/>
    </row>
    <row r="300" spans="5:11" s="154" customFormat="1" x14ac:dyDescent="0.25">
      <c r="E300" s="155"/>
      <c r="F300" s="155"/>
      <c r="G300" s="25"/>
      <c r="H300" s="25"/>
      <c r="I300" s="25"/>
      <c r="J300" s="150"/>
      <c r="K300" s="161"/>
    </row>
    <row r="301" spans="5:11" s="154" customFormat="1" ht="15.75" thickBot="1" x14ac:dyDescent="0.3">
      <c r="E301" s="155"/>
      <c r="F301" s="155"/>
      <c r="G301" s="25"/>
      <c r="H301" s="25"/>
      <c r="I301" s="25"/>
      <c r="J301" s="152"/>
      <c r="K301" s="162"/>
    </row>
    <row r="302" spans="5:11" s="154" customFormat="1" ht="15.75" thickBot="1" x14ac:dyDescent="0.3">
      <c r="E302" s="155"/>
      <c r="F302" s="155"/>
      <c r="G302" s="25"/>
      <c r="H302" s="25"/>
      <c r="I302" s="25"/>
      <c r="J302" s="153"/>
      <c r="K302" s="162"/>
    </row>
    <row r="303" spans="5:11" s="154" customFormat="1" ht="15.75" thickBot="1" x14ac:dyDescent="0.3">
      <c r="E303" s="155"/>
      <c r="F303" s="155"/>
      <c r="G303" s="25"/>
      <c r="H303" s="25"/>
      <c r="I303" s="25"/>
      <c r="J303" s="150"/>
      <c r="K303" s="161"/>
    </row>
    <row r="304" spans="5:11" s="154" customFormat="1" ht="15.75" thickBot="1" x14ac:dyDescent="0.3">
      <c r="E304" s="155"/>
      <c r="F304" s="155"/>
      <c r="G304" s="155"/>
      <c r="H304" s="155"/>
      <c r="I304" s="155"/>
      <c r="J304" s="140"/>
      <c r="K304" s="162"/>
    </row>
    <row r="305" spans="5:11" s="154" customFormat="1" ht="15.75" thickBot="1" x14ac:dyDescent="0.3">
      <c r="E305" s="155"/>
      <c r="F305" s="155"/>
      <c r="G305" s="155"/>
      <c r="H305" s="155"/>
      <c r="I305" s="155"/>
      <c r="J305" s="140"/>
      <c r="K305" s="162"/>
    </row>
    <row r="306" spans="5:11" s="154" customFormat="1" ht="15.75" thickBot="1" x14ac:dyDescent="0.3">
      <c r="E306" s="155"/>
      <c r="F306" s="155"/>
      <c r="G306" s="155"/>
      <c r="H306" s="155"/>
      <c r="I306" s="155"/>
      <c r="J306" s="147"/>
      <c r="K306" s="163"/>
    </row>
    <row r="307" spans="5:11" s="154" customFormat="1" ht="15.75" thickTop="1" x14ac:dyDescent="0.25">
      <c r="E307" s="159"/>
      <c r="F307" s="159"/>
      <c r="G307" s="159"/>
      <c r="H307" s="159"/>
      <c r="I307" s="159"/>
      <c r="J307" s="23"/>
      <c r="K307" s="164"/>
    </row>
  </sheetData>
  <pageMargins left="0.7" right="0.7" top="0.75" bottom="0.75" header="0.25" footer="0.3"/>
  <pageSetup orientation="portrait" horizontalDpi="4294967292" verticalDpi="0" r:id="rId1"/>
  <headerFooter>
    <oddHeader>&amp;L&amp;"Arial,Bold"&amp;8 2:07 AM
&amp;"Arial,Bold"&amp;8 03/09/15
&amp;"Arial,Bold"&amp;8 Accrual Basis&amp;C&amp;"Arial,Bold"&amp;12 Tropical Fish International (Pvt) Limited
&amp;"Arial,Bold"&amp;14 Profit &amp;&amp; Loss
&amp;"Arial,Bold"&amp;10 January 30 through February 26, 2015</oddHeader>
    <oddFooter>&amp;R&amp;"Arial,Bold"&amp;8 Page &amp;P of &amp;N</oddFooter>
  </headerFooter>
  <drawing r:id="rId2"/>
  <legacyDrawing r:id="rId3"/>
  <controls>
    <mc:AlternateContent xmlns:mc="http://schemas.openxmlformats.org/markup-compatibility/2006">
      <mc:Choice Requires="x14">
        <control shapeId="172033" r:id="rId4" name="FILTER">
          <controlPr defaultSize="0" autoLine="0" r:id="rId5">
            <anchor moveWithCells="1">
              <from>
                <xdr:col>0</xdr:col>
                <xdr:colOff>0</xdr:colOff>
                <xdr:row>0</xdr:row>
                <xdr:rowOff>0</xdr:rowOff>
              </from>
              <to>
                <xdr:col>4</xdr:col>
                <xdr:colOff>114300</xdr:colOff>
                <xdr:row>0</xdr:row>
                <xdr:rowOff>228600</xdr:rowOff>
              </to>
            </anchor>
          </controlPr>
        </control>
      </mc:Choice>
      <mc:Fallback>
        <control shapeId="172033" r:id="rId4" name="FILTER"/>
      </mc:Fallback>
    </mc:AlternateContent>
    <mc:AlternateContent xmlns:mc="http://schemas.openxmlformats.org/markup-compatibility/2006">
      <mc:Choice Requires="x14">
        <control shapeId="172034" r:id="rId6" name="HEADER">
          <controlPr defaultSize="0" autoLine="0" r:id="rId7">
            <anchor moveWithCells="1">
              <from>
                <xdr:col>0</xdr:col>
                <xdr:colOff>0</xdr:colOff>
                <xdr:row>0</xdr:row>
                <xdr:rowOff>0</xdr:rowOff>
              </from>
              <to>
                <xdr:col>4</xdr:col>
                <xdr:colOff>114300</xdr:colOff>
                <xdr:row>0</xdr:row>
                <xdr:rowOff>228600</xdr:rowOff>
              </to>
            </anchor>
          </controlPr>
        </control>
      </mc:Choice>
      <mc:Fallback>
        <control shapeId="172034" r:id="rId6" name="HEADER"/>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rgb="FF00B050"/>
  </sheetPr>
  <dimension ref="A1:L18"/>
  <sheetViews>
    <sheetView workbookViewId="0">
      <selection activeCell="A21" sqref="A21"/>
    </sheetView>
  </sheetViews>
  <sheetFormatPr defaultRowHeight="15" x14ac:dyDescent="0.25"/>
  <cols>
    <col min="1" max="1" width="37.140625" customWidth="1"/>
    <col min="2" max="2" width="7.5703125" style="4" customWidth="1"/>
    <col min="3" max="3" width="15.42578125" customWidth="1"/>
  </cols>
  <sheetData>
    <row r="1" spans="1:12" ht="23.25" x14ac:dyDescent="0.35">
      <c r="A1" s="13" t="s">
        <v>264</v>
      </c>
      <c r="B1" s="13"/>
      <c r="C1" s="4"/>
      <c r="D1" s="4"/>
      <c r="E1" s="4"/>
      <c r="F1" s="4"/>
      <c r="G1" s="4"/>
      <c r="H1" s="4"/>
      <c r="I1" s="4"/>
      <c r="J1" s="4"/>
      <c r="K1" s="4"/>
      <c r="L1" s="4"/>
    </row>
    <row r="2" spans="1:12" ht="18.75" x14ac:dyDescent="0.3">
      <c r="A2" s="81" t="s">
        <v>375</v>
      </c>
      <c r="B2" s="57"/>
      <c r="C2" s="4"/>
      <c r="D2" s="4"/>
      <c r="E2" s="4"/>
      <c r="F2" s="4"/>
      <c r="G2" s="4"/>
      <c r="H2" s="4"/>
      <c r="I2" s="4"/>
      <c r="J2" s="4"/>
      <c r="K2" s="4"/>
      <c r="L2" s="4"/>
    </row>
    <row r="3" spans="1:12" ht="26.25" x14ac:dyDescent="0.25">
      <c r="A3" s="1"/>
      <c r="B3" s="63" t="s">
        <v>376</v>
      </c>
      <c r="C3" s="40" t="s">
        <v>265</v>
      </c>
      <c r="D3" s="41"/>
      <c r="E3" s="41"/>
      <c r="F3" s="41"/>
      <c r="G3" s="41"/>
      <c r="H3" s="41"/>
      <c r="I3" s="41"/>
      <c r="J3" s="30"/>
      <c r="K3" s="73">
        <v>2015</v>
      </c>
      <c r="L3" s="126">
        <v>2015</v>
      </c>
    </row>
    <row r="4" spans="1:12" x14ac:dyDescent="0.25">
      <c r="A4" s="2"/>
      <c r="B4" s="2"/>
      <c r="C4" s="29"/>
      <c r="D4" s="29"/>
      <c r="E4" s="29"/>
      <c r="F4" s="29"/>
      <c r="G4" s="29"/>
      <c r="H4" s="29"/>
      <c r="I4" s="29"/>
      <c r="J4" s="29"/>
      <c r="K4" s="73" t="s">
        <v>266</v>
      </c>
      <c r="L4" s="126" t="s">
        <v>16</v>
      </c>
    </row>
    <row r="5" spans="1:12" x14ac:dyDescent="0.25">
      <c r="A5" s="3" t="s">
        <v>6</v>
      </c>
      <c r="B5" s="3"/>
      <c r="C5" s="31">
        <f>SUM('TeKSS - Jan 2nd to 29th'!G10)/130000</f>
        <v>28.942307692307693</v>
      </c>
      <c r="D5" s="31"/>
      <c r="E5" s="31"/>
      <c r="F5" s="31"/>
      <c r="G5" s="31"/>
      <c r="H5" s="31"/>
      <c r="I5" s="31"/>
      <c r="J5" s="31"/>
      <c r="K5" s="31">
        <f>SUM(C5:J5)</f>
        <v>28.942307692307693</v>
      </c>
      <c r="L5" s="32"/>
    </row>
    <row r="6" spans="1:12" x14ac:dyDescent="0.25">
      <c r="A6" s="3"/>
      <c r="B6" s="3"/>
      <c r="C6" s="31"/>
      <c r="D6" s="31"/>
      <c r="E6" s="31"/>
      <c r="F6" s="31"/>
      <c r="G6" s="31"/>
      <c r="H6" s="31"/>
      <c r="I6" s="31"/>
      <c r="J6" s="31"/>
      <c r="K6" s="31"/>
      <c r="L6" s="29"/>
    </row>
    <row r="7" spans="1:12" x14ac:dyDescent="0.25">
      <c r="A7" s="3" t="s">
        <v>10</v>
      </c>
      <c r="B7" s="3"/>
      <c r="C7" s="31" t="e">
        <f>SUM(#REF!+#REF!)/130/1000</f>
        <v>#REF!</v>
      </c>
      <c r="D7" s="31"/>
      <c r="E7" s="31"/>
      <c r="F7" s="31"/>
      <c r="G7" s="31"/>
      <c r="H7" s="31"/>
      <c r="I7" s="31"/>
      <c r="J7" s="31"/>
      <c r="K7" s="31" t="e">
        <f t="shared" ref="K7:K17" si="0">SUM(C7:J7)</f>
        <v>#REF!</v>
      </c>
      <c r="L7" s="29"/>
    </row>
    <row r="8" spans="1:12" x14ac:dyDescent="0.25">
      <c r="A8" s="3" t="s">
        <v>1</v>
      </c>
      <c r="B8" s="3"/>
      <c r="C8" s="33">
        <v>0</v>
      </c>
      <c r="D8" s="33"/>
      <c r="E8" s="33"/>
      <c r="F8" s="33"/>
      <c r="G8" s="33"/>
      <c r="H8" s="33"/>
      <c r="I8" s="33"/>
      <c r="J8" s="33"/>
      <c r="K8" s="33" t="e">
        <f>K7/$K$5</f>
        <v>#REF!</v>
      </c>
      <c r="L8" s="34"/>
    </row>
    <row r="9" spans="1:12" x14ac:dyDescent="0.25">
      <c r="A9" s="3" t="s">
        <v>11</v>
      </c>
      <c r="B9" s="80" t="s">
        <v>378</v>
      </c>
      <c r="C9" s="79">
        <f>SUM('TeKSS - Jan 2nd to 29th'!J9)/130/1000</f>
        <v>1.1964846115384618</v>
      </c>
      <c r="D9" s="31"/>
      <c r="E9" s="31"/>
      <c r="F9" s="31"/>
      <c r="G9" s="31"/>
      <c r="H9" s="31"/>
      <c r="I9" s="31"/>
      <c r="J9" s="31"/>
      <c r="K9" s="31">
        <f t="shared" si="0"/>
        <v>1.1964846115384618</v>
      </c>
      <c r="L9" s="29"/>
    </row>
    <row r="10" spans="1:12" x14ac:dyDescent="0.25">
      <c r="A10" s="3" t="s">
        <v>2</v>
      </c>
      <c r="B10" s="46"/>
      <c r="C10" s="33">
        <f>C9/$C$5</f>
        <v>4.1340332093023263E-2</v>
      </c>
      <c r="D10" s="33"/>
      <c r="E10" s="33"/>
      <c r="F10" s="33"/>
      <c r="G10" s="33"/>
      <c r="H10" s="33"/>
      <c r="I10" s="33"/>
      <c r="J10" s="33"/>
      <c r="K10" s="33">
        <f>K9/$K$5</f>
        <v>4.1340332093023263E-2</v>
      </c>
      <c r="L10" s="36"/>
    </row>
    <row r="11" spans="1:12" x14ac:dyDescent="0.25">
      <c r="A11" s="3" t="s">
        <v>19</v>
      </c>
      <c r="B11" s="3"/>
      <c r="C11" s="42" t="e">
        <f>SUM(C7+C9)</f>
        <v>#REF!</v>
      </c>
      <c r="D11" s="31"/>
      <c r="E11" s="31"/>
      <c r="F11" s="31"/>
      <c r="G11" s="31"/>
      <c r="H11" s="31"/>
      <c r="I11" s="31"/>
      <c r="J11" s="31"/>
      <c r="K11" s="31" t="e">
        <f t="shared" si="0"/>
        <v>#REF!</v>
      </c>
      <c r="L11" s="29"/>
    </row>
    <row r="12" spans="1:12" x14ac:dyDescent="0.25">
      <c r="A12" s="3" t="s">
        <v>3</v>
      </c>
      <c r="B12" s="3"/>
      <c r="C12" s="33" t="e">
        <f>C11/$C$5</f>
        <v>#REF!</v>
      </c>
      <c r="D12" s="33"/>
      <c r="E12" s="33"/>
      <c r="F12" s="33"/>
      <c r="G12" s="33"/>
      <c r="H12" s="33"/>
      <c r="I12" s="33"/>
      <c r="J12" s="33"/>
      <c r="K12" s="33" t="e">
        <f>K11/$K$5</f>
        <v>#REF!</v>
      </c>
      <c r="L12" s="36"/>
    </row>
    <row r="13" spans="1:12" x14ac:dyDescent="0.25">
      <c r="A13" s="3"/>
      <c r="B13" s="3"/>
      <c r="C13" s="31"/>
      <c r="D13" s="31"/>
      <c r="E13" s="31"/>
      <c r="F13" s="31"/>
      <c r="G13" s="31"/>
      <c r="H13" s="31"/>
      <c r="I13" s="31"/>
      <c r="J13" s="31"/>
      <c r="K13" s="31"/>
      <c r="L13" s="29"/>
    </row>
    <row r="14" spans="1:12" x14ac:dyDescent="0.25">
      <c r="A14" s="3" t="s">
        <v>4</v>
      </c>
      <c r="B14" s="80" t="s">
        <v>379</v>
      </c>
      <c r="C14" s="79">
        <f>SUM('TeKSS - Jan 2nd to 29th'!J22)/130/1000</f>
        <v>6.2731366500000005</v>
      </c>
      <c r="D14" s="31"/>
      <c r="E14" s="31"/>
      <c r="F14" s="31"/>
      <c r="G14" s="31"/>
      <c r="H14" s="31"/>
      <c r="I14" s="31"/>
      <c r="J14" s="31"/>
      <c r="K14" s="31">
        <f t="shared" si="0"/>
        <v>6.2731366500000005</v>
      </c>
      <c r="L14" s="29"/>
    </row>
    <row r="15" spans="1:12" x14ac:dyDescent="0.25">
      <c r="A15" s="3" t="s">
        <v>7</v>
      </c>
      <c r="B15" s="3"/>
      <c r="C15" s="33">
        <f>C14/C5</f>
        <v>0.21674624970099668</v>
      </c>
      <c r="D15" s="33"/>
      <c r="E15" s="33"/>
      <c r="F15" s="33"/>
      <c r="G15" s="33"/>
      <c r="H15" s="33"/>
      <c r="I15" s="33"/>
      <c r="J15" s="33"/>
      <c r="K15" s="33">
        <f>K14/$K$5</f>
        <v>0.21674624970099668</v>
      </c>
      <c r="L15" s="36"/>
    </row>
    <row r="16" spans="1:12" x14ac:dyDescent="0.25">
      <c r="A16" s="3"/>
      <c r="B16" s="3"/>
      <c r="C16" s="31"/>
      <c r="D16" s="31"/>
      <c r="E16" s="31"/>
      <c r="F16" s="31"/>
      <c r="G16" s="31"/>
      <c r="H16" s="31"/>
      <c r="I16" s="31"/>
      <c r="J16" s="31"/>
      <c r="K16" s="31"/>
      <c r="L16" s="29"/>
    </row>
    <row r="17" spans="1:12" x14ac:dyDescent="0.25">
      <c r="A17" s="3" t="s">
        <v>8</v>
      </c>
      <c r="B17" s="3"/>
      <c r="C17" s="31">
        <f>SUM('TeKSS - Jan 2nd to 29th'!G11-'TeKSS - Jan 2nd to 29th'!J9-'TeKSS - Jan 2nd to 29th'!J22)/130/1000</f>
        <v>21.47268643076923</v>
      </c>
      <c r="D17" s="31"/>
      <c r="E17" s="31"/>
      <c r="F17" s="31"/>
      <c r="G17" s="31"/>
      <c r="H17" s="31"/>
      <c r="I17" s="31"/>
      <c r="J17" s="31"/>
      <c r="K17" s="39">
        <f t="shared" si="0"/>
        <v>21.47268643076923</v>
      </c>
      <c r="L17" s="29"/>
    </row>
    <row r="18" spans="1:12" x14ac:dyDescent="0.25">
      <c r="A18" s="3" t="s">
        <v>9</v>
      </c>
      <c r="B18" s="3"/>
      <c r="C18" s="33">
        <f>C17/C5</f>
        <v>0.74191341820598</v>
      </c>
      <c r="D18" s="33"/>
      <c r="E18" s="33"/>
      <c r="F18" s="33"/>
      <c r="G18" s="33"/>
      <c r="H18" s="33"/>
      <c r="I18" s="33"/>
      <c r="J18" s="33"/>
      <c r="K18" s="33">
        <f>K17/$K$5</f>
        <v>0.74191341820598</v>
      </c>
      <c r="L18" s="34"/>
    </row>
  </sheetData>
  <pageMargins left="0.7" right="0.7" top="0.75" bottom="0.75" header="0.3" footer="0.3"/>
  <ignoredErrors>
    <ignoredError sqref="B9:C10 B15:C15 B11:B14" numberStoredAsText="1"/>
    <ignoredError sqref="K8:K17" formula="1"/>
    <ignoredError sqref="C11:C14" numberStoredAsText="1" formula="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50"/>
  </sheetPr>
  <dimension ref="A1:T29"/>
  <sheetViews>
    <sheetView tabSelected="1" zoomScaleNormal="100" workbookViewId="0">
      <pane xSplit="1" topLeftCell="B1" activePane="topRight" state="frozen"/>
      <selection activeCell="A4" sqref="A4"/>
      <selection pane="topRight" activeCell="K9" sqref="K9"/>
    </sheetView>
  </sheetViews>
  <sheetFormatPr defaultRowHeight="15" x14ac:dyDescent="0.25"/>
  <cols>
    <col min="1" max="1" width="26.5703125" style="4" customWidth="1"/>
    <col min="2" max="2" width="7.85546875" style="4" customWidth="1"/>
    <col min="3" max="3" width="8.140625" style="4" customWidth="1"/>
    <col min="4" max="4" width="9.140625" style="4" customWidth="1"/>
    <col min="5" max="5" width="5" style="154" bestFit="1" customWidth="1"/>
    <col min="6" max="6" width="11.140625" style="154" bestFit="1" customWidth="1"/>
    <col min="7" max="7" width="12.5703125" style="154" bestFit="1" customWidth="1"/>
    <col min="8" max="8" width="13.42578125" style="154" bestFit="1" customWidth="1"/>
    <col min="9" max="9" width="12" style="154" bestFit="1" customWidth="1"/>
    <col min="10" max="15" width="13.42578125" style="154" customWidth="1"/>
    <col min="16" max="16" width="9.140625" style="154" customWidth="1"/>
    <col min="17" max="17" width="9.140625" style="4"/>
    <col min="18" max="18" width="2.42578125" style="4" customWidth="1"/>
    <col min="19" max="19" width="39.28515625" style="4" bestFit="1" customWidth="1"/>
    <col min="20" max="16384" width="9.140625" style="4"/>
  </cols>
  <sheetData>
    <row r="1" spans="1:19" ht="23.25" x14ac:dyDescent="0.35">
      <c r="A1" s="13" t="s">
        <v>508</v>
      </c>
      <c r="D1" s="166"/>
      <c r="F1" s="166"/>
      <c r="G1" s="166"/>
      <c r="H1" s="166"/>
      <c r="I1" s="166"/>
      <c r="J1" s="166"/>
      <c r="K1" s="166"/>
      <c r="L1" s="166"/>
      <c r="M1" s="166"/>
      <c r="N1" s="166"/>
      <c r="O1" s="166"/>
      <c r="P1" s="166"/>
    </row>
    <row r="2" spans="1:19" ht="18.75" x14ac:dyDescent="0.3">
      <c r="A2" s="127" t="s">
        <v>374</v>
      </c>
    </row>
    <row r="3" spans="1:19" s="154" customFormat="1" ht="9" customHeight="1" x14ac:dyDescent="0.3">
      <c r="A3" s="127"/>
    </row>
    <row r="4" spans="1:19" s="154" customFormat="1" x14ac:dyDescent="0.25">
      <c r="A4" s="211" t="s">
        <v>615</v>
      </c>
      <c r="F4" s="195">
        <v>146.07</v>
      </c>
      <c r="G4" s="195">
        <v>146.4</v>
      </c>
      <c r="H4" s="195">
        <v>146.78</v>
      </c>
      <c r="I4" s="195">
        <v>147.35</v>
      </c>
      <c r="J4" s="154">
        <v>147.56</v>
      </c>
      <c r="K4" s="154">
        <v>146.33000000000001</v>
      </c>
      <c r="L4" s="195">
        <v>147.72999999999999</v>
      </c>
      <c r="M4" s="195">
        <v>147.27000000000001</v>
      </c>
      <c r="N4" s="195">
        <v>147.30000000000001</v>
      </c>
      <c r="O4" s="195">
        <v>146.9</v>
      </c>
    </row>
    <row r="5" spans="1:19" x14ac:dyDescent="0.25">
      <c r="A5" s="1"/>
      <c r="B5" s="22">
        <v>2013</v>
      </c>
      <c r="C5" s="22">
        <v>2014</v>
      </c>
      <c r="D5" s="22">
        <v>2015</v>
      </c>
      <c r="E5" s="22" t="s">
        <v>613</v>
      </c>
      <c r="F5" s="182" t="s">
        <v>679</v>
      </c>
      <c r="G5" s="212" t="s">
        <v>616</v>
      </c>
      <c r="H5" s="223" t="s">
        <v>652</v>
      </c>
      <c r="I5" s="228" t="s">
        <v>664</v>
      </c>
      <c r="J5" s="233" t="s">
        <v>682</v>
      </c>
      <c r="K5" s="240" t="s">
        <v>687</v>
      </c>
      <c r="L5" s="317" t="s">
        <v>735</v>
      </c>
      <c r="M5" s="318" t="s">
        <v>737</v>
      </c>
      <c r="N5" s="321" t="s">
        <v>743</v>
      </c>
      <c r="O5" s="325" t="s">
        <v>752</v>
      </c>
      <c r="P5" s="22">
        <v>2016</v>
      </c>
      <c r="Q5" s="22">
        <v>2016</v>
      </c>
      <c r="R5" s="129"/>
      <c r="S5" s="130"/>
    </row>
    <row r="6" spans="1:19" s="158" customFormat="1" x14ac:dyDescent="0.25">
      <c r="A6" s="169"/>
      <c r="B6" s="73" t="s">
        <v>5</v>
      </c>
      <c r="C6" s="73" t="s">
        <v>5</v>
      </c>
      <c r="D6" s="73" t="s">
        <v>266</v>
      </c>
      <c r="E6" s="73"/>
      <c r="F6" s="73" t="s">
        <v>614</v>
      </c>
      <c r="G6" s="73" t="s">
        <v>659</v>
      </c>
      <c r="H6" s="73" t="s">
        <v>660</v>
      </c>
      <c r="I6" s="73" t="s">
        <v>678</v>
      </c>
      <c r="J6" s="73" t="s">
        <v>683</v>
      </c>
      <c r="K6" s="73" t="s">
        <v>686</v>
      </c>
      <c r="L6" s="73" t="s">
        <v>736</v>
      </c>
      <c r="M6" s="73" t="s">
        <v>738</v>
      </c>
      <c r="N6" s="73" t="s">
        <v>751</v>
      </c>
      <c r="O6" s="73" t="s">
        <v>753</v>
      </c>
      <c r="P6" s="73" t="s">
        <v>5</v>
      </c>
      <c r="Q6" s="125" t="s">
        <v>16</v>
      </c>
    </row>
    <row r="7" spans="1:19" x14ac:dyDescent="0.25">
      <c r="A7" s="3" t="s">
        <v>6</v>
      </c>
      <c r="B7" s="37">
        <v>1234</v>
      </c>
      <c r="C7" s="31">
        <v>1395</v>
      </c>
      <c r="D7" s="31">
        <v>1224</v>
      </c>
      <c r="E7" s="31"/>
      <c r="F7" s="31">
        <f>('P1'!J10)/1000/F4</f>
        <v>95.55805380981721</v>
      </c>
      <c r="G7" s="31">
        <f>('P2'!J11+'P2'!J215)/1000/G4</f>
        <v>94.068114275956276</v>
      </c>
      <c r="H7" s="31">
        <f>('P3'!J12+'P3'!J211)/1000/H4</f>
        <v>139.27442437661807</v>
      </c>
      <c r="I7" s="31">
        <f>('P4'!J10)/1000/I4</f>
        <v>88.095825585341032</v>
      </c>
      <c r="J7" s="31">
        <f>('P5'!J14)/1000/J4</f>
        <v>140.12055529953918</v>
      </c>
      <c r="K7" s="31">
        <f>('P6'!J11)/1000/K4</f>
        <v>127.88360903437435</v>
      </c>
      <c r="L7" s="31">
        <f>('P7'!J14)/1000/L4</f>
        <v>132.33097935422731</v>
      </c>
      <c r="M7" s="31">
        <f>('P8'!J14)/1000/M4</f>
        <v>102.91788789026957</v>
      </c>
      <c r="N7" s="31">
        <f>(P9.!J14)/1000/N4</f>
        <v>125.1293152070604</v>
      </c>
      <c r="O7" s="31">
        <f>('P10'!J14)/1000/O4</f>
        <v>90.456819400953023</v>
      </c>
      <c r="P7" s="31">
        <f>SUM(F7:O7)</f>
        <v>1135.8355842341564</v>
      </c>
      <c r="Q7" s="32">
        <v>1600</v>
      </c>
    </row>
    <row r="8" spans="1:19" x14ac:dyDescent="0.25">
      <c r="A8" s="3"/>
      <c r="B8" s="37"/>
      <c r="C8" s="31"/>
      <c r="D8" s="31"/>
      <c r="E8" s="31"/>
      <c r="F8" s="31"/>
      <c r="G8" s="31"/>
      <c r="H8" s="31"/>
      <c r="I8" s="31"/>
      <c r="J8" s="31"/>
      <c r="K8" s="31"/>
      <c r="L8" s="31"/>
      <c r="M8" s="31"/>
      <c r="N8" s="31"/>
      <c r="O8" s="31"/>
      <c r="P8" s="31"/>
      <c r="Q8" s="29"/>
    </row>
    <row r="9" spans="1:19" x14ac:dyDescent="0.25">
      <c r="A9" s="3" t="s">
        <v>13</v>
      </c>
      <c r="B9" s="31">
        <v>430</v>
      </c>
      <c r="C9" s="31">
        <v>373</v>
      </c>
      <c r="D9" s="31">
        <v>386</v>
      </c>
      <c r="E9" s="31"/>
      <c r="F9" s="31">
        <f>('P1'!J53-'P1'!J43-'P1'!J34)/1000/'KPM  - TFI '!F4</f>
        <v>23.690502430341617</v>
      </c>
      <c r="G9" s="31">
        <f>('P2'!J50-'P2'!J42-'P2'!J33)/1000/'KPM  - TFI '!G4</f>
        <v>25.697772472677592</v>
      </c>
      <c r="H9" s="31">
        <f>('P3'!J52-'P3'!J41-'P3'!J32)/1000/'KPM  - TFI '!H4</f>
        <v>33.609318980787563</v>
      </c>
      <c r="I9" s="31">
        <f>('P4'!J40-'P4'!J34-'P4'!J25)/1000/'KPM  - TFI '!I4</f>
        <v>19.824286732270107</v>
      </c>
      <c r="J9" s="31">
        <f>('P5'!J54-'P5'!J36-'P5'!J45)/1000/'KPM  - TFI '!J4</f>
        <v>41.764545540796959</v>
      </c>
      <c r="K9" s="31">
        <f>('P6'!J43-'P6'!J37-'P6'!J28)/1000/'KPM  - TFI '!K4</f>
        <v>45.578570969725959</v>
      </c>
      <c r="L9" s="31">
        <f>('P7'!J47-'P7'!J40-'P7'!J31)/1000/'KPM  - TFI '!L4</f>
        <v>44.395375346916673</v>
      </c>
      <c r="M9" s="31">
        <f>('P8'!J45-'P8'!J42-'P8'!J33)/1000/'KPM  - TFI '!M4</f>
        <v>21.404934338290211</v>
      </c>
      <c r="N9" s="31">
        <f>(P9.!J44-P9.!J33-P9.!J41)/1000/'KPM  - TFI '!N4</f>
        <v>37.050379022403256</v>
      </c>
      <c r="O9" s="31">
        <f>('P10'!J43-'P10'!J40-'P10'!J32)/1000/'KPM  - TFI '!O4</f>
        <v>30.843414703880192</v>
      </c>
      <c r="P9" s="31">
        <f>SUM(F9:O9)</f>
        <v>323.8591005380901</v>
      </c>
      <c r="Q9" s="29">
        <v>384</v>
      </c>
      <c r="S9" s="168"/>
    </row>
    <row r="10" spans="1:19" x14ac:dyDescent="0.25">
      <c r="A10" s="3" t="s">
        <v>14</v>
      </c>
      <c r="B10" s="33">
        <f>B9/B7</f>
        <v>0.34846029173419774</v>
      </c>
      <c r="C10" s="33">
        <f>C9/C7</f>
        <v>0.26738351254480286</v>
      </c>
      <c r="D10" s="33">
        <v>0.32</v>
      </c>
      <c r="E10" s="33"/>
      <c r="F10" s="225">
        <f t="shared" ref="F10" si="0">F9/F7</f>
        <v>0.24791738096185212</v>
      </c>
      <c r="G10" s="225">
        <f t="shared" ref="G10:H10" si="1">G9/G7</f>
        <v>0.2731826046527428</v>
      </c>
      <c r="H10" s="310">
        <f t="shared" si="1"/>
        <v>0.24131723488515833</v>
      </c>
      <c r="I10" s="310">
        <f t="shared" ref="I10" si="2">I9/I7</f>
        <v>0.22503094330009693</v>
      </c>
      <c r="J10" s="128">
        <f t="shared" ref="J10" si="3">J9/J7</f>
        <v>0.29806151889361171</v>
      </c>
      <c r="K10" s="311">
        <f t="shared" ref="K10:P10" si="4">K9/K7</f>
        <v>0.35640666785901165</v>
      </c>
      <c r="L10" s="128">
        <f t="shared" si="4"/>
        <v>0.33548739353071572</v>
      </c>
      <c r="M10" s="128">
        <f t="shared" si="4"/>
        <v>0.20798069973134334</v>
      </c>
      <c r="N10" s="128">
        <f t="shared" si="4"/>
        <v>0.29609671371647284</v>
      </c>
      <c r="O10" s="128">
        <f t="shared" si="4"/>
        <v>0.3409739023341698</v>
      </c>
      <c r="P10" s="33">
        <f t="shared" si="4"/>
        <v>0.28512850366142911</v>
      </c>
      <c r="Q10" s="34">
        <v>0.24</v>
      </c>
      <c r="S10" s="23"/>
    </row>
    <row r="11" spans="1:19" x14ac:dyDescent="0.25">
      <c r="A11" s="3" t="s">
        <v>17</v>
      </c>
      <c r="B11" s="31">
        <v>395</v>
      </c>
      <c r="C11" s="31">
        <v>391</v>
      </c>
      <c r="D11" s="31">
        <v>372</v>
      </c>
      <c r="E11" s="31"/>
      <c r="F11" s="31">
        <f>'P1'!J34/1000/'KPM  - TFI '!F4</f>
        <v>27.415328404189776</v>
      </c>
      <c r="G11" s="31">
        <f>'P2'!J33/1000/'KPM  - TFI '!G4</f>
        <v>30.01153367486339</v>
      </c>
      <c r="H11" s="31">
        <f>'P3'!J32/1000/'KPM  - TFI '!H4</f>
        <v>34.950693963755278</v>
      </c>
      <c r="I11" s="31">
        <f>'P4'!J25/1000/'KPM  - TFI '!I4</f>
        <v>27.287313267729896</v>
      </c>
      <c r="J11" s="31">
        <f>'P5'!J36/1000/'KPM  - TFI '!J4</f>
        <v>37.029645500135537</v>
      </c>
      <c r="K11" s="31">
        <f>'P6'!J28/1000/'KPM  - TFI '!K4</f>
        <v>33.895558668762376</v>
      </c>
      <c r="L11" s="31">
        <f>'P7'!J31/1000/'KPM  - TFI '!L4</f>
        <v>42.828172206051583</v>
      </c>
      <c r="M11" s="31">
        <f>'P8'!J33/1000/'KPM  - TFI '!M4</f>
        <v>24.968502614245939</v>
      </c>
      <c r="N11" s="31">
        <f>P9.!J33/1000/'KPM  - TFI '!N4</f>
        <v>35.056112559402578</v>
      </c>
      <c r="O11" s="31">
        <f>'P10'!J32/1000/'KPM  - TFI '!O4</f>
        <v>24.129418720217835</v>
      </c>
      <c r="P11" s="31">
        <f>SUM(F11:O11)</f>
        <v>317.57227957935413</v>
      </c>
      <c r="Q11" s="29">
        <v>448</v>
      </c>
    </row>
    <row r="12" spans="1:19" x14ac:dyDescent="0.25">
      <c r="A12" s="3" t="s">
        <v>0</v>
      </c>
      <c r="B12" s="33">
        <f>B11/B7</f>
        <v>0.320097244732577</v>
      </c>
      <c r="C12" s="33">
        <f>C11/C7</f>
        <v>0.28028673835125451</v>
      </c>
      <c r="D12" s="33">
        <v>0.3</v>
      </c>
      <c r="E12" s="33"/>
      <c r="F12" s="225">
        <f t="shared" ref="F12" si="5">+F11/F7</f>
        <v>0.28689709879140762</v>
      </c>
      <c r="G12" s="225">
        <f t="shared" ref="G12:H12" si="6">+G11/G7</f>
        <v>0.31904045176054208</v>
      </c>
      <c r="H12" s="225">
        <f t="shared" si="6"/>
        <v>0.25094840003964819</v>
      </c>
      <c r="I12" s="225">
        <f t="shared" ref="I12" si="7">+I11/I7</f>
        <v>0.30974581470146811</v>
      </c>
      <c r="J12" s="33">
        <f t="shared" ref="J12:K12" si="8">+J11/J7</f>
        <v>0.26426990259192412</v>
      </c>
      <c r="K12" s="33">
        <f t="shared" si="8"/>
        <v>0.26505006329350195</v>
      </c>
      <c r="L12" s="33">
        <f t="shared" ref="L12" si="9">+L11/L7</f>
        <v>0.32364433797023384</v>
      </c>
      <c r="M12" s="33">
        <f t="shared" ref="M12:N12" si="10">+M11/M7</f>
        <v>0.24260605348670977</v>
      </c>
      <c r="N12" s="33">
        <f t="shared" si="10"/>
        <v>0.28015906985020039</v>
      </c>
      <c r="O12" s="33">
        <f t="shared" ref="O12" si="11">+O11/O7</f>
        <v>0.2667506870130304</v>
      </c>
      <c r="P12" s="33">
        <f>P11/P7</f>
        <v>0.27959352919329344</v>
      </c>
      <c r="Q12" s="34">
        <v>0.28000000000000003</v>
      </c>
    </row>
    <row r="13" spans="1:19" x14ac:dyDescent="0.25">
      <c r="A13" s="3" t="s">
        <v>18</v>
      </c>
      <c r="B13" s="38">
        <v>830</v>
      </c>
      <c r="C13" s="31">
        <v>764</v>
      </c>
      <c r="D13" s="31">
        <v>758</v>
      </c>
      <c r="E13" s="31"/>
      <c r="F13" s="42">
        <f t="shared" ref="F13" si="12">SUM(F9+F11)</f>
        <v>51.105830834531389</v>
      </c>
      <c r="G13" s="42">
        <f t="shared" ref="G13:H13" si="13">SUM(G9+G11)</f>
        <v>55.709306147540985</v>
      </c>
      <c r="H13" s="42">
        <f t="shared" si="13"/>
        <v>68.560012944542848</v>
      </c>
      <c r="I13" s="42">
        <f t="shared" ref="I13" si="14">SUM(I9+I11)</f>
        <v>47.111600000000003</v>
      </c>
      <c r="J13" s="31">
        <f t="shared" ref="J13:O13" si="15">SUM(J9+J11)</f>
        <v>78.794191040932503</v>
      </c>
      <c r="K13" s="31">
        <f t="shared" si="15"/>
        <v>79.474129638488336</v>
      </c>
      <c r="L13" s="31">
        <f t="shared" si="15"/>
        <v>87.223547552968256</v>
      </c>
      <c r="M13" s="31">
        <f t="shared" si="15"/>
        <v>46.373436952536153</v>
      </c>
      <c r="N13" s="31">
        <f t="shared" si="15"/>
        <v>72.106491581805841</v>
      </c>
      <c r="O13" s="31">
        <f t="shared" si="15"/>
        <v>54.972833424098027</v>
      </c>
      <c r="P13" s="31">
        <f>SUM(F13:O13)</f>
        <v>641.43138011744429</v>
      </c>
      <c r="Q13" s="32">
        <v>832</v>
      </c>
    </row>
    <row r="14" spans="1:19" x14ac:dyDescent="0.25">
      <c r="A14" s="3" t="s">
        <v>15</v>
      </c>
      <c r="B14" s="33">
        <f>B13/B7</f>
        <v>0.67260940032414906</v>
      </c>
      <c r="C14" s="33">
        <f>C13/C7</f>
        <v>0.54767025089605736</v>
      </c>
      <c r="D14" s="33">
        <v>0.62</v>
      </c>
      <c r="E14" s="33"/>
      <c r="F14" s="33">
        <f t="shared" ref="F14" si="16">+F13/F7</f>
        <v>0.53481447975325969</v>
      </c>
      <c r="G14" s="33">
        <f t="shared" ref="G14:H14" si="17">+G13/G7</f>
        <v>0.59222305641328488</v>
      </c>
      <c r="H14" s="33">
        <f t="shared" si="17"/>
        <v>0.49226563492480652</v>
      </c>
      <c r="I14" s="33">
        <f t="shared" ref="I14" si="18">+I13/I7</f>
        <v>0.53477675800156499</v>
      </c>
      <c r="J14" s="33">
        <f t="shared" ref="J14" si="19">+J13/J7</f>
        <v>0.56233142148553583</v>
      </c>
      <c r="K14" s="311">
        <f>+K13/K7</f>
        <v>0.62145673115251354</v>
      </c>
      <c r="L14" s="33">
        <f>+L13/L7</f>
        <v>0.65913173150094961</v>
      </c>
      <c r="M14" s="33">
        <f>+M13/M7</f>
        <v>0.45058675321805314</v>
      </c>
      <c r="N14" s="33">
        <f>+N13/N7</f>
        <v>0.57625578356667329</v>
      </c>
      <c r="O14" s="33">
        <f>+O13/O7</f>
        <v>0.60772458934720019</v>
      </c>
      <c r="P14" s="33">
        <f>P13/P7</f>
        <v>0.56472203285472256</v>
      </c>
      <c r="Q14" s="34">
        <v>0.52</v>
      </c>
    </row>
    <row r="15" spans="1:19" x14ac:dyDescent="0.25">
      <c r="A15" s="3"/>
      <c r="B15" s="39"/>
      <c r="C15" s="31"/>
      <c r="D15" s="31"/>
      <c r="E15" s="31"/>
      <c r="F15" s="31"/>
      <c r="G15" s="31"/>
      <c r="H15" s="31"/>
      <c r="I15" s="31"/>
      <c r="J15" s="31"/>
      <c r="K15" s="31"/>
      <c r="L15" s="31"/>
      <c r="M15" s="31"/>
      <c r="N15" s="31"/>
      <c r="O15" s="31"/>
      <c r="P15" s="31"/>
      <c r="Q15" s="29"/>
    </row>
    <row r="16" spans="1:19" x14ac:dyDescent="0.25">
      <c r="A16" s="3" t="s">
        <v>10</v>
      </c>
      <c r="B16" s="31">
        <v>59</v>
      </c>
      <c r="C16" s="31">
        <v>78</v>
      </c>
      <c r="D16" s="31">
        <v>103</v>
      </c>
      <c r="E16" s="31"/>
      <c r="F16" s="31">
        <f>'P1'!J43/1000/'KPM  - TFI '!F4</f>
        <v>11.767562675429589</v>
      </c>
      <c r="G16" s="31">
        <f>'P2'!J42/1000/'KPM  - TFI '!G4</f>
        <v>11.890656762295082</v>
      </c>
      <c r="H16" s="31">
        <f>'P3'!J41/1000/'KPM  - TFI '!H4</f>
        <v>11.859872939092519</v>
      </c>
      <c r="I16" s="31">
        <f>'P4'!J34/1000/'KPM  - TFI '!I4</f>
        <v>11.658759687818121</v>
      </c>
      <c r="J16" s="31">
        <f>'P5'!J45/1000/'KPM  - TFI '!J4</f>
        <v>11.642167660612632</v>
      </c>
      <c r="K16" s="31">
        <f>'P6'!J37/1000/'KPM  - TFI '!K4</f>
        <v>13.254183762728079</v>
      </c>
      <c r="L16" s="31">
        <f>'P7'!J40/1000/'KPM  - TFI '!L4</f>
        <v>13.128577201651662</v>
      </c>
      <c r="M16" s="31">
        <f>'P8'!J42/1000/'KPM  - TFI '!M4</f>
        <v>13.593477150811433</v>
      </c>
      <c r="N16" s="31">
        <f>P9.!J41/1000/'KPM  - TFI '!N4</f>
        <v>12.86780529531568</v>
      </c>
      <c r="O16" s="31">
        <f>'P10'!J40/1000/'KPM  - TFI '!O4</f>
        <v>12.808488767869298</v>
      </c>
      <c r="P16" s="31">
        <f>SUM(F16:O16)</f>
        <v>124.47155190362409</v>
      </c>
      <c r="Q16" s="29">
        <f>SUM(Q6:Q14)</f>
        <v>3265.04</v>
      </c>
    </row>
    <row r="17" spans="1:20" x14ac:dyDescent="0.25">
      <c r="A17" s="3" t="s">
        <v>1</v>
      </c>
      <c r="B17" s="128">
        <f>B16/B7</f>
        <v>4.7811993517017828E-2</v>
      </c>
      <c r="C17" s="128">
        <f>C16/C7</f>
        <v>5.5913978494623658E-2</v>
      </c>
      <c r="D17" s="33">
        <v>0.08</v>
      </c>
      <c r="E17" s="196"/>
      <c r="F17" s="33">
        <f t="shared" ref="F17:G17" si="20">+F16/F7</f>
        <v>0.12314569213443569</v>
      </c>
      <c r="G17" s="33">
        <f t="shared" si="20"/>
        <v>0.12640475312827998</v>
      </c>
      <c r="H17" s="33">
        <f t="shared" ref="H17:I17" si="21">+H16/H7</f>
        <v>8.5154707995932666E-2</v>
      </c>
      <c r="I17" s="33">
        <f t="shared" si="21"/>
        <v>0.13234179497556256</v>
      </c>
      <c r="J17" s="33">
        <f t="shared" ref="J17:K17" si="22">+J16/J7</f>
        <v>8.3086793623711255E-2</v>
      </c>
      <c r="K17" s="33">
        <f t="shared" si="22"/>
        <v>0.10364255327800011</v>
      </c>
      <c r="L17" s="33">
        <f t="shared" ref="L17" si="23">+L16/L7</f>
        <v>9.9210156727614893E-2</v>
      </c>
      <c r="M17" s="33">
        <f t="shared" ref="M17:N17" si="24">+M16/M7</f>
        <v>0.13208080178738915</v>
      </c>
      <c r="N17" s="33">
        <f t="shared" si="24"/>
        <v>0.10283605623528272</v>
      </c>
      <c r="O17" s="33">
        <f t="shared" ref="O17" si="25">+O16/O7</f>
        <v>0.14159782372067739</v>
      </c>
      <c r="P17" s="33">
        <f>P16/P7</f>
        <v>0.10958588868964669</v>
      </c>
      <c r="Q17" s="34">
        <v>7.0000000000000007E-2</v>
      </c>
    </row>
    <row r="18" spans="1:20" x14ac:dyDescent="0.25">
      <c r="A18" s="3" t="s">
        <v>11</v>
      </c>
      <c r="B18" s="31">
        <v>167</v>
      </c>
      <c r="C18" s="31">
        <v>175</v>
      </c>
      <c r="D18" s="31">
        <v>225</v>
      </c>
      <c r="E18" s="199">
        <v>1</v>
      </c>
      <c r="F18" s="183">
        <f>'P1'!M8/1000/'KPM  - TFI '!F4</f>
        <v>6.4832272198261114</v>
      </c>
      <c r="G18" s="183">
        <f>'P2'!M8/1000/'KPM  - TFI '!G4</f>
        <v>7.4639685792349715</v>
      </c>
      <c r="H18" s="183">
        <f>'P3'!M8/1000/'KPM  - TFI '!H4</f>
        <v>7.4446450470091285</v>
      </c>
      <c r="I18" s="183">
        <f>'P4'!M8/1000/'KPM  - TFI '!I4</f>
        <v>7.8504232779097398</v>
      </c>
      <c r="J18" s="183">
        <f>'P5'!O10/1000/'KPM  - TFI '!J4</f>
        <v>7.8392509487666038</v>
      </c>
      <c r="K18" s="183">
        <f>'P6'!O8/1000/'KPM  - TFI '!K4</f>
        <v>6.7724207612929685</v>
      </c>
      <c r="L18" s="183">
        <f>'P7'!P7/1000/'KPM  - TFI '!L4</f>
        <v>6.6879329181615121</v>
      </c>
      <c r="M18" s="183">
        <f>'P8'!O7/1000/'KPM  - TFI '!M4</f>
        <v>8.2909508385957764</v>
      </c>
      <c r="N18" s="183">
        <f>P9.!O7/1000/'KPM  - TFI '!N4</f>
        <v>6.3873048200950437</v>
      </c>
      <c r="O18" s="183">
        <f>'P10'!P7/1000/'KPM  - TFI '!O4</f>
        <v>7.4139289312457457</v>
      </c>
      <c r="P18" s="31">
        <f>SUM(F18:O18)</f>
        <v>72.634053342137605</v>
      </c>
      <c r="Q18" s="29">
        <v>175</v>
      </c>
    </row>
    <row r="19" spans="1:20" x14ac:dyDescent="0.25">
      <c r="A19" s="3" t="s">
        <v>2</v>
      </c>
      <c r="B19" s="33">
        <f>B18/B7</f>
        <v>0.13533225283630471</v>
      </c>
      <c r="C19" s="33">
        <f>C18/C7</f>
        <v>0.12544802867383512</v>
      </c>
      <c r="D19" s="33">
        <v>0.18</v>
      </c>
      <c r="E19" s="196"/>
      <c r="F19" s="33">
        <f t="shared" ref="F19:G19" si="26">+F18/F7</f>
        <v>6.7845952919146343E-2</v>
      </c>
      <c r="G19" s="33">
        <f t="shared" si="26"/>
        <v>7.9346425052582936E-2</v>
      </c>
      <c r="H19" s="33">
        <f t="shared" ref="H19:I19" si="27">+H18/H7</f>
        <v>5.3453066349624524E-2</v>
      </c>
      <c r="I19" s="33">
        <f t="shared" si="27"/>
        <v>8.9112318611564656E-2</v>
      </c>
      <c r="J19" s="33">
        <f t="shared" ref="J19:K19" si="28">+J18/J7</f>
        <v>5.594647360630596E-2</v>
      </c>
      <c r="K19" s="33">
        <f t="shared" si="28"/>
        <v>5.2957691860827785E-2</v>
      </c>
      <c r="L19" s="33">
        <f t="shared" ref="L19" si="29">+L18/L7</f>
        <v>5.0539434913868989E-2</v>
      </c>
      <c r="M19" s="33">
        <f t="shared" ref="M19:N19" si="30">+M18/M7</f>
        <v>8.0558890281887036E-2</v>
      </c>
      <c r="N19" s="33">
        <f t="shared" si="30"/>
        <v>5.1045630750280339E-2</v>
      </c>
      <c r="O19" s="33">
        <f t="shared" ref="O19" si="31">+O18/O7</f>
        <v>8.1960972985168162E-2</v>
      </c>
      <c r="P19" s="33">
        <f>P18/P7</f>
        <v>6.3947682525822197E-2</v>
      </c>
      <c r="Q19" s="36">
        <v>0.11</v>
      </c>
    </row>
    <row r="20" spans="1:20" x14ac:dyDescent="0.25">
      <c r="A20" s="3" t="s">
        <v>19</v>
      </c>
      <c r="B20" s="38">
        <v>226</v>
      </c>
      <c r="C20" s="31">
        <v>252</v>
      </c>
      <c r="D20" s="31">
        <v>328</v>
      </c>
      <c r="E20" s="197"/>
      <c r="F20" s="42">
        <f t="shared" ref="F20:G20" si="32">SUM(F16+F18)</f>
        <v>18.2507898952557</v>
      </c>
      <c r="G20" s="42">
        <f t="shared" si="32"/>
        <v>19.354625341530053</v>
      </c>
      <c r="H20" s="42">
        <f t="shared" ref="H20" si="33">SUM(H16+H18)</f>
        <v>19.304517986101647</v>
      </c>
      <c r="I20" s="42">
        <f>SUM(I16+I18)</f>
        <v>19.509182965727859</v>
      </c>
      <c r="J20" s="31">
        <f t="shared" ref="J20" si="34">SUM(J16+J18)</f>
        <v>19.481418609379237</v>
      </c>
      <c r="K20" s="31">
        <f>SUM(K16+K18)</f>
        <v>20.026604524021046</v>
      </c>
      <c r="L20" s="31">
        <f>SUM(L16+L18)</f>
        <v>19.816510119813174</v>
      </c>
      <c r="M20" s="31">
        <f>SUM(M16+M18)</f>
        <v>21.884427989407207</v>
      </c>
      <c r="N20" s="31">
        <f>SUM(N16+N18)</f>
        <v>19.255110115410723</v>
      </c>
      <c r="O20" s="31">
        <f>SUM(O16+O18)</f>
        <v>20.222417699115042</v>
      </c>
      <c r="P20" s="31">
        <f>SUM(F20:O20)</f>
        <v>197.10560524576169</v>
      </c>
      <c r="Q20" s="29">
        <v>287</v>
      </c>
    </row>
    <row r="21" spans="1:20" x14ac:dyDescent="0.25">
      <c r="A21" s="3" t="s">
        <v>3</v>
      </c>
      <c r="B21" s="33">
        <f>B20/B7</f>
        <v>0.18314424635332252</v>
      </c>
      <c r="C21" s="33">
        <f>C20/C7</f>
        <v>0.18064516129032257</v>
      </c>
      <c r="D21" s="33">
        <v>0.27</v>
      </c>
      <c r="E21" s="196"/>
      <c r="F21" s="33">
        <f t="shared" ref="F21:G21" si="35">+F20/F7</f>
        <v>0.19099164505358202</v>
      </c>
      <c r="G21" s="33">
        <f t="shared" si="35"/>
        <v>0.20575117818086289</v>
      </c>
      <c r="H21" s="33">
        <f t="shared" ref="H21:I21" si="36">+H20/H7</f>
        <v>0.13860777434555718</v>
      </c>
      <c r="I21" s="33">
        <f t="shared" si="36"/>
        <v>0.22145411358712719</v>
      </c>
      <c r="J21" s="33">
        <f t="shared" ref="J21:O21" si="37">+J20/J7</f>
        <v>0.13903326723001722</v>
      </c>
      <c r="K21" s="33">
        <f t="shared" si="37"/>
        <v>0.15660024513882786</v>
      </c>
      <c r="L21" s="33">
        <f t="shared" si="37"/>
        <v>0.14974959164148388</v>
      </c>
      <c r="M21" s="33">
        <f t="shared" si="37"/>
        <v>0.21263969206927616</v>
      </c>
      <c r="N21" s="33">
        <f t="shared" si="37"/>
        <v>0.15388168698556304</v>
      </c>
      <c r="O21" s="33">
        <f t="shared" si="37"/>
        <v>0.22355879670584552</v>
      </c>
      <c r="P21" s="33">
        <f>P20/P7</f>
        <v>0.17353357121546889</v>
      </c>
      <c r="Q21" s="36">
        <v>0.18</v>
      </c>
    </row>
    <row r="22" spans="1:20" x14ac:dyDescent="0.25">
      <c r="A22" s="3"/>
      <c r="B22" s="39"/>
      <c r="C22" s="31"/>
      <c r="D22" s="31"/>
      <c r="E22" s="197"/>
      <c r="F22" s="31"/>
      <c r="G22" s="31"/>
      <c r="H22" s="31"/>
      <c r="I22" s="31"/>
      <c r="J22" s="31"/>
      <c r="K22" s="31"/>
      <c r="L22" s="31"/>
      <c r="M22" s="31"/>
      <c r="N22" s="31"/>
      <c r="O22" s="31"/>
      <c r="P22" s="31"/>
      <c r="Q22" s="29"/>
    </row>
    <row r="23" spans="1:20" x14ac:dyDescent="0.25">
      <c r="A23" s="3" t="s">
        <v>4</v>
      </c>
      <c r="B23" s="31">
        <v>262</v>
      </c>
      <c r="C23" s="31">
        <v>319</v>
      </c>
      <c r="D23" s="31">
        <v>330</v>
      </c>
      <c r="E23" s="199">
        <v>2</v>
      </c>
      <c r="F23" s="183">
        <f>'P1'!M21/1000/'KPM  - TFI '!F4</f>
        <v>18.052326829602244</v>
      </c>
      <c r="G23" s="183">
        <f>'P2'!M21/1000/'KPM  - TFI '!G4</f>
        <v>20.503325683060108</v>
      </c>
      <c r="H23" s="183">
        <f>'P3'!M21/1000/'KPM  - TFI '!H4</f>
        <v>21.970569423627197</v>
      </c>
      <c r="I23" s="183">
        <f>'P4'!M21/1000/'KPM  - TFI '!I4</f>
        <v>18.5706591109603</v>
      </c>
      <c r="J23" s="183">
        <f>'P5'!O23/1000/'KPM  - TFI '!J4</f>
        <v>25.768271143941448</v>
      </c>
      <c r="K23" s="183">
        <f>'P6'!O21/1000/'KPM  - TFI '!K4</f>
        <v>21.714856147064854</v>
      </c>
      <c r="L23" s="183">
        <f>'P7'!P20/1000/'KPM  - TFI '!L4</f>
        <v>19.783315914167737</v>
      </c>
      <c r="M23" s="183">
        <f>'P8'!O20/1000/'KPM  - TFI '!M4</f>
        <v>18.002551707747674</v>
      </c>
      <c r="N23" s="183">
        <f>P9.!O20/1000/'KPM  - TFI '!N4</f>
        <v>17.326062729124235</v>
      </c>
      <c r="O23" s="183">
        <f>'P10'!P20/1000/'KPM  - TFI '!O4</f>
        <v>23.031780292716132</v>
      </c>
      <c r="P23" s="31">
        <f>SUM(F23:O23)</f>
        <v>204.72371898201189</v>
      </c>
      <c r="Q23" s="29">
        <v>330</v>
      </c>
    </row>
    <row r="24" spans="1:20" x14ac:dyDescent="0.25">
      <c r="A24" s="3" t="s">
        <v>7</v>
      </c>
      <c r="B24" s="33">
        <f>B23/B7</f>
        <v>0.21231766612641814</v>
      </c>
      <c r="C24" s="33">
        <f>C23/C7</f>
        <v>0.22867383512544803</v>
      </c>
      <c r="D24" s="33">
        <v>0.27</v>
      </c>
      <c r="E24" s="128"/>
      <c r="F24" s="33">
        <f t="shared" ref="F24:G24" si="38">+F23/F7</f>
        <v>0.18891476029357587</v>
      </c>
      <c r="G24" s="33">
        <f t="shared" si="38"/>
        <v>0.21796254597931</v>
      </c>
      <c r="H24" s="33">
        <f t="shared" ref="H24:I24" si="39">+H23/H7</f>
        <v>0.15775020806559298</v>
      </c>
      <c r="I24" s="33">
        <f t="shared" si="39"/>
        <v>0.21080067060578656</v>
      </c>
      <c r="J24" s="33">
        <f t="shared" ref="J24:K24" si="40">+J23/J7</f>
        <v>0.18390072098170021</v>
      </c>
      <c r="K24" s="33">
        <f t="shared" si="40"/>
        <v>0.16980171509882891</v>
      </c>
      <c r="L24" s="33">
        <f t="shared" ref="L24" si="41">+L23/L7</f>
        <v>0.14949874935340118</v>
      </c>
      <c r="M24" s="33">
        <f t="shared" ref="M24:N24" si="42">+M23/M7</f>
        <v>0.17492150370343673</v>
      </c>
      <c r="N24" s="33">
        <f t="shared" si="42"/>
        <v>0.13846525652644676</v>
      </c>
      <c r="O24" s="33">
        <f t="shared" ref="O24" si="43">+O23/O7</f>
        <v>0.25461629587733964</v>
      </c>
      <c r="P24" s="33">
        <f>P23/P7</f>
        <v>0.1802406279779023</v>
      </c>
      <c r="Q24" s="36">
        <v>0.21</v>
      </c>
      <c r="S24" s="168"/>
      <c r="T24" s="168"/>
    </row>
    <row r="25" spans="1:20" x14ac:dyDescent="0.25">
      <c r="A25" s="3"/>
      <c r="B25" s="39"/>
      <c r="C25" s="31"/>
      <c r="D25" s="31"/>
      <c r="E25" s="197"/>
      <c r="F25" s="31"/>
      <c r="G25" s="31"/>
      <c r="H25" s="31"/>
      <c r="I25" s="31"/>
      <c r="J25" s="31"/>
      <c r="K25" s="31"/>
      <c r="L25" s="31"/>
      <c r="M25" s="31"/>
      <c r="N25" s="31"/>
      <c r="O25" s="31"/>
      <c r="P25" s="31"/>
      <c r="Q25" s="29"/>
    </row>
    <row r="26" spans="1:20" s="167" customFormat="1" x14ac:dyDescent="0.25">
      <c r="A26" s="179" t="s">
        <v>8</v>
      </c>
      <c r="B26" s="38">
        <v>-84</v>
      </c>
      <c r="C26" s="38">
        <v>60</v>
      </c>
      <c r="D26" s="38">
        <v>-191</v>
      </c>
      <c r="E26" s="198"/>
      <c r="F26" s="38">
        <f t="shared" ref="F26:K26" si="44">F7-F13-F20-F23</f>
        <v>8.1491062504278773</v>
      </c>
      <c r="G26" s="38">
        <f t="shared" si="44"/>
        <v>-1.4991428961748703</v>
      </c>
      <c r="H26" s="38">
        <f t="shared" si="44"/>
        <v>29.439324022346383</v>
      </c>
      <c r="I26" s="38">
        <f t="shared" si="44"/>
        <v>2.9043835086528702</v>
      </c>
      <c r="J26" s="38">
        <f t="shared" si="44"/>
        <v>16.076674505285993</v>
      </c>
      <c r="K26" s="38">
        <f t="shared" si="44"/>
        <v>6.6680187248001097</v>
      </c>
      <c r="L26" s="38">
        <f>L7-L13-L20-L23</f>
        <v>5.5076057672781431</v>
      </c>
      <c r="M26" s="38">
        <f>M7-M13-M20-M23</f>
        <v>16.657471240578534</v>
      </c>
      <c r="N26" s="38">
        <f>N7-N13-N20-N23</f>
        <v>16.441650780719602</v>
      </c>
      <c r="O26" s="38">
        <f>O7-O13-O20-O23</f>
        <v>-7.7702120149761775</v>
      </c>
      <c r="P26" s="38">
        <f>P7-P13-P20-P23+('[1]TFI -Jan 30 - Feb 26'!M251/130000)</f>
        <v>92.574879888938511</v>
      </c>
      <c r="Q26" s="180">
        <v>151</v>
      </c>
    </row>
    <row r="27" spans="1:20" x14ac:dyDescent="0.25">
      <c r="A27" s="3" t="s">
        <v>9</v>
      </c>
      <c r="B27" s="33">
        <f>B26/B7</f>
        <v>-6.8071312803889783E-2</v>
      </c>
      <c r="C27" s="33">
        <f>C26/C7</f>
        <v>4.3010752688172046E-2</v>
      </c>
      <c r="D27" s="181">
        <v>-0.16</v>
      </c>
      <c r="E27" s="33"/>
      <c r="F27" s="33">
        <f t="shared" ref="F27:P27" si="45">F26/F7</f>
        <v>8.527911489958237E-2</v>
      </c>
      <c r="G27" s="33">
        <f t="shared" si="45"/>
        <v>-1.5936780573457821E-2</v>
      </c>
      <c r="H27" s="33">
        <f t="shared" si="45"/>
        <v>0.21137638266404332</v>
      </c>
      <c r="I27" s="33">
        <f t="shared" si="45"/>
        <v>3.2968457805521191E-2</v>
      </c>
      <c r="J27" s="181">
        <f t="shared" si="45"/>
        <v>0.11473459030274671</v>
      </c>
      <c r="K27" s="181">
        <f t="shared" ref="K27" si="46">K26/K7</f>
        <v>5.2141308609829636E-2</v>
      </c>
      <c r="L27" s="181">
        <f t="shared" ref="L27" si="47">L26/L7</f>
        <v>4.1619927504165356E-2</v>
      </c>
      <c r="M27" s="181">
        <f t="shared" ref="M27" si="48">M26/M7</f>
        <v>0.16185205100923397</v>
      </c>
      <c r="N27" s="181">
        <f>N26/N7</f>
        <v>0.13139727292131687</v>
      </c>
      <c r="O27" s="181">
        <f>O26/O7</f>
        <v>-8.5899681930385371E-2</v>
      </c>
      <c r="P27" s="33">
        <f t="shared" si="45"/>
        <v>8.1503767951906225E-2</v>
      </c>
      <c r="Q27" s="34">
        <v>0.09</v>
      </c>
    </row>
    <row r="28" spans="1:20" x14ac:dyDescent="0.25">
      <c r="B28" s="20"/>
    </row>
    <row r="29" spans="1:20" x14ac:dyDescent="0.25">
      <c r="B29" s="20"/>
      <c r="D29" s="20"/>
    </row>
  </sheetData>
  <pageMargins left="0.7" right="0.7" top="0.75" bottom="0.75" header="0.3" footer="0.3"/>
  <pageSetup orientation="landscape" horizontalDpi="4294967292" r:id="rId1"/>
  <ignoredErrors>
    <ignoredError sqref="D15 D22 D25" formula="1"/>
  </ignoredError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3" tint="0.39997558519241921"/>
  </sheetPr>
  <dimension ref="A1:L95"/>
  <sheetViews>
    <sheetView topLeftCell="A7" zoomScaleNormal="100" workbookViewId="0">
      <selection activeCell="J84" sqref="J84"/>
    </sheetView>
  </sheetViews>
  <sheetFormatPr defaultRowHeight="15" x14ac:dyDescent="0.25"/>
  <cols>
    <col min="1" max="5" width="3" style="16" customWidth="1"/>
    <col min="6" max="6" width="32.5703125" style="16" customWidth="1"/>
    <col min="7" max="7" width="13.28515625" style="5" bestFit="1" customWidth="1"/>
    <col min="8" max="8" width="13.28515625" style="4" bestFit="1" customWidth="1"/>
    <col min="9" max="9" width="31.140625" style="4" bestFit="1" customWidth="1"/>
    <col min="10" max="10" width="13.28515625" style="4" bestFit="1" customWidth="1"/>
    <col min="11" max="11" width="10.28515625" style="4" customWidth="1"/>
    <col min="12" max="12" width="61.5703125" style="4" customWidth="1"/>
    <col min="13" max="16384" width="9.140625" style="4"/>
  </cols>
  <sheetData>
    <row r="1" spans="1:12" ht="30" x14ac:dyDescent="0.25">
      <c r="I1" s="108" t="s">
        <v>381</v>
      </c>
      <c r="J1" s="109" t="s">
        <v>380</v>
      </c>
      <c r="K1" s="110" t="s">
        <v>433</v>
      </c>
      <c r="L1" s="110" t="s">
        <v>382</v>
      </c>
    </row>
    <row r="2" spans="1:12" s="18" customFormat="1" ht="46.5" thickBot="1" x14ac:dyDescent="0.35">
      <c r="A2" s="81" t="s">
        <v>375</v>
      </c>
      <c r="B2" s="82"/>
      <c r="C2" s="82"/>
      <c r="D2" s="82"/>
      <c r="E2" s="82"/>
      <c r="F2" s="82"/>
      <c r="G2" s="9" t="s">
        <v>267</v>
      </c>
      <c r="I2" s="46" t="s">
        <v>387</v>
      </c>
      <c r="J2" s="83">
        <f>(G19-101080)*K2</f>
        <v>20482.999499999998</v>
      </c>
      <c r="K2" s="111">
        <f>'Appportionment Basis-Common cos'!E4</f>
        <v>0.15</v>
      </c>
      <c r="L2" s="62" t="s">
        <v>398</v>
      </c>
    </row>
    <row r="3" spans="1:12" ht="15.75" thickTop="1" x14ac:dyDescent="0.25">
      <c r="A3" s="6"/>
      <c r="B3" s="6" t="s">
        <v>20</v>
      </c>
      <c r="C3" s="6"/>
      <c r="D3" s="6"/>
      <c r="E3" s="6"/>
      <c r="F3" s="6"/>
      <c r="G3" s="7"/>
      <c r="I3" s="46" t="s">
        <v>388</v>
      </c>
      <c r="J3" s="47">
        <f>G25*K3</f>
        <v>22810</v>
      </c>
      <c r="K3" s="111">
        <f>'Appportionment Basis-Common cos'!D4</f>
        <v>0.1</v>
      </c>
      <c r="L3" s="46"/>
    </row>
    <row r="4" spans="1:12" x14ac:dyDescent="0.25">
      <c r="A4" s="6"/>
      <c r="B4" s="6"/>
      <c r="C4" s="6"/>
      <c r="D4" s="6" t="s">
        <v>21</v>
      </c>
      <c r="E4" s="6"/>
      <c r="F4" s="6"/>
      <c r="G4" s="7"/>
      <c r="I4" s="46" t="s">
        <v>389</v>
      </c>
      <c r="J4" s="47">
        <f t="shared" ref="J4:J8" si="0">G26*K4</f>
        <v>0</v>
      </c>
      <c r="K4" s="111">
        <f>'Appportionment Basis-Common cos'!F4</f>
        <v>0.2</v>
      </c>
      <c r="L4" s="46"/>
    </row>
    <row r="5" spans="1:12" x14ac:dyDescent="0.25">
      <c r="A5" s="6"/>
      <c r="B5" s="6"/>
      <c r="C5" s="6"/>
      <c r="D5" s="6"/>
      <c r="E5" s="6"/>
      <c r="F5" s="6"/>
      <c r="G5" s="7"/>
      <c r="I5" s="46" t="s">
        <v>390</v>
      </c>
      <c r="J5" s="47">
        <f t="shared" si="0"/>
        <v>46250</v>
      </c>
      <c r="K5" s="111">
        <f>'Appportionment Basis-Common cos'!B4</f>
        <v>0.25</v>
      </c>
      <c r="L5" s="46"/>
    </row>
    <row r="6" spans="1:12" x14ac:dyDescent="0.25">
      <c r="A6" s="6"/>
      <c r="B6" s="6"/>
      <c r="C6" s="6"/>
      <c r="D6" s="6"/>
      <c r="E6" s="43" t="s">
        <v>216</v>
      </c>
      <c r="F6" s="43"/>
      <c r="G6" s="44">
        <f>28850*130</f>
        <v>3750500</v>
      </c>
      <c r="I6" s="46" t="s">
        <v>391</v>
      </c>
      <c r="J6" s="47">
        <f t="shared" si="0"/>
        <v>63000</v>
      </c>
      <c r="K6" s="111">
        <f>'Appportionment Basis-Common cos'!C4</f>
        <v>0.2</v>
      </c>
      <c r="L6" s="46"/>
    </row>
    <row r="7" spans="1:12" ht="45" customHeight="1" x14ac:dyDescent="0.25">
      <c r="A7" s="6"/>
      <c r="B7" s="6"/>
      <c r="C7" s="6"/>
      <c r="D7" s="6"/>
      <c r="E7" s="6" t="s">
        <v>212</v>
      </c>
      <c r="F7" s="6"/>
      <c r="G7" s="7"/>
      <c r="I7" s="46" t="s">
        <v>392</v>
      </c>
      <c r="J7" s="47">
        <f t="shared" si="0"/>
        <v>2400</v>
      </c>
      <c r="K7" s="111">
        <f>'Appportionment Basis-Common cos'!H4</f>
        <v>0.1</v>
      </c>
      <c r="L7" s="46"/>
    </row>
    <row r="8" spans="1:12" ht="15.75" thickBot="1" x14ac:dyDescent="0.3">
      <c r="A8" s="6"/>
      <c r="B8" s="6"/>
      <c r="C8" s="6"/>
      <c r="D8" s="6"/>
      <c r="E8" s="6"/>
      <c r="F8" s="6" t="s">
        <v>213</v>
      </c>
      <c r="G8" s="8">
        <v>12000</v>
      </c>
      <c r="I8" s="46" t="s">
        <v>393</v>
      </c>
      <c r="J8" s="47">
        <f t="shared" si="0"/>
        <v>600</v>
      </c>
      <c r="K8" s="111">
        <f>'Appportionment Basis-Common cos'!G4</f>
        <v>0.1</v>
      </c>
      <c r="L8" s="46"/>
    </row>
    <row r="9" spans="1:12" ht="15.75" thickBot="1" x14ac:dyDescent="0.3">
      <c r="A9" s="6"/>
      <c r="B9" s="6"/>
      <c r="C9" s="6"/>
      <c r="D9" s="6"/>
      <c r="E9" s="6" t="s">
        <v>214</v>
      </c>
      <c r="F9" s="6"/>
      <c r="G9" s="11">
        <f>ROUND(SUM(G7:G8),5)</f>
        <v>12000</v>
      </c>
      <c r="I9" s="106" t="s">
        <v>12</v>
      </c>
      <c r="J9" s="107">
        <f>SUM(J2:J8)</f>
        <v>155542.99950000001</v>
      </c>
    </row>
    <row r="10" spans="1:12" ht="15.75" thickBot="1" x14ac:dyDescent="0.3">
      <c r="A10" s="6"/>
      <c r="B10" s="6"/>
      <c r="C10" s="6"/>
      <c r="D10" s="6" t="s">
        <v>40</v>
      </c>
      <c r="E10" s="6"/>
      <c r="F10" s="6"/>
      <c r="G10" s="10">
        <f>ROUND(G4+G9+G6,5)</f>
        <v>3762500</v>
      </c>
    </row>
    <row r="11" spans="1:12" ht="30" x14ac:dyDescent="0.25">
      <c r="A11" s="6"/>
      <c r="B11" s="6"/>
      <c r="C11" s="6" t="s">
        <v>73</v>
      </c>
      <c r="D11" s="6"/>
      <c r="E11" s="6"/>
      <c r="F11" s="6"/>
      <c r="G11" s="7">
        <f>G10</f>
        <v>3762500</v>
      </c>
      <c r="I11" s="65" t="s">
        <v>397</v>
      </c>
      <c r="J11" s="58" t="s">
        <v>380</v>
      </c>
      <c r="K11" s="112" t="s">
        <v>433</v>
      </c>
      <c r="L11" s="58" t="s">
        <v>382</v>
      </c>
    </row>
    <row r="12" spans="1:12" x14ac:dyDescent="0.25">
      <c r="A12" s="6"/>
      <c r="B12" s="6"/>
      <c r="C12" s="6"/>
      <c r="D12" s="6" t="s">
        <v>74</v>
      </c>
      <c r="E12" s="6"/>
      <c r="F12" s="6"/>
      <c r="G12" s="7"/>
      <c r="I12" s="46" t="s">
        <v>435</v>
      </c>
      <c r="J12" s="60">
        <f>G57</f>
        <v>86235</v>
      </c>
      <c r="K12" s="46"/>
      <c r="L12" s="46" t="s">
        <v>439</v>
      </c>
    </row>
    <row r="13" spans="1:12" x14ac:dyDescent="0.25">
      <c r="A13" s="6"/>
      <c r="B13" s="6"/>
      <c r="C13" s="6"/>
      <c r="D13" s="25" t="s">
        <v>217</v>
      </c>
      <c r="E13" s="25"/>
      <c r="F13" s="25"/>
      <c r="G13" s="24"/>
      <c r="I13" s="46" t="s">
        <v>436</v>
      </c>
      <c r="J13" s="60">
        <f>G58</f>
        <v>12438.1</v>
      </c>
      <c r="K13" s="46"/>
      <c r="L13" s="46" t="s">
        <v>439</v>
      </c>
    </row>
    <row r="14" spans="1:12" x14ac:dyDescent="0.25">
      <c r="A14" s="6"/>
      <c r="B14" s="6"/>
      <c r="C14" s="6"/>
      <c r="D14" s="25"/>
      <c r="E14" s="25" t="s">
        <v>218</v>
      </c>
      <c r="F14" s="25"/>
      <c r="G14" s="24"/>
      <c r="I14" s="46" t="s">
        <v>437</v>
      </c>
      <c r="J14" s="60">
        <f>G77*K14</f>
        <v>89767.9</v>
      </c>
      <c r="K14" s="68">
        <f>'Appportionment Basis-Common cos'!I4</f>
        <v>0.5</v>
      </c>
      <c r="L14" s="46"/>
    </row>
    <row r="15" spans="1:12" x14ac:dyDescent="0.25">
      <c r="A15" s="6"/>
      <c r="B15" s="6"/>
      <c r="C15" s="6"/>
      <c r="D15" s="25"/>
      <c r="E15" s="25"/>
      <c r="F15" s="25" t="s">
        <v>219</v>
      </c>
      <c r="G15" s="24">
        <v>59000</v>
      </c>
      <c r="I15" s="66" t="s">
        <v>394</v>
      </c>
      <c r="J15" s="46"/>
      <c r="K15" s="59"/>
      <c r="L15" s="46"/>
    </row>
    <row r="16" spans="1:12" x14ac:dyDescent="0.25">
      <c r="A16" s="6"/>
      <c r="B16" s="6"/>
      <c r="C16" s="6"/>
      <c r="D16" s="25"/>
      <c r="E16" s="25"/>
      <c r="F16" s="25" t="s">
        <v>220</v>
      </c>
      <c r="G16" s="24">
        <v>155333.32999999999</v>
      </c>
      <c r="I16" s="114" t="s">
        <v>429</v>
      </c>
      <c r="J16" s="46"/>
      <c r="K16" s="46"/>
      <c r="L16" s="46"/>
    </row>
    <row r="17" spans="1:12" x14ac:dyDescent="0.25">
      <c r="A17" s="6"/>
      <c r="B17" s="6"/>
      <c r="C17" s="6"/>
      <c r="D17" s="25"/>
      <c r="E17" s="25"/>
      <c r="F17" s="25" t="s">
        <v>221</v>
      </c>
      <c r="G17" s="24">
        <v>18640</v>
      </c>
      <c r="I17" s="67" t="s">
        <v>383</v>
      </c>
      <c r="J17" s="47">
        <f>G66*K17</f>
        <v>188346.95</v>
      </c>
      <c r="K17" s="68">
        <f>'Appportionment Basis-Common cos'!J4</f>
        <v>0.55000000000000004</v>
      </c>
      <c r="L17" s="46"/>
    </row>
    <row r="18" spans="1:12" ht="15.75" thickBot="1" x14ac:dyDescent="0.3">
      <c r="A18" s="6"/>
      <c r="B18" s="6"/>
      <c r="C18" s="6"/>
      <c r="D18" s="25"/>
      <c r="E18" s="25"/>
      <c r="F18" s="25" t="s">
        <v>222</v>
      </c>
      <c r="G18" s="27">
        <v>4660</v>
      </c>
      <c r="I18" s="67" t="s">
        <v>384</v>
      </c>
      <c r="J18" s="47">
        <f>G81*K18</f>
        <v>18472.300000000003</v>
      </c>
      <c r="K18" s="68">
        <f>'Appportionment Basis-Common cos'!J4</f>
        <v>0.55000000000000004</v>
      </c>
      <c r="L18" s="46"/>
    </row>
    <row r="19" spans="1:12" x14ac:dyDescent="0.25">
      <c r="A19" s="6"/>
      <c r="B19" s="6"/>
      <c r="C19" s="6"/>
      <c r="D19" s="25"/>
      <c r="E19" s="25" t="s">
        <v>223</v>
      </c>
      <c r="F19" s="25"/>
      <c r="G19" s="24">
        <f>ROUND(SUM(G14:G18),5)</f>
        <v>237633.33</v>
      </c>
      <c r="I19" s="67" t="s">
        <v>385</v>
      </c>
      <c r="J19" s="47">
        <f>G84*K19</f>
        <v>1575.7500000000002</v>
      </c>
      <c r="K19" s="69">
        <f>'Appportionment Basis-Common cos'!J4</f>
        <v>0.55000000000000004</v>
      </c>
      <c r="L19" s="46"/>
    </row>
    <row r="20" spans="1:12" x14ac:dyDescent="0.25">
      <c r="A20" s="6"/>
      <c r="B20" s="6"/>
      <c r="C20" s="6"/>
      <c r="D20" s="25"/>
      <c r="E20" s="25" t="s">
        <v>224</v>
      </c>
      <c r="F20" s="25"/>
      <c r="G20" s="24"/>
      <c r="I20" s="67" t="s">
        <v>386</v>
      </c>
      <c r="J20" s="47">
        <f>G90*K20</f>
        <v>305234.29749999999</v>
      </c>
      <c r="K20" s="69">
        <f>'Appportionment Basis-Common cos'!J4</f>
        <v>0.55000000000000004</v>
      </c>
      <c r="L20" s="46"/>
    </row>
    <row r="21" spans="1:12" x14ac:dyDescent="0.25">
      <c r="A21" s="6"/>
      <c r="B21" s="6"/>
      <c r="C21" s="6"/>
      <c r="D21" s="25"/>
      <c r="E21" s="25"/>
      <c r="F21" s="25" t="s">
        <v>225</v>
      </c>
      <c r="G21" s="24">
        <v>33750</v>
      </c>
      <c r="I21" s="67" t="s">
        <v>438</v>
      </c>
      <c r="J21" s="60">
        <f>G71*K21</f>
        <v>113437.467</v>
      </c>
      <c r="K21" s="68">
        <f>'Appportionment Basis-Common cos'!J4</f>
        <v>0.55000000000000004</v>
      </c>
      <c r="L21" s="46"/>
    </row>
    <row r="22" spans="1:12" x14ac:dyDescent="0.25">
      <c r="A22" s="6"/>
      <c r="B22" s="6"/>
      <c r="C22" s="6"/>
      <c r="D22" s="25"/>
      <c r="E22" s="25"/>
      <c r="F22" s="25" t="s">
        <v>226</v>
      </c>
      <c r="G22" s="24">
        <v>169000</v>
      </c>
      <c r="H22" s="104"/>
      <c r="I22" s="106" t="s">
        <v>12</v>
      </c>
      <c r="J22" s="107">
        <f>SUM(J12:J21)</f>
        <v>815507.76450000005</v>
      </c>
      <c r="K22" s="46"/>
      <c r="L22" s="46"/>
    </row>
    <row r="23" spans="1:12" x14ac:dyDescent="0.25">
      <c r="A23" s="6"/>
      <c r="B23" s="6"/>
      <c r="C23" s="6"/>
      <c r="D23" s="25"/>
      <c r="E23" s="25"/>
      <c r="F23" s="25" t="s">
        <v>227</v>
      </c>
      <c r="G23" s="24">
        <v>20280</v>
      </c>
      <c r="H23" s="104"/>
    </row>
    <row r="24" spans="1:12" ht="15.75" thickBot="1" x14ac:dyDescent="0.3">
      <c r="A24" s="6"/>
      <c r="B24" s="6"/>
      <c r="C24" s="6"/>
      <c r="D24" s="25"/>
      <c r="E24" s="25"/>
      <c r="F24" s="25" t="s">
        <v>228</v>
      </c>
      <c r="G24" s="27">
        <v>5070</v>
      </c>
      <c r="H24" s="104"/>
      <c r="I24" s="105"/>
      <c r="J24" s="104"/>
    </row>
    <row r="25" spans="1:12" x14ac:dyDescent="0.25">
      <c r="A25" s="6"/>
      <c r="B25" s="6"/>
      <c r="C25" s="6"/>
      <c r="D25" s="25"/>
      <c r="E25" s="25" t="s">
        <v>229</v>
      </c>
      <c r="F25" s="25"/>
      <c r="G25" s="24">
        <f>ROUND(SUM(G20:G24),5)</f>
        <v>228100</v>
      </c>
      <c r="H25" s="104"/>
      <c r="I25" s="104"/>
      <c r="J25" s="104"/>
    </row>
    <row r="26" spans="1:12" x14ac:dyDescent="0.25">
      <c r="A26" s="6"/>
      <c r="B26" s="6"/>
      <c r="C26" s="6"/>
      <c r="D26" s="25"/>
      <c r="E26" s="25" t="s">
        <v>230</v>
      </c>
      <c r="F26" s="25"/>
      <c r="G26" s="24"/>
    </row>
    <row r="27" spans="1:12" x14ac:dyDescent="0.25">
      <c r="A27" s="6"/>
      <c r="B27" s="6"/>
      <c r="C27" s="6"/>
      <c r="D27" s="25"/>
      <c r="E27" s="25"/>
      <c r="F27" s="25" t="s">
        <v>231</v>
      </c>
      <c r="G27" s="24">
        <v>185000</v>
      </c>
    </row>
    <row r="28" spans="1:12" x14ac:dyDescent="0.25">
      <c r="A28" s="6"/>
      <c r="B28" s="6"/>
      <c r="C28" s="6"/>
      <c r="D28" s="25"/>
      <c r="E28" s="25"/>
      <c r="F28" s="25" t="s">
        <v>232</v>
      </c>
      <c r="G28" s="24">
        <v>315000</v>
      </c>
    </row>
    <row r="29" spans="1:12" x14ac:dyDescent="0.25">
      <c r="A29" s="6"/>
      <c r="B29" s="6"/>
      <c r="C29" s="6"/>
      <c r="D29" s="25"/>
      <c r="E29" s="25"/>
      <c r="F29" s="25" t="s">
        <v>233</v>
      </c>
      <c r="G29" s="24">
        <v>24000</v>
      </c>
    </row>
    <row r="30" spans="1:12" ht="15.75" thickBot="1" x14ac:dyDescent="0.3">
      <c r="A30" s="6"/>
      <c r="B30" s="6"/>
      <c r="C30" s="6"/>
      <c r="D30" s="25"/>
      <c r="E30" s="25"/>
      <c r="F30" s="25" t="s">
        <v>234</v>
      </c>
      <c r="G30" s="27">
        <v>6000</v>
      </c>
    </row>
    <row r="31" spans="1:12" x14ac:dyDescent="0.25">
      <c r="A31" s="6"/>
      <c r="B31" s="6"/>
      <c r="C31" s="6"/>
      <c r="D31" s="25"/>
      <c r="E31" s="25" t="s">
        <v>235</v>
      </c>
      <c r="F31" s="25"/>
      <c r="G31" s="24">
        <f>ROUND(SUM(G26:G30),5)</f>
        <v>530000</v>
      </c>
    </row>
    <row r="32" spans="1:12" x14ac:dyDescent="0.25">
      <c r="A32" s="6"/>
      <c r="B32" s="6"/>
      <c r="C32" s="6"/>
      <c r="D32" s="25"/>
      <c r="E32" s="25" t="s">
        <v>236</v>
      </c>
      <c r="F32" s="25"/>
      <c r="G32" s="24"/>
    </row>
    <row r="33" spans="1:7" x14ac:dyDescent="0.25">
      <c r="A33" s="6"/>
      <c r="B33" s="6"/>
      <c r="C33" s="6"/>
      <c r="D33" s="25"/>
      <c r="E33" s="25"/>
      <c r="F33" s="25" t="s">
        <v>237</v>
      </c>
      <c r="G33" s="24">
        <v>10000</v>
      </c>
    </row>
    <row r="34" spans="1:7" x14ac:dyDescent="0.25">
      <c r="A34" s="6"/>
      <c r="B34" s="6"/>
      <c r="C34" s="6"/>
      <c r="D34" s="25"/>
      <c r="E34" s="25"/>
      <c r="F34" s="25" t="s">
        <v>238</v>
      </c>
      <c r="G34" s="24">
        <v>70000</v>
      </c>
    </row>
    <row r="35" spans="1:7" x14ac:dyDescent="0.25">
      <c r="A35" s="6"/>
      <c r="B35" s="6"/>
      <c r="C35" s="6"/>
      <c r="D35" s="25"/>
      <c r="E35" s="25"/>
      <c r="F35" s="25" t="s">
        <v>239</v>
      </c>
      <c r="G35" s="24">
        <v>8400</v>
      </c>
    </row>
    <row r="36" spans="1:7" ht="15.75" thickBot="1" x14ac:dyDescent="0.3">
      <c r="A36" s="6"/>
      <c r="B36" s="6"/>
      <c r="C36" s="6"/>
      <c r="D36" s="25"/>
      <c r="E36" s="25"/>
      <c r="F36" s="25" t="s">
        <v>240</v>
      </c>
      <c r="G36" s="27">
        <v>2100</v>
      </c>
    </row>
    <row r="37" spans="1:7" x14ac:dyDescent="0.25">
      <c r="A37" s="6"/>
      <c r="B37" s="6"/>
      <c r="C37" s="6"/>
      <c r="D37" s="25"/>
      <c r="E37" s="25" t="s">
        <v>241</v>
      </c>
      <c r="F37" s="25"/>
      <c r="G37" s="24">
        <f>ROUND(SUM(G32:G36),5)</f>
        <v>90500</v>
      </c>
    </row>
    <row r="38" spans="1:7" x14ac:dyDescent="0.25">
      <c r="A38" s="6"/>
      <c r="B38" s="6"/>
      <c r="C38" s="6"/>
      <c r="D38" s="25"/>
      <c r="E38" s="25" t="s">
        <v>242</v>
      </c>
      <c r="F38" s="25"/>
      <c r="G38" s="24"/>
    </row>
    <row r="39" spans="1:7" x14ac:dyDescent="0.25">
      <c r="A39" s="6"/>
      <c r="B39" s="6"/>
      <c r="C39" s="6"/>
      <c r="D39" s="25"/>
      <c r="E39" s="25"/>
      <c r="F39" s="25" t="s">
        <v>243</v>
      </c>
      <c r="G39" s="24">
        <v>368533.33</v>
      </c>
    </row>
    <row r="40" spans="1:7" x14ac:dyDescent="0.25">
      <c r="A40" s="6"/>
      <c r="B40" s="6"/>
      <c r="C40" s="6"/>
      <c r="D40" s="25"/>
      <c r="E40" s="25"/>
      <c r="F40" s="25" t="s">
        <v>244</v>
      </c>
      <c r="G40" s="24">
        <v>725316.67</v>
      </c>
    </row>
    <row r="41" spans="1:7" x14ac:dyDescent="0.25">
      <c r="A41" s="6"/>
      <c r="B41" s="6"/>
      <c r="C41" s="6"/>
      <c r="D41" s="25"/>
      <c r="E41" s="25"/>
      <c r="F41" s="25" t="s">
        <v>245</v>
      </c>
      <c r="G41" s="24">
        <v>87038</v>
      </c>
    </row>
    <row r="42" spans="1:7" ht="15.75" thickBot="1" x14ac:dyDescent="0.3">
      <c r="A42" s="6"/>
      <c r="B42" s="6"/>
      <c r="C42" s="6"/>
      <c r="D42" s="25"/>
      <c r="E42" s="25"/>
      <c r="F42" s="25" t="s">
        <v>246</v>
      </c>
      <c r="G42" s="27">
        <v>21759.5</v>
      </c>
    </row>
    <row r="43" spans="1:7" x14ac:dyDescent="0.25">
      <c r="A43" s="6"/>
      <c r="B43" s="6"/>
      <c r="C43" s="6"/>
      <c r="D43" s="25"/>
      <c r="E43" s="25" t="s">
        <v>247</v>
      </c>
      <c r="F43" s="25"/>
      <c r="G43" s="24">
        <f>ROUND(SUM(G38:G42),5)</f>
        <v>1202647.5</v>
      </c>
    </row>
    <row r="44" spans="1:7" x14ac:dyDescent="0.25">
      <c r="A44" s="6"/>
      <c r="B44" s="6"/>
      <c r="C44" s="6"/>
      <c r="D44" s="25"/>
      <c r="E44" s="25" t="s">
        <v>248</v>
      </c>
      <c r="F44" s="25"/>
      <c r="G44" s="24"/>
    </row>
    <row r="45" spans="1:7" x14ac:dyDescent="0.25">
      <c r="A45" s="6"/>
      <c r="B45" s="6"/>
      <c r="C45" s="6"/>
      <c r="D45" s="25"/>
      <c r="E45" s="25"/>
      <c r="F45" s="25" t="s">
        <v>249</v>
      </c>
      <c r="G45" s="24">
        <v>20100</v>
      </c>
    </row>
    <row r="46" spans="1:7" x14ac:dyDescent="0.25">
      <c r="A46" s="6"/>
      <c r="B46" s="6"/>
      <c r="C46" s="6"/>
      <c r="D46" s="25"/>
      <c r="E46" s="25"/>
      <c r="F46" s="25" t="s">
        <v>250</v>
      </c>
      <c r="G46" s="24">
        <v>162266.67000000001</v>
      </c>
    </row>
    <row r="47" spans="1:7" x14ac:dyDescent="0.25">
      <c r="A47" s="6"/>
      <c r="B47" s="6"/>
      <c r="C47" s="6"/>
      <c r="D47" s="25"/>
      <c r="E47" s="25"/>
      <c r="F47" s="25" t="s">
        <v>251</v>
      </c>
      <c r="G47" s="24">
        <v>19472</v>
      </c>
    </row>
    <row r="48" spans="1:7" ht="15.75" thickBot="1" x14ac:dyDescent="0.3">
      <c r="A48" s="6"/>
      <c r="B48" s="6"/>
      <c r="C48" s="6"/>
      <c r="D48" s="25"/>
      <c r="E48" s="25"/>
      <c r="F48" s="25" t="s">
        <v>252</v>
      </c>
      <c r="G48" s="27">
        <v>4868</v>
      </c>
    </row>
    <row r="49" spans="1:10" x14ac:dyDescent="0.25">
      <c r="A49" s="6"/>
      <c r="B49" s="6"/>
      <c r="C49" s="6"/>
      <c r="D49" s="25"/>
      <c r="E49" s="25" t="s">
        <v>253</v>
      </c>
      <c r="F49" s="25"/>
      <c r="G49" s="24">
        <f>ROUND(SUM(G44:G48),5)</f>
        <v>206706.67</v>
      </c>
    </row>
    <row r="50" spans="1:10" x14ac:dyDescent="0.25">
      <c r="A50" s="6"/>
      <c r="B50" s="6"/>
      <c r="C50" s="6"/>
      <c r="D50" s="25"/>
      <c r="E50" s="25" t="s">
        <v>254</v>
      </c>
      <c r="F50" s="25"/>
      <c r="G50" s="24"/>
    </row>
    <row r="51" spans="1:10" x14ac:dyDescent="0.25">
      <c r="A51" s="6"/>
      <c r="B51" s="6"/>
      <c r="C51" s="6"/>
      <c r="D51" s="25"/>
      <c r="E51" s="25"/>
      <c r="F51" s="25" t="s">
        <v>255</v>
      </c>
      <c r="G51" s="24">
        <v>25500</v>
      </c>
    </row>
    <row r="52" spans="1:10" x14ac:dyDescent="0.25">
      <c r="A52" s="6"/>
      <c r="B52" s="6"/>
      <c r="C52" s="6"/>
      <c r="D52" s="25"/>
      <c r="E52" s="25"/>
      <c r="F52" s="25" t="s">
        <v>256</v>
      </c>
      <c r="G52" s="24">
        <v>124500</v>
      </c>
    </row>
    <row r="53" spans="1:10" x14ac:dyDescent="0.25">
      <c r="A53" s="6"/>
      <c r="B53" s="6"/>
      <c r="C53" s="6"/>
      <c r="D53" s="25"/>
      <c r="E53" s="25"/>
      <c r="F53" s="25" t="s">
        <v>257</v>
      </c>
      <c r="G53" s="24">
        <v>14940</v>
      </c>
    </row>
    <row r="54" spans="1:10" ht="15.75" thickBot="1" x14ac:dyDescent="0.3">
      <c r="A54" s="6"/>
      <c r="B54" s="6"/>
      <c r="C54" s="6"/>
      <c r="D54" s="25"/>
      <c r="E54" s="25"/>
      <c r="F54" s="25" t="s">
        <v>258</v>
      </c>
      <c r="G54" s="26">
        <v>3735</v>
      </c>
    </row>
    <row r="55" spans="1:10" ht="15.75" thickBot="1" x14ac:dyDescent="0.3">
      <c r="A55" s="6"/>
      <c r="B55" s="6"/>
      <c r="C55" s="6"/>
      <c r="D55" s="25"/>
      <c r="E55" s="25" t="s">
        <v>259</v>
      </c>
      <c r="F55" s="25"/>
      <c r="G55" s="28">
        <f>ROUND(SUM(G50:G54),5)</f>
        <v>168675</v>
      </c>
      <c r="I55" s="15"/>
      <c r="J55" s="15"/>
    </row>
    <row r="56" spans="1:10" x14ac:dyDescent="0.25">
      <c r="A56" s="6"/>
      <c r="B56" s="6"/>
      <c r="C56" s="6"/>
      <c r="D56" s="25" t="s">
        <v>260</v>
      </c>
      <c r="E56" s="25"/>
      <c r="F56" s="25"/>
      <c r="G56" s="24">
        <f>ROUND(G13+G19+G25+G31+G37+G43+G49+G55,5)</f>
        <v>2664262.5</v>
      </c>
      <c r="I56" s="15"/>
      <c r="J56" s="15"/>
    </row>
    <row r="57" spans="1:10" s="15" customFormat="1" x14ac:dyDescent="0.25">
      <c r="A57" s="71"/>
      <c r="B57" s="71"/>
      <c r="C57" s="71"/>
      <c r="D57" s="71"/>
      <c r="E57" s="71" t="s">
        <v>215</v>
      </c>
      <c r="F57" s="71"/>
      <c r="G57" s="45">
        <v>86235</v>
      </c>
      <c r="I57" s="4"/>
      <c r="J57" s="4"/>
    </row>
    <row r="58" spans="1:10" s="15" customFormat="1" x14ac:dyDescent="0.25">
      <c r="A58" s="71"/>
      <c r="B58" s="71"/>
      <c r="C58" s="71"/>
      <c r="D58" s="71"/>
      <c r="E58" s="71" t="s">
        <v>261</v>
      </c>
      <c r="F58" s="71"/>
      <c r="G58" s="72">
        <v>12438.1</v>
      </c>
      <c r="I58" s="4"/>
      <c r="J58" s="4"/>
    </row>
    <row r="59" spans="1:10" x14ac:dyDescent="0.25">
      <c r="B59" s="6"/>
      <c r="C59" s="6"/>
      <c r="D59" s="74" t="s">
        <v>141</v>
      </c>
      <c r="E59" s="74"/>
      <c r="F59" s="74"/>
      <c r="G59" s="75"/>
    </row>
    <row r="60" spans="1:10" ht="15.75" thickBot="1" x14ac:dyDescent="0.3">
      <c r="B60" s="6"/>
      <c r="C60" s="6"/>
      <c r="D60" s="74"/>
      <c r="E60" s="74" t="s">
        <v>140</v>
      </c>
      <c r="F60" s="74"/>
      <c r="G60" s="76">
        <v>225000</v>
      </c>
    </row>
    <row r="61" spans="1:10" x14ac:dyDescent="0.25">
      <c r="B61" s="6"/>
      <c r="C61" s="6"/>
      <c r="D61" s="74"/>
      <c r="E61" s="74" t="s">
        <v>143</v>
      </c>
      <c r="F61" s="74"/>
      <c r="G61" s="75">
        <v>40573</v>
      </c>
    </row>
    <row r="62" spans="1:10" x14ac:dyDescent="0.25">
      <c r="B62" s="6"/>
      <c r="C62" s="6"/>
      <c r="D62" s="74"/>
      <c r="E62" s="74" t="s">
        <v>144</v>
      </c>
      <c r="F62" s="74"/>
      <c r="G62" s="75">
        <v>11710</v>
      </c>
    </row>
    <row r="63" spans="1:10" x14ac:dyDescent="0.25">
      <c r="B63" s="6"/>
      <c r="C63" s="6"/>
      <c r="D63" s="74"/>
      <c r="E63" s="74" t="s">
        <v>145</v>
      </c>
      <c r="F63" s="74"/>
      <c r="G63" s="75">
        <v>10406</v>
      </c>
    </row>
    <row r="64" spans="1:10" x14ac:dyDescent="0.25">
      <c r="B64" s="6"/>
      <c r="C64" s="6"/>
      <c r="D64" s="74"/>
      <c r="E64" s="74" t="s">
        <v>146</v>
      </c>
      <c r="F64" s="74"/>
      <c r="G64" s="75">
        <v>48310</v>
      </c>
    </row>
    <row r="65" spans="2:7" s="4" customFormat="1" ht="15.75" thickBot="1" x14ac:dyDescent="0.3">
      <c r="B65" s="6"/>
      <c r="C65" s="6"/>
      <c r="D65" s="74"/>
      <c r="E65" s="74" t="s">
        <v>147</v>
      </c>
      <c r="F65" s="74"/>
      <c r="G65" s="76">
        <v>6450</v>
      </c>
    </row>
    <row r="66" spans="2:7" s="4" customFormat="1" x14ac:dyDescent="0.25">
      <c r="B66" s="6"/>
      <c r="C66" s="6"/>
      <c r="D66" s="74" t="s">
        <v>148</v>
      </c>
      <c r="E66" s="74"/>
      <c r="F66" s="74"/>
      <c r="G66" s="75">
        <f>ROUND(SUM(G59:G65),5)</f>
        <v>342449</v>
      </c>
    </row>
    <row r="67" spans="2:7" s="4" customFormat="1" x14ac:dyDescent="0.25">
      <c r="B67" s="6"/>
      <c r="C67" s="6"/>
      <c r="D67" s="74" t="s">
        <v>149</v>
      </c>
      <c r="E67" s="74"/>
      <c r="F67" s="74"/>
      <c r="G67" s="75"/>
    </row>
    <row r="68" spans="2:7" s="4" customFormat="1" x14ac:dyDescent="0.25">
      <c r="B68" s="6"/>
      <c r="C68" s="6"/>
      <c r="D68" s="74"/>
      <c r="E68" s="74" t="s">
        <v>150</v>
      </c>
      <c r="F68" s="74"/>
      <c r="G68" s="75">
        <v>8343.07</v>
      </c>
    </row>
    <row r="69" spans="2:7" s="4" customFormat="1" x14ac:dyDescent="0.25">
      <c r="B69" s="6"/>
      <c r="C69" s="6"/>
      <c r="D69" s="74"/>
      <c r="E69" s="74" t="s">
        <v>151</v>
      </c>
      <c r="F69" s="74"/>
      <c r="G69" s="75">
        <v>107965.28</v>
      </c>
    </row>
    <row r="70" spans="2:7" s="4" customFormat="1" ht="15.75" thickBot="1" x14ac:dyDescent="0.3">
      <c r="B70" s="6"/>
      <c r="C70" s="6"/>
      <c r="D70" s="74"/>
      <c r="E70" s="74" t="s">
        <v>152</v>
      </c>
      <c r="F70" s="74"/>
      <c r="G70" s="76">
        <v>89941.59</v>
      </c>
    </row>
    <row r="71" spans="2:7" s="4" customFormat="1" x14ac:dyDescent="0.25">
      <c r="B71" s="6"/>
      <c r="C71" s="6"/>
      <c r="D71" s="74" t="s">
        <v>153</v>
      </c>
      <c r="E71" s="74"/>
      <c r="F71" s="74"/>
      <c r="G71" s="75">
        <f>ROUND(SUM(G67:G70),5)</f>
        <v>206249.94</v>
      </c>
    </row>
    <row r="72" spans="2:7" s="4" customFormat="1" x14ac:dyDescent="0.25">
      <c r="B72" s="6"/>
      <c r="C72" s="6"/>
      <c r="D72" s="74" t="s">
        <v>154</v>
      </c>
      <c r="E72" s="74"/>
      <c r="F72" s="74"/>
      <c r="G72" s="75"/>
    </row>
    <row r="73" spans="2:7" s="4" customFormat="1" x14ac:dyDescent="0.25">
      <c r="B73" s="6"/>
      <c r="C73" s="6"/>
      <c r="D73" s="74"/>
      <c r="E73" s="74" t="s">
        <v>156</v>
      </c>
      <c r="F73" s="74"/>
      <c r="G73" s="75">
        <v>11384.8</v>
      </c>
    </row>
    <row r="74" spans="2:7" s="4" customFormat="1" x14ac:dyDescent="0.25">
      <c r="B74" s="6"/>
      <c r="C74" s="6"/>
      <c r="D74" s="74"/>
      <c r="E74" s="74" t="s">
        <v>158</v>
      </c>
      <c r="F74" s="74"/>
      <c r="G74" s="77">
        <v>87675.6</v>
      </c>
    </row>
    <row r="75" spans="2:7" s="4" customFormat="1" x14ac:dyDescent="0.25">
      <c r="B75" s="6"/>
      <c r="C75" s="6"/>
      <c r="D75" s="74"/>
      <c r="E75" s="74" t="s">
        <v>155</v>
      </c>
      <c r="F75" s="74"/>
      <c r="G75" s="77">
        <v>10475.4</v>
      </c>
    </row>
    <row r="76" spans="2:7" s="4" customFormat="1" x14ac:dyDescent="0.25">
      <c r="B76" s="6"/>
      <c r="C76" s="6"/>
      <c r="D76" s="74"/>
      <c r="E76" s="74" t="s">
        <v>157</v>
      </c>
      <c r="F76" s="74"/>
      <c r="G76" s="75">
        <v>70000</v>
      </c>
    </row>
    <row r="77" spans="2:7" s="4" customFormat="1" x14ac:dyDescent="0.25">
      <c r="B77" s="6"/>
      <c r="C77" s="6"/>
      <c r="D77" s="74" t="s">
        <v>159</v>
      </c>
      <c r="E77" s="74"/>
      <c r="F77" s="74"/>
      <c r="G77" s="75">
        <f>ROUND(SUM(G72:G76),5)</f>
        <v>179535.8</v>
      </c>
    </row>
    <row r="78" spans="2:7" s="4" customFormat="1" x14ac:dyDescent="0.25">
      <c r="B78" s="6"/>
      <c r="C78" s="6"/>
      <c r="D78" s="74" t="s">
        <v>160</v>
      </c>
      <c r="E78" s="74"/>
      <c r="F78" s="74"/>
      <c r="G78" s="75"/>
    </row>
    <row r="79" spans="2:7" s="4" customFormat="1" x14ac:dyDescent="0.25">
      <c r="B79" s="6"/>
      <c r="C79" s="6"/>
      <c r="D79" s="74"/>
      <c r="E79" s="74" t="s">
        <v>161</v>
      </c>
      <c r="F79" s="74"/>
      <c r="G79" s="75">
        <v>5000</v>
      </c>
    </row>
    <row r="80" spans="2:7" s="4" customFormat="1" ht="15.75" thickBot="1" x14ac:dyDescent="0.3">
      <c r="B80" s="6"/>
      <c r="C80" s="6"/>
      <c r="D80" s="74"/>
      <c r="E80" s="74" t="s">
        <v>162</v>
      </c>
      <c r="F80" s="74"/>
      <c r="G80" s="76">
        <v>28586</v>
      </c>
    </row>
    <row r="81" spans="1:10" x14ac:dyDescent="0.25">
      <c r="B81" s="6"/>
      <c r="C81" s="6"/>
      <c r="D81" s="74" t="s">
        <v>163</v>
      </c>
      <c r="E81" s="74"/>
      <c r="F81" s="74"/>
      <c r="G81" s="75">
        <f>ROUND(SUM(G78:G80),5)</f>
        <v>33586</v>
      </c>
    </row>
    <row r="82" spans="1:10" x14ac:dyDescent="0.25">
      <c r="B82" s="6"/>
      <c r="C82" s="6"/>
      <c r="D82" s="74" t="s">
        <v>164</v>
      </c>
      <c r="E82" s="74"/>
      <c r="F82" s="74"/>
      <c r="G82" s="75"/>
    </row>
    <row r="83" spans="1:10" ht="15.75" thickBot="1" x14ac:dyDescent="0.3">
      <c r="B83" s="6"/>
      <c r="C83" s="6"/>
      <c r="D83" s="74"/>
      <c r="E83" s="74" t="s">
        <v>165</v>
      </c>
      <c r="F83" s="74"/>
      <c r="G83" s="76">
        <v>2865</v>
      </c>
    </row>
    <row r="84" spans="1:10" x14ac:dyDescent="0.25">
      <c r="B84" s="6"/>
      <c r="C84" s="6"/>
      <c r="D84" s="74" t="s">
        <v>166</v>
      </c>
      <c r="E84" s="74"/>
      <c r="F84" s="74"/>
      <c r="G84" s="75">
        <f>ROUND(SUM(G82:G83),5)</f>
        <v>2865</v>
      </c>
    </row>
    <row r="85" spans="1:10" x14ac:dyDescent="0.25">
      <c r="B85" s="6"/>
      <c r="C85" s="6"/>
      <c r="D85" s="74" t="s">
        <v>167</v>
      </c>
      <c r="E85" s="74"/>
      <c r="F85" s="74"/>
      <c r="G85" s="75"/>
    </row>
    <row r="86" spans="1:10" x14ac:dyDescent="0.25">
      <c r="B86" s="6"/>
      <c r="C86" s="6"/>
      <c r="D86" s="74"/>
      <c r="E86" s="74" t="s">
        <v>168</v>
      </c>
      <c r="F86" s="74"/>
      <c r="G86" s="75">
        <v>68069.8</v>
      </c>
    </row>
    <row r="87" spans="1:10" x14ac:dyDescent="0.25">
      <c r="B87" s="6"/>
      <c r="C87" s="6"/>
      <c r="D87" s="74"/>
      <c r="E87" s="74" t="s">
        <v>169</v>
      </c>
      <c r="F87" s="74"/>
      <c r="G87" s="75">
        <v>463702.25</v>
      </c>
    </row>
    <row r="88" spans="1:10" x14ac:dyDescent="0.25">
      <c r="B88" s="6"/>
      <c r="C88" s="6"/>
      <c r="D88" s="74"/>
      <c r="E88" s="74" t="s">
        <v>170</v>
      </c>
      <c r="F88" s="74"/>
      <c r="G88" s="75">
        <v>500</v>
      </c>
    </row>
    <row r="89" spans="1:10" ht="15.75" thickBot="1" x14ac:dyDescent="0.3">
      <c r="B89" s="6"/>
      <c r="C89" s="6"/>
      <c r="D89" s="74"/>
      <c r="E89" s="74" t="s">
        <v>171</v>
      </c>
      <c r="F89" s="74"/>
      <c r="G89" s="77">
        <v>22699.4</v>
      </c>
    </row>
    <row r="90" spans="1:10" ht="15.75" thickBot="1" x14ac:dyDescent="0.3">
      <c r="B90" s="6"/>
      <c r="C90" s="6"/>
      <c r="D90" s="74" t="s">
        <v>172</v>
      </c>
      <c r="E90" s="74"/>
      <c r="F90" s="74"/>
      <c r="G90" s="78">
        <f>ROUND(SUM(G85:G89),5)</f>
        <v>554971.44999999995</v>
      </c>
    </row>
    <row r="91" spans="1:10" ht="15.75" thickBot="1" x14ac:dyDescent="0.3">
      <c r="A91" s="6"/>
      <c r="B91" s="6"/>
      <c r="C91" s="6"/>
      <c r="D91" s="6" t="s">
        <v>175</v>
      </c>
      <c r="E91" s="6"/>
      <c r="F91" s="6"/>
      <c r="G91" s="11">
        <f>ROUND(SUM(J9+J22),5)</f>
        <v>971050.76399999997</v>
      </c>
      <c r="I91" s="19"/>
      <c r="J91" s="19"/>
    </row>
    <row r="92" spans="1:10" ht="15.75" thickBot="1" x14ac:dyDescent="0.3">
      <c r="A92" s="6"/>
      <c r="B92" s="6" t="s">
        <v>176</v>
      </c>
      <c r="C92" s="6"/>
      <c r="D92" s="6"/>
      <c r="E92" s="6"/>
      <c r="F92" s="6"/>
      <c r="G92" s="11">
        <f>ROUND(G3+G11-G91,5)</f>
        <v>2791449.236</v>
      </c>
    </row>
    <row r="93" spans="1:10" s="19" customFormat="1" ht="15.75" thickBot="1" x14ac:dyDescent="0.3">
      <c r="A93" s="6" t="s">
        <v>177</v>
      </c>
      <c r="B93" s="6"/>
      <c r="C93" s="6"/>
      <c r="D93" s="6"/>
      <c r="E93" s="6"/>
      <c r="F93" s="6"/>
      <c r="G93" s="12">
        <f>G92</f>
        <v>2791449.236</v>
      </c>
      <c r="I93" s="4"/>
      <c r="J93" s="4"/>
    </row>
    <row r="94" spans="1:10" ht="15.75" thickTop="1" x14ac:dyDescent="0.25"/>
    <row r="95" spans="1:10" x14ac:dyDescent="0.25">
      <c r="G95" s="14">
        <f>G93/130000</f>
        <v>21.47268643076923</v>
      </c>
    </row>
  </sheetData>
  <pageMargins left="0.7" right="0.7" top="0.75" bottom="0.75" header="0.25" footer="0.3"/>
  <pageSetup orientation="portrait" horizontalDpi="4294967292" verticalDpi="0" r:id="rId1"/>
  <headerFooter>
    <oddHeader>&amp;L&amp;"Arial,Bold"&amp;8 4:36 AM
&amp;"Arial,Bold"&amp;8 02/06/15
&amp;"Arial,Bold"&amp;8 Accrual Basis&amp;C&amp;"Arial,Bold"&amp;12 TeKnowledge Shared Services (Pvt) Ltd
&amp;"Arial,Bold"&amp;14 Profit &amp;&amp; Loss
&amp;"Arial,Bold"&amp;10 January 2 - 29, 2015</oddHeader>
    <oddFooter>&amp;R&amp;"Arial,Bold"&amp;8 Page &amp;P of &amp;N</oddFooter>
  </headerFooter>
  <drawing r:id="rId2"/>
  <legacyDrawing r:id="rId3"/>
  <controls>
    <mc:AlternateContent xmlns:mc="http://schemas.openxmlformats.org/markup-compatibility/2006">
      <mc:Choice Requires="x14">
        <control shapeId="148482" r:id="rId4" name="HEADER">
          <controlPr defaultSize="0" autoLine="0" r:id="rId5">
            <anchor moveWithCells="1">
              <from>
                <xdr:col>0</xdr:col>
                <xdr:colOff>0</xdr:colOff>
                <xdr:row>1</xdr:row>
                <xdr:rowOff>0</xdr:rowOff>
              </from>
              <to>
                <xdr:col>4</xdr:col>
                <xdr:colOff>114300</xdr:colOff>
                <xdr:row>1</xdr:row>
                <xdr:rowOff>228600</xdr:rowOff>
              </to>
            </anchor>
          </controlPr>
        </control>
      </mc:Choice>
      <mc:Fallback>
        <control shapeId="148482" r:id="rId4" name="HEADER"/>
      </mc:Fallback>
    </mc:AlternateContent>
    <mc:AlternateContent xmlns:mc="http://schemas.openxmlformats.org/markup-compatibility/2006">
      <mc:Choice Requires="x14">
        <control shapeId="148481" r:id="rId6" name="FILTER">
          <controlPr defaultSize="0" autoLine="0" r:id="rId7">
            <anchor moveWithCells="1">
              <from>
                <xdr:col>0</xdr:col>
                <xdr:colOff>0</xdr:colOff>
                <xdr:row>1</xdr:row>
                <xdr:rowOff>0</xdr:rowOff>
              </from>
              <to>
                <xdr:col>4</xdr:col>
                <xdr:colOff>114300</xdr:colOff>
                <xdr:row>1</xdr:row>
                <xdr:rowOff>228600</xdr:rowOff>
              </to>
            </anchor>
          </controlPr>
        </control>
      </mc:Choice>
      <mc:Fallback>
        <control shapeId="148481" r:id="rId6" name="FILTER"/>
      </mc:Fallback>
    </mc:AlternateContent>
  </control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C000"/>
  </sheetPr>
  <dimension ref="A1:J8"/>
  <sheetViews>
    <sheetView workbookViewId="0"/>
  </sheetViews>
  <sheetFormatPr defaultRowHeight="15" x14ac:dyDescent="0.25"/>
  <cols>
    <col min="8" max="8" width="10" bestFit="1" customWidth="1"/>
    <col min="10" max="10" width="10.7109375" bestFit="1" customWidth="1"/>
  </cols>
  <sheetData>
    <row r="1" spans="1:10" s="4" customFormat="1" x14ac:dyDescent="0.25">
      <c r="A1" s="4" t="s">
        <v>434</v>
      </c>
    </row>
    <row r="2" spans="1:10" s="4" customFormat="1" ht="15.75" thickBot="1" x14ac:dyDescent="0.3"/>
    <row r="3" spans="1:10" ht="15.75" thickBot="1" x14ac:dyDescent="0.3">
      <c r="A3" s="94" t="s">
        <v>420</v>
      </c>
      <c r="B3" s="95" t="s">
        <v>421</v>
      </c>
      <c r="C3" s="95" t="s">
        <v>422</v>
      </c>
      <c r="D3" s="95" t="s">
        <v>423</v>
      </c>
      <c r="E3" s="95" t="s">
        <v>424</v>
      </c>
      <c r="F3" s="95" t="s">
        <v>425</v>
      </c>
      <c r="G3" s="95" t="s">
        <v>426</v>
      </c>
      <c r="H3" s="95" t="s">
        <v>427</v>
      </c>
      <c r="I3" s="95" t="s">
        <v>428</v>
      </c>
      <c r="J3" s="96" t="s">
        <v>429</v>
      </c>
    </row>
    <row r="4" spans="1:10" x14ac:dyDescent="0.25">
      <c r="A4" s="120" t="s">
        <v>396</v>
      </c>
      <c r="B4" s="122">
        <v>0.25</v>
      </c>
      <c r="C4" s="122">
        <v>0.2</v>
      </c>
      <c r="D4" s="122">
        <v>0.1</v>
      </c>
      <c r="E4" s="122">
        <v>0.15</v>
      </c>
      <c r="F4" s="122">
        <v>0.2</v>
      </c>
      <c r="G4" s="122">
        <v>0.1</v>
      </c>
      <c r="H4" s="122">
        <v>0.1</v>
      </c>
      <c r="I4" s="122">
        <v>0.5</v>
      </c>
      <c r="J4" s="122">
        <v>0.55000000000000004</v>
      </c>
    </row>
    <row r="5" spans="1:10" x14ac:dyDescent="0.25">
      <c r="A5" s="121" t="s">
        <v>395</v>
      </c>
      <c r="B5" s="123">
        <v>0.5</v>
      </c>
      <c r="C5" s="123">
        <v>0.3</v>
      </c>
      <c r="D5" s="123">
        <v>0.45</v>
      </c>
      <c r="E5" s="123">
        <v>0.45</v>
      </c>
      <c r="F5" s="123">
        <v>0.5</v>
      </c>
      <c r="G5" s="123">
        <v>0.35</v>
      </c>
      <c r="H5" s="123">
        <v>0.15</v>
      </c>
      <c r="I5" s="123">
        <v>0.35</v>
      </c>
      <c r="J5" s="123">
        <v>0.3</v>
      </c>
    </row>
    <row r="6" spans="1:10" x14ac:dyDescent="0.25">
      <c r="A6" s="99" t="s">
        <v>430</v>
      </c>
      <c r="B6" s="100">
        <v>0.2</v>
      </c>
      <c r="C6" s="100">
        <v>0.45</v>
      </c>
      <c r="D6" s="100">
        <v>0.3</v>
      </c>
      <c r="E6" s="100">
        <v>0.35</v>
      </c>
      <c r="F6" s="100">
        <v>0.2</v>
      </c>
      <c r="G6" s="100">
        <v>0.45</v>
      </c>
      <c r="H6" s="100">
        <v>0.7</v>
      </c>
      <c r="I6" s="100">
        <v>0.1</v>
      </c>
      <c r="J6" s="100">
        <v>0.1</v>
      </c>
    </row>
    <row r="7" spans="1:10" x14ac:dyDescent="0.25">
      <c r="A7" s="99" t="s">
        <v>431</v>
      </c>
      <c r="B7" s="100">
        <v>0.05</v>
      </c>
      <c r="C7" s="100">
        <v>0.05</v>
      </c>
      <c r="D7" s="100">
        <v>0.15</v>
      </c>
      <c r="E7" s="100">
        <v>0.05</v>
      </c>
      <c r="F7" s="100">
        <v>0.1</v>
      </c>
      <c r="G7" s="100">
        <v>0.1</v>
      </c>
      <c r="H7" s="100">
        <v>0.05</v>
      </c>
      <c r="I7" s="100">
        <v>0.05</v>
      </c>
      <c r="J7" s="100">
        <v>0.05</v>
      </c>
    </row>
    <row r="8" spans="1:10" x14ac:dyDescent="0.25">
      <c r="A8" s="101" t="s">
        <v>12</v>
      </c>
      <c r="B8" s="102">
        <f t="shared" ref="B8:J8" si="0">SUM(B4:B7)</f>
        <v>1</v>
      </c>
      <c r="C8" s="102">
        <f t="shared" si="0"/>
        <v>1</v>
      </c>
      <c r="D8" s="102">
        <f t="shared" si="0"/>
        <v>1</v>
      </c>
      <c r="E8" s="102">
        <f t="shared" si="0"/>
        <v>1</v>
      </c>
      <c r="F8" s="102">
        <f t="shared" si="0"/>
        <v>0.99999999999999989</v>
      </c>
      <c r="G8" s="102">
        <f t="shared" si="0"/>
        <v>0.99999999999999989</v>
      </c>
      <c r="H8" s="102">
        <f t="shared" si="0"/>
        <v>1</v>
      </c>
      <c r="I8" s="102">
        <f t="shared" si="0"/>
        <v>1</v>
      </c>
      <c r="J8" s="102">
        <f t="shared" si="0"/>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499984740745262"/>
  </sheetPr>
  <dimension ref="A1:O230"/>
  <sheetViews>
    <sheetView topLeftCell="A16" workbookViewId="0">
      <selection activeCell="O22" sqref="O22"/>
    </sheetView>
  </sheetViews>
  <sheetFormatPr defaultRowHeight="15" x14ac:dyDescent="0.25"/>
  <cols>
    <col min="8" max="8" width="10" bestFit="1" customWidth="1"/>
    <col min="10" max="10" width="10.7109375" bestFit="1" customWidth="1"/>
    <col min="15" max="15" width="13.28515625" bestFit="1" customWidth="1"/>
  </cols>
  <sheetData>
    <row r="1" spans="1:11" s="4" customFormat="1" x14ac:dyDescent="0.25">
      <c r="A1" s="51" t="s">
        <v>354</v>
      </c>
      <c r="B1"/>
      <c r="C1"/>
      <c r="D1"/>
      <c r="E1"/>
      <c r="F1"/>
      <c r="G1"/>
      <c r="H1"/>
      <c r="I1"/>
      <c r="J1"/>
    </row>
    <row r="2" spans="1:11" s="4" customFormat="1" x14ac:dyDescent="0.25">
      <c r="A2" s="51"/>
      <c r="B2"/>
      <c r="C2"/>
      <c r="D2"/>
      <c r="E2"/>
      <c r="F2"/>
      <c r="G2"/>
      <c r="H2"/>
      <c r="I2"/>
      <c r="J2"/>
    </row>
    <row r="3" spans="1:11" s="4" customFormat="1" x14ac:dyDescent="0.25">
      <c r="A3" s="51" t="s">
        <v>400</v>
      </c>
      <c r="B3"/>
      <c r="C3"/>
      <c r="D3"/>
      <c r="E3"/>
      <c r="F3"/>
      <c r="G3"/>
      <c r="H3"/>
      <c r="I3"/>
      <c r="J3"/>
    </row>
    <row r="4" spans="1:11" s="4" customFormat="1" x14ac:dyDescent="0.25">
      <c r="A4" s="51"/>
      <c r="B4"/>
      <c r="C4"/>
      <c r="D4"/>
      <c r="E4"/>
      <c r="F4"/>
      <c r="G4"/>
      <c r="H4"/>
      <c r="I4"/>
      <c r="J4"/>
    </row>
    <row r="5" spans="1:11" s="4" customFormat="1" x14ac:dyDescent="0.25">
      <c r="A5" s="92" t="s">
        <v>401</v>
      </c>
      <c r="B5" s="93"/>
      <c r="C5" s="93"/>
      <c r="D5" s="93"/>
      <c r="E5" s="93"/>
      <c r="F5" s="93"/>
      <c r="G5" s="93"/>
      <c r="H5"/>
      <c r="I5"/>
      <c r="J5"/>
    </row>
    <row r="6" spans="1:11" s="4" customFormat="1" x14ac:dyDescent="0.25">
      <c r="A6" s="51"/>
      <c r="B6"/>
      <c r="C6"/>
      <c r="D6"/>
      <c r="E6"/>
      <c r="F6"/>
      <c r="G6"/>
      <c r="H6"/>
      <c r="I6"/>
      <c r="J6"/>
    </row>
    <row r="7" spans="1:11" s="4" customFormat="1" x14ac:dyDescent="0.25">
      <c r="A7" s="51" t="s">
        <v>402</v>
      </c>
      <c r="B7"/>
      <c r="C7"/>
      <c r="D7"/>
      <c r="E7"/>
      <c r="F7"/>
      <c r="G7"/>
      <c r="H7"/>
      <c r="I7"/>
      <c r="J7"/>
    </row>
    <row r="8" spans="1:11" s="4" customFormat="1" x14ac:dyDescent="0.25">
      <c r="A8" s="92" t="s">
        <v>403</v>
      </c>
      <c r="B8" s="93"/>
      <c r="C8" s="93"/>
      <c r="D8" s="93"/>
      <c r="E8" s="93"/>
      <c r="F8" s="93"/>
      <c r="G8" s="93"/>
      <c r="H8" s="93"/>
      <c r="I8" s="93"/>
      <c r="J8" s="93"/>
      <c r="K8" s="93"/>
    </row>
    <row r="9" spans="1:11" s="4" customFormat="1" x14ac:dyDescent="0.25">
      <c r="A9" s="92" t="s">
        <v>404</v>
      </c>
      <c r="B9" s="93"/>
      <c r="C9" s="93"/>
      <c r="D9" s="93"/>
      <c r="E9" s="93"/>
      <c r="F9" s="93"/>
      <c r="G9" s="93"/>
      <c r="H9" s="93"/>
      <c r="I9"/>
      <c r="J9"/>
    </row>
    <row r="10" spans="1:11" s="4" customFormat="1" x14ac:dyDescent="0.25">
      <c r="A10" s="51" t="s">
        <v>405</v>
      </c>
      <c r="B10"/>
      <c r="C10"/>
      <c r="D10"/>
      <c r="E10"/>
      <c r="F10"/>
      <c r="G10"/>
      <c r="H10"/>
      <c r="I10"/>
      <c r="J10"/>
    </row>
    <row r="11" spans="1:11" s="4" customFormat="1" x14ac:dyDescent="0.25">
      <c r="A11" s="51" t="s">
        <v>406</v>
      </c>
      <c r="B11"/>
      <c r="C11"/>
      <c r="D11"/>
      <c r="E11"/>
      <c r="F11"/>
      <c r="G11"/>
      <c r="H11"/>
      <c r="I11"/>
      <c r="J11"/>
    </row>
    <row r="12" spans="1:11" s="4" customFormat="1" x14ac:dyDescent="0.25">
      <c r="A12" s="51" t="s">
        <v>407</v>
      </c>
      <c r="B12"/>
      <c r="C12"/>
      <c r="D12"/>
      <c r="E12"/>
      <c r="F12"/>
      <c r="G12"/>
      <c r="H12"/>
      <c r="I12"/>
      <c r="J12"/>
    </row>
    <row r="13" spans="1:11" s="4" customFormat="1" x14ac:dyDescent="0.25">
      <c r="A13" s="51" t="s">
        <v>408</v>
      </c>
      <c r="B13"/>
      <c r="C13"/>
      <c r="D13"/>
      <c r="E13"/>
      <c r="F13"/>
      <c r="G13"/>
      <c r="H13"/>
      <c r="I13"/>
      <c r="J13"/>
    </row>
    <row r="14" spans="1:11" s="4" customFormat="1" x14ac:dyDescent="0.25">
      <c r="A14" s="51" t="s">
        <v>409</v>
      </c>
      <c r="B14"/>
      <c r="C14"/>
      <c r="D14"/>
      <c r="E14"/>
      <c r="F14"/>
      <c r="G14"/>
      <c r="H14"/>
      <c r="I14"/>
      <c r="J14"/>
    </row>
    <row r="15" spans="1:11" s="4" customFormat="1" x14ac:dyDescent="0.25">
      <c r="A15" s="51" t="s">
        <v>408</v>
      </c>
      <c r="B15"/>
      <c r="C15"/>
      <c r="D15"/>
      <c r="E15"/>
      <c r="F15"/>
      <c r="G15"/>
      <c r="H15"/>
      <c r="I15"/>
      <c r="J15"/>
    </row>
    <row r="16" spans="1:11" s="4" customFormat="1" x14ac:dyDescent="0.25">
      <c r="A16" s="51" t="s">
        <v>410</v>
      </c>
      <c r="B16"/>
      <c r="C16"/>
      <c r="D16"/>
      <c r="E16"/>
      <c r="F16"/>
      <c r="G16"/>
      <c r="H16"/>
      <c r="I16"/>
      <c r="J16"/>
    </row>
    <row r="17" spans="1:10" s="4" customFormat="1" x14ac:dyDescent="0.25">
      <c r="A17" s="51" t="s">
        <v>411</v>
      </c>
      <c r="B17"/>
      <c r="C17"/>
      <c r="D17"/>
      <c r="E17"/>
      <c r="F17"/>
      <c r="G17"/>
      <c r="H17"/>
      <c r="I17"/>
      <c r="J17"/>
    </row>
    <row r="18" spans="1:10" s="4" customFormat="1" x14ac:dyDescent="0.25">
      <c r="A18" s="51" t="s">
        <v>412</v>
      </c>
      <c r="B18"/>
      <c r="C18"/>
      <c r="D18"/>
      <c r="E18"/>
      <c r="F18"/>
      <c r="G18"/>
      <c r="H18"/>
      <c r="I18"/>
      <c r="J18"/>
    </row>
    <row r="19" spans="1:10" s="4" customFormat="1" x14ac:dyDescent="0.25">
      <c r="A19" s="51" t="s">
        <v>413</v>
      </c>
      <c r="B19"/>
      <c r="C19"/>
      <c r="D19"/>
      <c r="E19"/>
      <c r="F19"/>
      <c r="G19"/>
      <c r="H19"/>
      <c r="I19"/>
      <c r="J19"/>
    </row>
    <row r="20" spans="1:10" s="4" customFormat="1" x14ac:dyDescent="0.25">
      <c r="A20" s="51"/>
      <c r="B20"/>
      <c r="C20"/>
      <c r="D20"/>
      <c r="E20"/>
      <c r="F20"/>
      <c r="G20"/>
      <c r="H20"/>
      <c r="I20"/>
      <c r="J20"/>
    </row>
    <row r="21" spans="1:10" s="4" customFormat="1" x14ac:dyDescent="0.25">
      <c r="A21" s="51" t="s">
        <v>414</v>
      </c>
      <c r="B21"/>
      <c r="C21"/>
      <c r="D21"/>
      <c r="E21"/>
      <c r="F21"/>
      <c r="G21"/>
      <c r="H21"/>
      <c r="I21"/>
      <c r="J21"/>
    </row>
    <row r="22" spans="1:10" s="4" customFormat="1" x14ac:dyDescent="0.25">
      <c r="A22" s="51" t="s">
        <v>415</v>
      </c>
      <c r="B22"/>
      <c r="C22"/>
      <c r="D22"/>
      <c r="E22"/>
      <c r="F22"/>
      <c r="G22"/>
      <c r="H22"/>
      <c r="I22"/>
      <c r="J22"/>
    </row>
    <row r="23" spans="1:10" s="4" customFormat="1" x14ac:dyDescent="0.25">
      <c r="A23" s="51" t="s">
        <v>416</v>
      </c>
      <c r="B23"/>
      <c r="C23"/>
      <c r="D23"/>
      <c r="E23"/>
      <c r="F23"/>
      <c r="G23"/>
      <c r="H23"/>
      <c r="I23"/>
      <c r="J23"/>
    </row>
    <row r="24" spans="1:10" s="4" customFormat="1" x14ac:dyDescent="0.25">
      <c r="A24" s="51"/>
      <c r="B24"/>
      <c r="C24"/>
      <c r="D24"/>
      <c r="E24"/>
      <c r="F24"/>
      <c r="G24"/>
      <c r="H24"/>
      <c r="I24"/>
      <c r="J24"/>
    </row>
    <row r="25" spans="1:10" s="4" customFormat="1" x14ac:dyDescent="0.25">
      <c r="A25" s="51" t="s">
        <v>417</v>
      </c>
      <c r="B25"/>
      <c r="C25"/>
      <c r="D25"/>
      <c r="E25"/>
      <c r="F25"/>
      <c r="G25"/>
      <c r="H25"/>
      <c r="I25"/>
      <c r="J25"/>
    </row>
    <row r="26" spans="1:10" s="4" customFormat="1" x14ac:dyDescent="0.25">
      <c r="A26" s="51" t="s">
        <v>418</v>
      </c>
      <c r="B26"/>
      <c r="C26"/>
      <c r="D26"/>
      <c r="E26"/>
      <c r="F26"/>
      <c r="G26"/>
      <c r="H26"/>
      <c r="I26"/>
      <c r="J26"/>
    </row>
    <row r="27" spans="1:10" s="4" customFormat="1" x14ac:dyDescent="0.25">
      <c r="A27" s="51"/>
      <c r="B27"/>
      <c r="C27"/>
      <c r="D27"/>
      <c r="E27"/>
      <c r="F27"/>
      <c r="G27"/>
      <c r="H27"/>
      <c r="I27"/>
      <c r="J27"/>
    </row>
    <row r="28" spans="1:10" s="4" customFormat="1" x14ac:dyDescent="0.25">
      <c r="A28" s="51" t="s">
        <v>419</v>
      </c>
      <c r="B28"/>
      <c r="C28"/>
      <c r="D28"/>
      <c r="E28"/>
      <c r="F28"/>
      <c r="G28"/>
      <c r="H28"/>
      <c r="I28"/>
      <c r="J28"/>
    </row>
    <row r="29" spans="1:10" s="4" customFormat="1" ht="15.75" thickBot="1" x14ac:dyDescent="0.3">
      <c r="A29" s="51"/>
      <c r="B29"/>
      <c r="C29"/>
      <c r="D29"/>
      <c r="E29"/>
      <c r="F29"/>
      <c r="G29"/>
      <c r="H29"/>
      <c r="I29"/>
      <c r="J29"/>
    </row>
    <row r="30" spans="1:10" s="4" customFormat="1" ht="16.5" thickTop="1" thickBot="1" x14ac:dyDescent="0.3">
      <c r="A30" s="84" t="s">
        <v>420</v>
      </c>
      <c r="B30" s="85" t="s">
        <v>421</v>
      </c>
      <c r="C30" s="85" t="s">
        <v>422</v>
      </c>
      <c r="D30" s="85" t="s">
        <v>423</v>
      </c>
      <c r="E30" s="85" t="s">
        <v>424</v>
      </c>
      <c r="F30" s="85" t="s">
        <v>425</v>
      </c>
      <c r="G30" s="85" t="s">
        <v>426</v>
      </c>
      <c r="H30" s="85" t="s">
        <v>427</v>
      </c>
      <c r="I30" s="85" t="s">
        <v>428</v>
      </c>
      <c r="J30" s="86" t="s">
        <v>429</v>
      </c>
    </row>
    <row r="31" spans="1:10" s="4" customFormat="1" ht="16.5" thickTop="1" thickBot="1" x14ac:dyDescent="0.3">
      <c r="A31" s="87" t="s">
        <v>396</v>
      </c>
      <c r="B31" s="88">
        <v>0.25</v>
      </c>
      <c r="C31" s="88">
        <v>0.2</v>
      </c>
      <c r="D31" s="88">
        <v>0.1</v>
      </c>
      <c r="E31" s="88">
        <v>0.15</v>
      </c>
      <c r="F31" s="88">
        <v>0.2</v>
      </c>
      <c r="G31" s="88">
        <v>0.1</v>
      </c>
      <c r="H31" s="88">
        <v>0.1</v>
      </c>
      <c r="I31" s="88">
        <v>0.5</v>
      </c>
      <c r="J31" s="88">
        <v>0.55000000000000004</v>
      </c>
    </row>
    <row r="32" spans="1:10" s="4" customFormat="1" ht="15.75" thickBot="1" x14ac:dyDescent="0.3">
      <c r="A32" s="87" t="s">
        <v>395</v>
      </c>
      <c r="B32" s="88">
        <v>0.5</v>
      </c>
      <c r="C32" s="88">
        <v>0.3</v>
      </c>
      <c r="D32" s="88">
        <v>0.45</v>
      </c>
      <c r="E32" s="88">
        <v>0.45</v>
      </c>
      <c r="F32" s="88">
        <v>0.5</v>
      </c>
      <c r="G32" s="88">
        <v>0.35</v>
      </c>
      <c r="H32" s="88">
        <v>0.15</v>
      </c>
      <c r="I32" s="88">
        <v>0.35</v>
      </c>
      <c r="J32" s="88">
        <v>0.3</v>
      </c>
    </row>
    <row r="33" spans="1:15" s="4" customFormat="1" ht="15.75" thickBot="1" x14ac:dyDescent="0.3">
      <c r="A33" s="87" t="s">
        <v>430</v>
      </c>
      <c r="B33" s="88">
        <v>0.2</v>
      </c>
      <c r="C33" s="88">
        <v>0.45</v>
      </c>
      <c r="D33" s="88">
        <v>0.3</v>
      </c>
      <c r="E33" s="88">
        <v>0.35</v>
      </c>
      <c r="F33" s="88">
        <v>0.2</v>
      </c>
      <c r="G33" s="88">
        <v>0.45</v>
      </c>
      <c r="H33" s="88">
        <v>0.7</v>
      </c>
      <c r="I33" s="88">
        <v>0.1</v>
      </c>
      <c r="J33" s="88">
        <v>0.1</v>
      </c>
    </row>
    <row r="34" spans="1:15" s="4" customFormat="1" ht="15.75" thickBot="1" x14ac:dyDescent="0.3">
      <c r="A34" s="87" t="s">
        <v>431</v>
      </c>
      <c r="B34" s="88">
        <v>0.05</v>
      </c>
      <c r="C34" s="88">
        <v>0.05</v>
      </c>
      <c r="D34" s="88">
        <v>0.15</v>
      </c>
      <c r="E34" s="88">
        <v>0.05</v>
      </c>
      <c r="F34" s="88">
        <v>0.1</v>
      </c>
      <c r="G34" s="88">
        <v>0.1</v>
      </c>
      <c r="H34" s="88">
        <v>0.05</v>
      </c>
      <c r="I34" s="88">
        <v>0.05</v>
      </c>
      <c r="J34" s="88">
        <v>0.05</v>
      </c>
    </row>
    <row r="35" spans="1:15" s="4" customFormat="1" ht="15.75" thickBot="1" x14ac:dyDescent="0.3">
      <c r="A35" s="89" t="s">
        <v>12</v>
      </c>
      <c r="B35" s="90">
        <v>1</v>
      </c>
      <c r="C35" s="90">
        <v>1</v>
      </c>
      <c r="D35" s="90">
        <v>1</v>
      </c>
      <c r="E35" s="90">
        <v>1</v>
      </c>
      <c r="F35" s="90">
        <v>1</v>
      </c>
      <c r="G35" s="90">
        <v>1</v>
      </c>
      <c r="H35" s="90">
        <v>1</v>
      </c>
      <c r="I35" s="90">
        <v>1</v>
      </c>
      <c r="J35" s="90">
        <v>1</v>
      </c>
    </row>
    <row r="36" spans="1:15" s="4" customFormat="1" ht="15.75" thickBot="1" x14ac:dyDescent="0.3">
      <c r="A36" s="91"/>
      <c r="B36" s="91"/>
      <c r="C36" s="91"/>
      <c r="D36" s="91"/>
      <c r="E36" s="91"/>
      <c r="F36" s="91"/>
      <c r="G36" s="91"/>
      <c r="H36" s="91"/>
      <c r="I36" s="91"/>
      <c r="J36" s="91"/>
    </row>
    <row r="37" spans="1:15" s="4" customFormat="1" ht="15.75" thickBot="1" x14ac:dyDescent="0.3">
      <c r="A37" s="94" t="s">
        <v>420</v>
      </c>
      <c r="B37" s="95" t="s">
        <v>421</v>
      </c>
      <c r="C37" s="95" t="s">
        <v>422</v>
      </c>
      <c r="D37" s="95" t="s">
        <v>423</v>
      </c>
      <c r="E37" s="95" t="s">
        <v>424</v>
      </c>
      <c r="F37" s="95" t="s">
        <v>425</v>
      </c>
      <c r="G37" s="95" t="s">
        <v>426</v>
      </c>
      <c r="H37" s="95" t="s">
        <v>427</v>
      </c>
      <c r="I37" s="95" t="s">
        <v>428</v>
      </c>
      <c r="J37" s="96" t="s">
        <v>429</v>
      </c>
    </row>
    <row r="38" spans="1:15" s="4" customFormat="1" x14ac:dyDescent="0.25">
      <c r="A38" s="97" t="s">
        <v>396</v>
      </c>
      <c r="B38" s="98">
        <v>0.25</v>
      </c>
      <c r="C38" s="98">
        <v>0.2</v>
      </c>
      <c r="D38" s="98">
        <v>0.1</v>
      </c>
      <c r="E38" s="98">
        <v>0.15</v>
      </c>
      <c r="F38" s="98">
        <v>0.2</v>
      </c>
      <c r="G38" s="98">
        <v>0.1</v>
      </c>
      <c r="H38" s="98">
        <v>0.1</v>
      </c>
      <c r="I38" s="98">
        <v>0.5</v>
      </c>
      <c r="J38" s="98">
        <v>0.55000000000000004</v>
      </c>
    </row>
    <row r="39" spans="1:15" s="4" customFormat="1" x14ac:dyDescent="0.25">
      <c r="A39" s="99" t="s">
        <v>395</v>
      </c>
      <c r="B39" s="100">
        <v>0.5</v>
      </c>
      <c r="C39" s="100">
        <v>0.3</v>
      </c>
      <c r="D39" s="100">
        <v>0.45</v>
      </c>
      <c r="E39" s="100">
        <v>0.45</v>
      </c>
      <c r="F39" s="100">
        <v>0.5</v>
      </c>
      <c r="G39" s="100">
        <v>0.35</v>
      </c>
      <c r="H39" s="100">
        <v>0.15</v>
      </c>
      <c r="I39" s="100">
        <v>0.35</v>
      </c>
      <c r="J39" s="100">
        <v>0.3</v>
      </c>
    </row>
    <row r="40" spans="1:15" s="4" customFormat="1" x14ac:dyDescent="0.25">
      <c r="A40" s="99" t="s">
        <v>430</v>
      </c>
      <c r="B40" s="100">
        <v>0.2</v>
      </c>
      <c r="C40" s="100">
        <v>0.45</v>
      </c>
      <c r="D40" s="100">
        <v>0.3</v>
      </c>
      <c r="E40" s="100">
        <v>0.35</v>
      </c>
      <c r="F40" s="100">
        <v>0.2</v>
      </c>
      <c r="G40" s="100">
        <v>0.45</v>
      </c>
      <c r="H40" s="100">
        <v>0.7</v>
      </c>
      <c r="I40" s="100">
        <v>0.1</v>
      </c>
      <c r="J40" s="100">
        <v>0.1</v>
      </c>
      <c r="O40" s="23"/>
    </row>
    <row r="41" spans="1:15" s="4" customFormat="1" x14ac:dyDescent="0.25">
      <c r="A41" s="99" t="s">
        <v>431</v>
      </c>
      <c r="B41" s="100">
        <v>0.05</v>
      </c>
      <c r="C41" s="100">
        <v>0.05</v>
      </c>
      <c r="D41" s="100">
        <v>0.15</v>
      </c>
      <c r="E41" s="100">
        <v>0.05</v>
      </c>
      <c r="F41" s="100">
        <v>0.1</v>
      </c>
      <c r="G41" s="100">
        <v>0.1</v>
      </c>
      <c r="H41" s="100">
        <v>0.05</v>
      </c>
      <c r="I41" s="100">
        <v>0.05</v>
      </c>
      <c r="J41" s="100">
        <v>0.05</v>
      </c>
      <c r="O41" s="23"/>
    </row>
    <row r="42" spans="1:15" s="4" customFormat="1" x14ac:dyDescent="0.25">
      <c r="A42" s="101" t="s">
        <v>12</v>
      </c>
      <c r="B42" s="102">
        <f t="shared" ref="B42:J42" si="0">SUM(B38:B41)</f>
        <v>1</v>
      </c>
      <c r="C42" s="102">
        <f t="shared" si="0"/>
        <v>1</v>
      </c>
      <c r="D42" s="102">
        <f t="shared" si="0"/>
        <v>1</v>
      </c>
      <c r="E42" s="102">
        <f t="shared" si="0"/>
        <v>1</v>
      </c>
      <c r="F42" s="102">
        <f t="shared" si="0"/>
        <v>0.99999999999999989</v>
      </c>
      <c r="G42" s="102">
        <f t="shared" si="0"/>
        <v>0.99999999999999989</v>
      </c>
      <c r="H42" s="102">
        <f t="shared" si="0"/>
        <v>1</v>
      </c>
      <c r="I42" s="102">
        <f t="shared" si="0"/>
        <v>1</v>
      </c>
      <c r="J42" s="102">
        <f t="shared" si="0"/>
        <v>1</v>
      </c>
      <c r="O42" s="20"/>
    </row>
    <row r="43" spans="1:15" s="4" customFormat="1" x14ac:dyDescent="0.25">
      <c r="A43" s="48"/>
      <c r="B43" s="48"/>
      <c r="C43" s="48"/>
      <c r="D43" s="48"/>
      <c r="E43" s="48"/>
      <c r="F43" s="48"/>
      <c r="G43" s="48"/>
      <c r="H43" s="48"/>
      <c r="I43" s="48"/>
      <c r="J43" s="48"/>
    </row>
    <row r="44" spans="1:15" s="4" customFormat="1" x14ac:dyDescent="0.25">
      <c r="A44" s="51" t="s">
        <v>299</v>
      </c>
      <c r="B44"/>
      <c r="C44"/>
      <c r="D44"/>
      <c r="E44"/>
      <c r="F44"/>
      <c r="G44"/>
      <c r="H44"/>
      <c r="I44"/>
      <c r="J44"/>
    </row>
    <row r="45" spans="1:15" s="4" customFormat="1" x14ac:dyDescent="0.25">
      <c r="A45" s="51" t="s">
        <v>300</v>
      </c>
      <c r="B45"/>
      <c r="C45"/>
      <c r="D45"/>
      <c r="E45"/>
      <c r="F45"/>
      <c r="G45"/>
      <c r="H45"/>
      <c r="I45"/>
      <c r="J45"/>
    </row>
    <row r="46" spans="1:15" s="4" customFormat="1" x14ac:dyDescent="0.25">
      <c r="A46" s="51"/>
      <c r="B46"/>
      <c r="C46"/>
      <c r="D46"/>
      <c r="E46"/>
      <c r="F46"/>
      <c r="G46"/>
      <c r="H46"/>
      <c r="I46"/>
      <c r="J46"/>
    </row>
    <row r="47" spans="1:15" s="4" customFormat="1" x14ac:dyDescent="0.25">
      <c r="A47" s="51" t="s">
        <v>301</v>
      </c>
      <c r="B47"/>
      <c r="C47"/>
      <c r="D47"/>
      <c r="E47"/>
      <c r="F47"/>
      <c r="G47"/>
      <c r="H47"/>
      <c r="I47"/>
      <c r="J47"/>
    </row>
    <row r="48" spans="1:15" s="4" customFormat="1" x14ac:dyDescent="0.25">
      <c r="A48" s="51"/>
      <c r="B48"/>
      <c r="C48"/>
      <c r="D48"/>
      <c r="E48"/>
      <c r="F48"/>
      <c r="G48"/>
      <c r="H48"/>
      <c r="I48"/>
      <c r="J48"/>
    </row>
    <row r="49" spans="1:10" s="4" customFormat="1" x14ac:dyDescent="0.25">
      <c r="A49" s="52" t="s">
        <v>302</v>
      </c>
      <c r="B49"/>
      <c r="C49"/>
      <c r="D49"/>
      <c r="E49"/>
      <c r="F49"/>
      <c r="G49"/>
      <c r="H49"/>
      <c r="I49"/>
      <c r="J49"/>
    </row>
    <row r="50" spans="1:10" s="4" customFormat="1" x14ac:dyDescent="0.25">
      <c r="A50" s="51" t="s">
        <v>303</v>
      </c>
      <c r="B50"/>
      <c r="C50"/>
      <c r="D50"/>
      <c r="E50"/>
      <c r="F50"/>
      <c r="G50"/>
      <c r="H50"/>
      <c r="I50"/>
      <c r="J50"/>
    </row>
    <row r="51" spans="1:10" s="4" customFormat="1" x14ac:dyDescent="0.25">
      <c r="A51" s="53" t="s">
        <v>304</v>
      </c>
      <c r="B51"/>
      <c r="C51"/>
      <c r="D51"/>
      <c r="E51"/>
      <c r="F51"/>
      <c r="G51"/>
      <c r="H51"/>
      <c r="I51"/>
      <c r="J51"/>
    </row>
    <row r="52" spans="1:10" s="4" customFormat="1" x14ac:dyDescent="0.25">
      <c r="A52" s="51"/>
      <c r="B52"/>
      <c r="C52"/>
      <c r="D52"/>
      <c r="E52"/>
      <c r="F52"/>
      <c r="G52"/>
      <c r="H52"/>
      <c r="I52"/>
      <c r="J52"/>
    </row>
    <row r="53" spans="1:10" x14ac:dyDescent="0.25">
      <c r="A53" s="49" t="s">
        <v>274</v>
      </c>
    </row>
    <row r="54" spans="1:10" x14ac:dyDescent="0.25">
      <c r="A54" s="49" t="s">
        <v>275</v>
      </c>
    </row>
    <row r="55" spans="1:10" x14ac:dyDescent="0.25">
      <c r="A55" s="49" t="s">
        <v>276</v>
      </c>
    </row>
    <row r="56" spans="1:10" x14ac:dyDescent="0.25">
      <c r="A56" s="49" t="s">
        <v>277</v>
      </c>
    </row>
    <row r="57" spans="1:10" x14ac:dyDescent="0.25">
      <c r="A57" s="49"/>
    </row>
    <row r="58" spans="1:10" x14ac:dyDescent="0.25">
      <c r="A58" s="50" t="s">
        <v>278</v>
      </c>
    </row>
    <row r="59" spans="1:10" x14ac:dyDescent="0.25">
      <c r="A59" s="50" t="s">
        <v>279</v>
      </c>
    </row>
    <row r="60" spans="1:10" x14ac:dyDescent="0.25">
      <c r="A60" s="50" t="s">
        <v>280</v>
      </c>
    </row>
    <row r="61" spans="1:10" x14ac:dyDescent="0.25">
      <c r="A61" s="50" t="s">
        <v>281</v>
      </c>
    </row>
    <row r="62" spans="1:10" x14ac:dyDescent="0.25">
      <c r="A62" s="50" t="s">
        <v>282</v>
      </c>
    </row>
    <row r="63" spans="1:10" x14ac:dyDescent="0.25">
      <c r="A63" s="48"/>
    </row>
    <row r="64" spans="1:10" x14ac:dyDescent="0.25">
      <c r="A64" s="51" t="s">
        <v>283</v>
      </c>
    </row>
    <row r="65" spans="1:1" x14ac:dyDescent="0.25">
      <c r="A65" s="51"/>
    </row>
    <row r="66" spans="1:1" x14ac:dyDescent="0.25">
      <c r="A66" s="51" t="s">
        <v>284</v>
      </c>
    </row>
    <row r="67" spans="1:1" x14ac:dyDescent="0.25">
      <c r="A67" s="51"/>
    </row>
    <row r="68" spans="1:1" x14ac:dyDescent="0.25">
      <c r="A68" s="51" t="s">
        <v>285</v>
      </c>
    </row>
    <row r="69" spans="1:1" x14ac:dyDescent="0.25">
      <c r="A69" s="51" t="s">
        <v>286</v>
      </c>
    </row>
    <row r="70" spans="1:1" x14ac:dyDescent="0.25">
      <c r="A70" s="51" t="s">
        <v>287</v>
      </c>
    </row>
    <row r="71" spans="1:1" x14ac:dyDescent="0.25">
      <c r="A71" s="51" t="s">
        <v>288</v>
      </c>
    </row>
    <row r="72" spans="1:1" x14ac:dyDescent="0.25">
      <c r="A72" s="51" t="s">
        <v>289</v>
      </c>
    </row>
    <row r="73" spans="1:1" x14ac:dyDescent="0.25">
      <c r="A73" s="51" t="s">
        <v>290</v>
      </c>
    </row>
    <row r="74" spans="1:1" x14ac:dyDescent="0.25">
      <c r="A74" s="51" t="s">
        <v>291</v>
      </c>
    </row>
    <row r="75" spans="1:1" x14ac:dyDescent="0.25">
      <c r="A75" s="51" t="s">
        <v>292</v>
      </c>
    </row>
    <row r="76" spans="1:1" x14ac:dyDescent="0.25">
      <c r="A76" s="51" t="s">
        <v>293</v>
      </c>
    </row>
    <row r="77" spans="1:1" x14ac:dyDescent="0.25">
      <c r="A77" s="51"/>
    </row>
    <row r="78" spans="1:1" x14ac:dyDescent="0.25">
      <c r="A78" s="51" t="s">
        <v>294</v>
      </c>
    </row>
    <row r="79" spans="1:1" x14ac:dyDescent="0.25">
      <c r="A79" s="51" t="s">
        <v>295</v>
      </c>
    </row>
    <row r="80" spans="1:1" x14ac:dyDescent="0.25">
      <c r="A80" s="51" t="s">
        <v>296</v>
      </c>
    </row>
    <row r="81" spans="1:1" x14ac:dyDescent="0.25">
      <c r="A81" s="51"/>
    </row>
    <row r="82" spans="1:1" x14ac:dyDescent="0.25">
      <c r="A82" s="51" t="s">
        <v>297</v>
      </c>
    </row>
    <row r="83" spans="1:1" x14ac:dyDescent="0.25">
      <c r="A83" s="51"/>
    </row>
    <row r="84" spans="1:1" x14ac:dyDescent="0.25">
      <c r="A84" s="51" t="s">
        <v>298</v>
      </c>
    </row>
    <row r="85" spans="1:1" x14ac:dyDescent="0.25">
      <c r="A85" s="51" t="s">
        <v>299</v>
      </c>
    </row>
    <row r="86" spans="1:1" x14ac:dyDescent="0.25">
      <c r="A86" s="51" t="s">
        <v>300</v>
      </c>
    </row>
    <row r="87" spans="1:1" x14ac:dyDescent="0.25">
      <c r="A87" s="51"/>
    </row>
    <row r="88" spans="1:1" x14ac:dyDescent="0.25">
      <c r="A88" s="51" t="s">
        <v>301</v>
      </c>
    </row>
    <row r="89" spans="1:1" x14ac:dyDescent="0.25">
      <c r="A89" s="51"/>
    </row>
    <row r="90" spans="1:1" x14ac:dyDescent="0.25">
      <c r="A90" s="52" t="s">
        <v>302</v>
      </c>
    </row>
    <row r="91" spans="1:1" x14ac:dyDescent="0.25">
      <c r="A91" s="51" t="s">
        <v>303</v>
      </c>
    </row>
    <row r="92" spans="1:1" x14ac:dyDescent="0.25">
      <c r="A92" s="53" t="s">
        <v>304</v>
      </c>
    </row>
    <row r="93" spans="1:1" x14ac:dyDescent="0.25">
      <c r="A93" s="51"/>
    </row>
    <row r="94" spans="1:1" x14ac:dyDescent="0.25">
      <c r="A94" s="53" t="s">
        <v>305</v>
      </c>
    </row>
    <row r="97" spans="1:1" x14ac:dyDescent="0.25">
      <c r="A97" s="52" t="s">
        <v>306</v>
      </c>
    </row>
    <row r="98" spans="1:1" x14ac:dyDescent="0.25">
      <c r="A98" s="52" t="s">
        <v>307</v>
      </c>
    </row>
    <row r="99" spans="1:1" x14ac:dyDescent="0.25">
      <c r="A99" s="52" t="s">
        <v>308</v>
      </c>
    </row>
    <row r="100" spans="1:1" x14ac:dyDescent="0.25">
      <c r="A100" s="52" t="s">
        <v>309</v>
      </c>
    </row>
    <row r="101" spans="1:1" x14ac:dyDescent="0.25">
      <c r="A101" s="52" t="s">
        <v>310</v>
      </c>
    </row>
    <row r="103" spans="1:1" ht="15.75" x14ac:dyDescent="0.25">
      <c r="A103" s="54" t="s">
        <v>311</v>
      </c>
    </row>
    <row r="106" spans="1:1" x14ac:dyDescent="0.25">
      <c r="A106" s="53" t="s">
        <v>312</v>
      </c>
    </row>
    <row r="107" spans="1:1" ht="15.75" x14ac:dyDescent="0.25">
      <c r="A107" s="55" t="s">
        <v>313</v>
      </c>
    </row>
    <row r="108" spans="1:1" x14ac:dyDescent="0.25">
      <c r="A108" s="53" t="s">
        <v>314</v>
      </c>
    </row>
    <row r="109" spans="1:1" ht="15.75" x14ac:dyDescent="0.25">
      <c r="A109" s="55" t="s">
        <v>315</v>
      </c>
    </row>
    <row r="110" spans="1:1" ht="15.75" x14ac:dyDescent="0.25">
      <c r="A110" s="55" t="s">
        <v>316</v>
      </c>
    </row>
    <row r="111" spans="1:1" ht="15.75" x14ac:dyDescent="0.25">
      <c r="A111" s="54"/>
    </row>
    <row r="112" spans="1:1" x14ac:dyDescent="0.25">
      <c r="A112" s="49" t="s">
        <v>317</v>
      </c>
    </row>
    <row r="113" spans="1:1" x14ac:dyDescent="0.25">
      <c r="A113" s="56"/>
    </row>
    <row r="114" spans="1:1" x14ac:dyDescent="0.25">
      <c r="A114" s="49" t="s">
        <v>318</v>
      </c>
    </row>
    <row r="115" spans="1:1" x14ac:dyDescent="0.25">
      <c r="A115" s="56"/>
    </row>
    <row r="116" spans="1:1" x14ac:dyDescent="0.25">
      <c r="A116" s="49" t="s">
        <v>319</v>
      </c>
    </row>
    <row r="117" spans="1:1" x14ac:dyDescent="0.25">
      <c r="A117" s="49" t="s">
        <v>320</v>
      </c>
    </row>
    <row r="118" spans="1:1" x14ac:dyDescent="0.25">
      <c r="A118" s="49" t="s">
        <v>321</v>
      </c>
    </row>
    <row r="119" spans="1:1" x14ac:dyDescent="0.25">
      <c r="A119" s="49" t="s">
        <v>322</v>
      </c>
    </row>
    <row r="120" spans="1:1" x14ac:dyDescent="0.25">
      <c r="A120" s="56"/>
    </row>
    <row r="121" spans="1:1" x14ac:dyDescent="0.25">
      <c r="A121" s="49" t="s">
        <v>323</v>
      </c>
    </row>
    <row r="122" spans="1:1" x14ac:dyDescent="0.25">
      <c r="A122" s="49" t="s">
        <v>324</v>
      </c>
    </row>
    <row r="123" spans="1:1" x14ac:dyDescent="0.25">
      <c r="A123" s="56"/>
    </row>
    <row r="124" spans="1:1" x14ac:dyDescent="0.25">
      <c r="A124" s="56"/>
    </row>
    <row r="125" spans="1:1" x14ac:dyDescent="0.25">
      <c r="A125" s="52" t="s">
        <v>306</v>
      </c>
    </row>
    <row r="126" spans="1:1" x14ac:dyDescent="0.25">
      <c r="A126" s="52" t="s">
        <v>325</v>
      </c>
    </row>
    <row r="127" spans="1:1" x14ac:dyDescent="0.25">
      <c r="A127" s="52" t="s">
        <v>308</v>
      </c>
    </row>
    <row r="128" spans="1:1" x14ac:dyDescent="0.25">
      <c r="A128" s="52" t="s">
        <v>309</v>
      </c>
    </row>
    <row r="129" spans="1:1" x14ac:dyDescent="0.25">
      <c r="A129" s="52" t="s">
        <v>326</v>
      </c>
    </row>
    <row r="130" spans="1:1" x14ac:dyDescent="0.25">
      <c r="A130" s="56"/>
    </row>
    <row r="131" spans="1:1" x14ac:dyDescent="0.25">
      <c r="A131" s="49" t="s">
        <v>327</v>
      </c>
    </row>
    <row r="132" spans="1:1" x14ac:dyDescent="0.25">
      <c r="A132" s="49" t="s">
        <v>328</v>
      </c>
    </row>
    <row r="133" spans="1:1" x14ac:dyDescent="0.25">
      <c r="A133" s="49" t="s">
        <v>329</v>
      </c>
    </row>
    <row r="134" spans="1:1" x14ac:dyDescent="0.25">
      <c r="A134" s="49" t="s">
        <v>330</v>
      </c>
    </row>
    <row r="135" spans="1:1" x14ac:dyDescent="0.25">
      <c r="A135" s="49" t="s">
        <v>331</v>
      </c>
    </row>
    <row r="136" spans="1:1" x14ac:dyDescent="0.25">
      <c r="A136" s="49" t="s">
        <v>299</v>
      </c>
    </row>
    <row r="137" spans="1:1" x14ac:dyDescent="0.25">
      <c r="A137" s="49" t="s">
        <v>332</v>
      </c>
    </row>
    <row r="138" spans="1:1" x14ac:dyDescent="0.25">
      <c r="A138" s="56"/>
    </row>
    <row r="139" spans="1:1" x14ac:dyDescent="0.25">
      <c r="A139" s="52" t="s">
        <v>333</v>
      </c>
    </row>
    <row r="140" spans="1:1" x14ac:dyDescent="0.25">
      <c r="A140" s="52" t="s">
        <v>334</v>
      </c>
    </row>
    <row r="141" spans="1:1" x14ac:dyDescent="0.25">
      <c r="A141" s="52" t="s">
        <v>335</v>
      </c>
    </row>
    <row r="142" spans="1:1" x14ac:dyDescent="0.25">
      <c r="A142" s="52" t="s">
        <v>309</v>
      </c>
    </row>
    <row r="143" spans="1:1" x14ac:dyDescent="0.25">
      <c r="A143" s="52" t="s">
        <v>336</v>
      </c>
    </row>
    <row r="144" spans="1:1" x14ac:dyDescent="0.25">
      <c r="A144" s="56"/>
    </row>
    <row r="145" spans="1:1" x14ac:dyDescent="0.25">
      <c r="A145" s="49" t="s">
        <v>317</v>
      </c>
    </row>
    <row r="146" spans="1:1" x14ac:dyDescent="0.25">
      <c r="A146" s="56"/>
    </row>
    <row r="147" spans="1:1" x14ac:dyDescent="0.25">
      <c r="A147" s="49" t="s">
        <v>337</v>
      </c>
    </row>
    <row r="148" spans="1:1" x14ac:dyDescent="0.25">
      <c r="A148" s="56"/>
    </row>
    <row r="149" spans="1:1" x14ac:dyDescent="0.25">
      <c r="A149" s="49" t="s">
        <v>338</v>
      </c>
    </row>
    <row r="150" spans="1:1" x14ac:dyDescent="0.25">
      <c r="A150" s="49" t="s">
        <v>339</v>
      </c>
    </row>
    <row r="151" spans="1:1" x14ac:dyDescent="0.25">
      <c r="A151" s="56"/>
    </row>
    <row r="152" spans="1:1" x14ac:dyDescent="0.25">
      <c r="A152" s="52" t="s">
        <v>306</v>
      </c>
    </row>
    <row r="153" spans="1:1" x14ac:dyDescent="0.25">
      <c r="A153" s="52" t="s">
        <v>340</v>
      </c>
    </row>
    <row r="154" spans="1:1" x14ac:dyDescent="0.25">
      <c r="A154" s="52" t="s">
        <v>341</v>
      </c>
    </row>
    <row r="155" spans="1:1" x14ac:dyDescent="0.25">
      <c r="A155" s="52" t="s">
        <v>342</v>
      </c>
    </row>
    <row r="156" spans="1:1" x14ac:dyDescent="0.25">
      <c r="A156" s="56"/>
    </row>
    <row r="157" spans="1:1" ht="15.75" x14ac:dyDescent="0.25">
      <c r="A157" s="54" t="s">
        <v>311</v>
      </c>
    </row>
    <row r="160" spans="1:1" x14ac:dyDescent="0.25">
      <c r="A160" s="53" t="s">
        <v>343</v>
      </c>
    </row>
    <row r="161" spans="1:1" ht="15.75" x14ac:dyDescent="0.25">
      <c r="A161" s="55" t="s">
        <v>344</v>
      </c>
    </row>
    <row r="162" spans="1:1" ht="15.75" x14ac:dyDescent="0.25">
      <c r="A162" s="55" t="s">
        <v>345</v>
      </c>
    </row>
    <row r="163" spans="1:1" ht="15.75" x14ac:dyDescent="0.25">
      <c r="A163" s="55" t="s">
        <v>346</v>
      </c>
    </row>
    <row r="164" spans="1:1" x14ac:dyDescent="0.25">
      <c r="A164" s="56"/>
    </row>
    <row r="165" spans="1:1" x14ac:dyDescent="0.25">
      <c r="A165" s="51" t="s">
        <v>332</v>
      </c>
    </row>
    <row r="166" spans="1:1" x14ac:dyDescent="0.25">
      <c r="A166" s="51" t="s">
        <v>347</v>
      </c>
    </row>
    <row r="167" spans="1:1" x14ac:dyDescent="0.25">
      <c r="A167" s="56"/>
    </row>
    <row r="168" spans="1:1" x14ac:dyDescent="0.25">
      <c r="A168" s="51" t="s">
        <v>348</v>
      </c>
    </row>
    <row r="169" spans="1:1" x14ac:dyDescent="0.25">
      <c r="A169" s="51" t="s">
        <v>349</v>
      </c>
    </row>
    <row r="170" spans="1:1" x14ac:dyDescent="0.25">
      <c r="A170" s="56"/>
    </row>
    <row r="171" spans="1:1" x14ac:dyDescent="0.25">
      <c r="A171" s="56"/>
    </row>
    <row r="172" spans="1:1" x14ac:dyDescent="0.25">
      <c r="A172" s="51" t="s">
        <v>301</v>
      </c>
    </row>
    <row r="173" spans="1:1" x14ac:dyDescent="0.25">
      <c r="A173" s="56"/>
    </row>
    <row r="174" spans="1:1" x14ac:dyDescent="0.25">
      <c r="A174" s="52" t="s">
        <v>302</v>
      </c>
    </row>
    <row r="175" spans="1:1" x14ac:dyDescent="0.25">
      <c r="A175" s="51" t="s">
        <v>303</v>
      </c>
    </row>
    <row r="176" spans="1:1" x14ac:dyDescent="0.25">
      <c r="A176" s="53" t="s">
        <v>304</v>
      </c>
    </row>
    <row r="177" spans="1:1" x14ac:dyDescent="0.25">
      <c r="A177" s="56"/>
    </row>
    <row r="178" spans="1:1" x14ac:dyDescent="0.25">
      <c r="A178" s="53" t="s">
        <v>305</v>
      </c>
    </row>
    <row r="181" spans="1:1" x14ac:dyDescent="0.25">
      <c r="A181" s="52" t="s">
        <v>350</v>
      </c>
    </row>
    <row r="182" spans="1:1" x14ac:dyDescent="0.25">
      <c r="A182" s="52" t="s">
        <v>351</v>
      </c>
    </row>
    <row r="183" spans="1:1" x14ac:dyDescent="0.25">
      <c r="A183" s="52" t="s">
        <v>308</v>
      </c>
    </row>
    <row r="184" spans="1:1" x14ac:dyDescent="0.25">
      <c r="A184" s="52" t="s">
        <v>352</v>
      </c>
    </row>
    <row r="185" spans="1:1" x14ac:dyDescent="0.25">
      <c r="A185" s="52" t="s">
        <v>353</v>
      </c>
    </row>
    <row r="187" spans="1:1" x14ac:dyDescent="0.25">
      <c r="A187" s="49" t="s">
        <v>354</v>
      </c>
    </row>
    <row r="188" spans="1:1" x14ac:dyDescent="0.25">
      <c r="A188" s="49" t="s">
        <v>355</v>
      </c>
    </row>
    <row r="189" spans="1:1" x14ac:dyDescent="0.25">
      <c r="A189" s="49" t="s">
        <v>356</v>
      </c>
    </row>
    <row r="190" spans="1:1" x14ac:dyDescent="0.25">
      <c r="A190" s="49" t="s">
        <v>277</v>
      </c>
    </row>
    <row r="191" spans="1:1" x14ac:dyDescent="0.25">
      <c r="A191" s="56"/>
    </row>
    <row r="192" spans="1:1" x14ac:dyDescent="0.25">
      <c r="A192" s="53" t="s">
        <v>357</v>
      </c>
    </row>
    <row r="193" spans="1:1" x14ac:dyDescent="0.25">
      <c r="A193" s="52" t="s">
        <v>358</v>
      </c>
    </row>
    <row r="194" spans="1:1" x14ac:dyDescent="0.25">
      <c r="A194" s="52" t="s">
        <v>359</v>
      </c>
    </row>
    <row r="195" spans="1:1" x14ac:dyDescent="0.25">
      <c r="A195" s="52" t="s">
        <v>360</v>
      </c>
    </row>
    <row r="196" spans="1:1" x14ac:dyDescent="0.25">
      <c r="A196" s="52" t="s">
        <v>361</v>
      </c>
    </row>
    <row r="197" spans="1:1" x14ac:dyDescent="0.25">
      <c r="A197" s="56"/>
    </row>
    <row r="198" spans="1:1" x14ac:dyDescent="0.25">
      <c r="A198" s="49" t="s">
        <v>362</v>
      </c>
    </row>
    <row r="199" spans="1:1" x14ac:dyDescent="0.25">
      <c r="A199" s="56"/>
    </row>
    <row r="200" spans="1:1" x14ac:dyDescent="0.25">
      <c r="A200" s="49" t="s">
        <v>363</v>
      </c>
    </row>
    <row r="201" spans="1:1" x14ac:dyDescent="0.25">
      <c r="A201" s="56"/>
    </row>
    <row r="202" spans="1:1" x14ac:dyDescent="0.25">
      <c r="A202" s="49" t="s">
        <v>338</v>
      </c>
    </row>
    <row r="203" spans="1:1" x14ac:dyDescent="0.25">
      <c r="A203" s="49" t="s">
        <v>339</v>
      </c>
    </row>
    <row r="204" spans="1:1" x14ac:dyDescent="0.25">
      <c r="A204" s="56"/>
    </row>
    <row r="205" spans="1:1" x14ac:dyDescent="0.25">
      <c r="A205" s="53" t="s">
        <v>364</v>
      </c>
    </row>
    <row r="206" spans="1:1" x14ac:dyDescent="0.25">
      <c r="A206" s="52" t="s">
        <v>365</v>
      </c>
    </row>
    <row r="207" spans="1:1" x14ac:dyDescent="0.25">
      <c r="A207" s="52" t="s">
        <v>308</v>
      </c>
    </row>
    <row r="208" spans="1:1" x14ac:dyDescent="0.25">
      <c r="A208" s="52" t="s">
        <v>352</v>
      </c>
    </row>
    <row r="209" spans="1:1" x14ac:dyDescent="0.25">
      <c r="A209" s="52" t="s">
        <v>366</v>
      </c>
    </row>
    <row r="210" spans="1:1" x14ac:dyDescent="0.25">
      <c r="A210" s="56"/>
    </row>
    <row r="211" spans="1:1" x14ac:dyDescent="0.25">
      <c r="A211" s="49" t="s">
        <v>354</v>
      </c>
    </row>
    <row r="212" spans="1:1" x14ac:dyDescent="0.25">
      <c r="A212" s="49" t="s">
        <v>367</v>
      </c>
    </row>
    <row r="213" spans="1:1" x14ac:dyDescent="0.25">
      <c r="A213" s="49" t="s">
        <v>368</v>
      </c>
    </row>
    <row r="214" spans="1:1" x14ac:dyDescent="0.25">
      <c r="A214" s="49" t="s">
        <v>277</v>
      </c>
    </row>
    <row r="215" spans="1:1" x14ac:dyDescent="0.25">
      <c r="A215" s="56"/>
    </row>
    <row r="216" spans="1:1" x14ac:dyDescent="0.25">
      <c r="A216" s="53" t="s">
        <v>357</v>
      </c>
    </row>
    <row r="217" spans="1:1" x14ac:dyDescent="0.25">
      <c r="A217" s="52" t="s">
        <v>369</v>
      </c>
    </row>
    <row r="218" spans="1:1" x14ac:dyDescent="0.25">
      <c r="A218" s="52" t="s">
        <v>359</v>
      </c>
    </row>
    <row r="219" spans="1:1" x14ac:dyDescent="0.25">
      <c r="A219" s="52" t="s">
        <v>360</v>
      </c>
    </row>
    <row r="220" spans="1:1" x14ac:dyDescent="0.25">
      <c r="A220" s="52" t="s">
        <v>370</v>
      </c>
    </row>
    <row r="221" spans="1:1" x14ac:dyDescent="0.25">
      <c r="A221" s="56"/>
    </row>
    <row r="222" spans="1:1" x14ac:dyDescent="0.25">
      <c r="A222" s="49" t="s">
        <v>362</v>
      </c>
    </row>
    <row r="223" spans="1:1" x14ac:dyDescent="0.25">
      <c r="A223" s="56"/>
    </row>
    <row r="224" spans="1:1" ht="17.25" x14ac:dyDescent="0.25">
      <c r="A224" s="49" t="s">
        <v>371</v>
      </c>
    </row>
    <row r="225" spans="1:1" x14ac:dyDescent="0.25">
      <c r="A225" s="56"/>
    </row>
    <row r="226" spans="1:1" x14ac:dyDescent="0.25">
      <c r="A226" s="49" t="s">
        <v>372</v>
      </c>
    </row>
    <row r="227" spans="1:1" x14ac:dyDescent="0.25">
      <c r="A227" s="56"/>
    </row>
    <row r="228" spans="1:1" x14ac:dyDescent="0.25">
      <c r="A228" s="49" t="s">
        <v>323</v>
      </c>
    </row>
    <row r="229" spans="1:1" x14ac:dyDescent="0.25">
      <c r="A229" s="49" t="s">
        <v>373</v>
      </c>
    </row>
    <row r="230" spans="1:1" x14ac:dyDescent="0.25">
      <c r="A230" s="56"/>
    </row>
  </sheetData>
  <hyperlinks>
    <hyperlink ref="A92" r:id="rId1" display="mailto:Sam@etropicalfish.Com"/>
    <hyperlink ref="A94" r:id="rId2" display="http://www.etropicalfish.com/"/>
    <hyperlink ref="A106" r:id="rId3" display="mailto:abhiramit@cisintl.com"/>
    <hyperlink ref="A108" r:id="rId4" display="mailto:indraniw@cisintl.com"/>
    <hyperlink ref="A160" r:id="rId5" display="mailto:sam@etropicalfish.com"/>
    <hyperlink ref="A176" r:id="rId6" display="mailto:Sam@etropicalfish.Com"/>
    <hyperlink ref="A178" r:id="rId7" display="http://www.etropicalfish.com/"/>
    <hyperlink ref="A192" r:id="rId8" display="mailto:abhiramit@cisintl.com"/>
    <hyperlink ref="A205" r:id="rId9" display="mailto:RGAWLIK@ca.rr.com"/>
    <hyperlink ref="A216" r:id="rId10" display="mailto:abhiramit@cisintl.com"/>
    <hyperlink ref="A51" r:id="rId11" display="mailto:Sam@etropicalfish.Com"/>
  </hyperlinks>
  <pageMargins left="0.7" right="0.7" top="0.75" bottom="0.75" header="0.3" footer="0.3"/>
  <pageSetup orientation="portrait" horizontalDpi="4294967292" verticalDpi="0" r:id="rId1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12"/>
  <sheetViews>
    <sheetView workbookViewId="0">
      <selection activeCell="I11" sqref="I11"/>
    </sheetView>
  </sheetViews>
  <sheetFormatPr defaultRowHeight="15" x14ac:dyDescent="0.25"/>
  <cols>
    <col min="1" max="1" width="10.140625" bestFit="1" customWidth="1"/>
    <col min="2" max="2" width="6.85546875" bestFit="1" customWidth="1"/>
    <col min="3" max="3" width="4.5703125" bestFit="1" customWidth="1"/>
    <col min="4" max="4" width="8.7109375" bestFit="1" customWidth="1"/>
    <col min="5" max="5" width="31.7109375" bestFit="1" customWidth="1"/>
    <col min="6" max="6" width="12.7109375" bestFit="1" customWidth="1"/>
    <col min="7" max="7" width="6" style="167" bestFit="1" customWidth="1"/>
  </cols>
  <sheetData>
    <row r="1" spans="1:7" x14ac:dyDescent="0.25">
      <c r="A1" s="171" t="s">
        <v>496</v>
      </c>
      <c r="B1" s="171"/>
      <c r="C1" s="171"/>
      <c r="D1" s="172"/>
      <c r="E1" s="171"/>
      <c r="F1" s="173"/>
    </row>
    <row r="2" spans="1:7" ht="15.75" thickBot="1" x14ac:dyDescent="0.3">
      <c r="A2" s="177"/>
      <c r="B2" s="178" t="s">
        <v>491</v>
      </c>
      <c r="C2" s="178" t="s">
        <v>492</v>
      </c>
      <c r="D2" s="178" t="s">
        <v>493</v>
      </c>
      <c r="E2" s="178" t="s">
        <v>494</v>
      </c>
      <c r="F2" s="178" t="s">
        <v>495</v>
      </c>
    </row>
    <row r="3" spans="1:7" ht="15.75" thickTop="1" x14ac:dyDescent="0.25">
      <c r="A3" s="138"/>
      <c r="B3" s="174" t="s">
        <v>497</v>
      </c>
      <c r="C3" s="174" t="s">
        <v>498</v>
      </c>
      <c r="D3" s="175">
        <v>42184</v>
      </c>
      <c r="E3" s="174" t="s">
        <v>499</v>
      </c>
      <c r="F3" s="176">
        <v>1461597</v>
      </c>
      <c r="G3" s="167">
        <v>1</v>
      </c>
    </row>
    <row r="4" spans="1:7" x14ac:dyDescent="0.25">
      <c r="A4" s="138"/>
      <c r="B4" s="174" t="s">
        <v>497</v>
      </c>
      <c r="C4" s="174" t="s">
        <v>500</v>
      </c>
      <c r="D4" s="175">
        <v>42183</v>
      </c>
      <c r="E4" s="174" t="s">
        <v>499</v>
      </c>
      <c r="F4" s="176">
        <v>496573</v>
      </c>
      <c r="G4" s="167">
        <f>+G3+1</f>
        <v>2</v>
      </c>
    </row>
    <row r="5" spans="1:7" x14ac:dyDescent="0.25">
      <c r="A5" s="138"/>
      <c r="B5" s="174" t="s">
        <v>497</v>
      </c>
      <c r="C5" s="174" t="s">
        <v>501</v>
      </c>
      <c r="D5" s="175">
        <v>42181</v>
      </c>
      <c r="E5" s="174" t="s">
        <v>499</v>
      </c>
      <c r="F5" s="176">
        <v>1741138</v>
      </c>
      <c r="G5" s="167">
        <f t="shared" ref="G5:G11" si="0">+G4+1</f>
        <v>3</v>
      </c>
    </row>
    <row r="6" spans="1:7" x14ac:dyDescent="0.25">
      <c r="A6" s="138"/>
      <c r="B6" s="174" t="s">
        <v>497</v>
      </c>
      <c r="C6" s="174" t="s">
        <v>502</v>
      </c>
      <c r="D6" s="175">
        <v>42177</v>
      </c>
      <c r="E6" s="174" t="s">
        <v>499</v>
      </c>
      <c r="F6" s="176">
        <v>1660178</v>
      </c>
      <c r="G6" s="167">
        <f t="shared" si="0"/>
        <v>4</v>
      </c>
    </row>
    <row r="7" spans="1:7" x14ac:dyDescent="0.25">
      <c r="A7" s="174"/>
      <c r="B7" s="174" t="s">
        <v>497</v>
      </c>
      <c r="C7" s="174" t="s">
        <v>503</v>
      </c>
      <c r="D7" s="175">
        <v>42174</v>
      </c>
      <c r="E7" s="174" t="s">
        <v>499</v>
      </c>
      <c r="F7" s="176">
        <v>2643446</v>
      </c>
      <c r="G7" s="167">
        <f t="shared" si="0"/>
        <v>5</v>
      </c>
    </row>
    <row r="8" spans="1:7" x14ac:dyDescent="0.25">
      <c r="A8" s="174"/>
      <c r="B8" s="174" t="s">
        <v>497</v>
      </c>
      <c r="C8" s="174" t="s">
        <v>504</v>
      </c>
      <c r="D8" s="175">
        <v>42167</v>
      </c>
      <c r="E8" s="174" t="s">
        <v>499</v>
      </c>
      <c r="F8" s="176">
        <v>1547280</v>
      </c>
      <c r="G8" s="167">
        <f t="shared" si="0"/>
        <v>6</v>
      </c>
    </row>
    <row r="9" spans="1:7" x14ac:dyDescent="0.25">
      <c r="A9" s="174"/>
      <c r="B9" s="174" t="s">
        <v>497</v>
      </c>
      <c r="C9" s="174" t="s">
        <v>505</v>
      </c>
      <c r="D9" s="175">
        <v>42160</v>
      </c>
      <c r="E9" s="174" t="s">
        <v>499</v>
      </c>
      <c r="F9" s="176">
        <v>1418162.38</v>
      </c>
      <c r="G9" s="167">
        <f t="shared" si="0"/>
        <v>7</v>
      </c>
    </row>
    <row r="10" spans="1:7" x14ac:dyDescent="0.25">
      <c r="A10" s="174"/>
      <c r="B10" s="174" t="s">
        <v>497</v>
      </c>
      <c r="C10" s="174" t="s">
        <v>506</v>
      </c>
      <c r="D10" s="175">
        <v>42159</v>
      </c>
      <c r="E10" s="174" t="s">
        <v>499</v>
      </c>
      <c r="F10" s="176">
        <v>1394229</v>
      </c>
      <c r="G10" s="167">
        <f t="shared" si="0"/>
        <v>8</v>
      </c>
    </row>
    <row r="11" spans="1:7" x14ac:dyDescent="0.25">
      <c r="A11" s="174"/>
      <c r="B11" s="174" t="s">
        <v>497</v>
      </c>
      <c r="C11" s="174" t="s">
        <v>507</v>
      </c>
      <c r="D11" s="175">
        <v>42153</v>
      </c>
      <c r="E11" s="174" t="s">
        <v>499</v>
      </c>
      <c r="F11" s="176">
        <v>1225829.48</v>
      </c>
      <c r="G11" s="167">
        <f t="shared" si="0"/>
        <v>9</v>
      </c>
    </row>
    <row r="12" spans="1:7" x14ac:dyDescent="0.25">
      <c r="F12" s="170">
        <f>SUM(F3:F11)</f>
        <v>13588432.859999999</v>
      </c>
    </row>
  </sheetData>
  <autoFilter ref="B2:F2">
    <sortState ref="B3:F87">
      <sortCondition ref="B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FF00"/>
  </sheetPr>
  <dimension ref="A1:Q238"/>
  <sheetViews>
    <sheetView workbookViewId="0">
      <pane xSplit="9" ySplit="1" topLeftCell="J11" activePane="bottomRight" state="frozenSplit"/>
      <selection pane="topRight" activeCell="J1" sqref="J1"/>
      <selection pane="bottomLeft" activeCell="A2" sqref="A2"/>
      <selection pane="bottomRight" activeCell="P11" sqref="P11"/>
    </sheetView>
  </sheetViews>
  <sheetFormatPr defaultRowHeight="15" x14ac:dyDescent="0.25"/>
  <cols>
    <col min="1" max="8" width="3" style="159" customWidth="1"/>
    <col min="9" max="9" width="40" style="159" customWidth="1"/>
    <col min="10" max="10" width="15" style="5" bestFit="1" customWidth="1"/>
    <col min="11" max="14" width="9.140625" style="154"/>
    <col min="15" max="15" width="31.7109375" style="154" customWidth="1"/>
    <col min="16" max="16" width="20.28515625" style="154" customWidth="1"/>
    <col min="17" max="17" width="11.5703125" style="154" bestFit="1" customWidth="1"/>
    <col min="18" max="16384" width="9.140625" style="154"/>
  </cols>
  <sheetData>
    <row r="1" spans="1:17" s="158" customFormat="1" ht="15.75" thickBot="1" x14ac:dyDescent="0.3">
      <c r="A1" s="157"/>
      <c r="B1" s="157"/>
      <c r="C1" s="157"/>
      <c r="D1" s="157"/>
      <c r="E1" s="157"/>
      <c r="F1" s="157"/>
      <c r="G1" s="157"/>
      <c r="H1" s="157"/>
      <c r="I1" s="157"/>
      <c r="J1" s="178" t="s">
        <v>754</v>
      </c>
      <c r="O1" s="108" t="s">
        <v>381</v>
      </c>
      <c r="P1" s="200" t="s">
        <v>380</v>
      </c>
    </row>
    <row r="2" spans="1:17" ht="15.75" thickTop="1" x14ac:dyDescent="0.25">
      <c r="A2" s="171"/>
      <c r="B2" s="171" t="s">
        <v>20</v>
      </c>
      <c r="C2" s="171"/>
      <c r="D2" s="171"/>
      <c r="E2" s="171"/>
      <c r="F2" s="171"/>
      <c r="G2" s="171"/>
      <c r="H2" s="171"/>
      <c r="I2" s="171"/>
      <c r="J2" s="176"/>
      <c r="O2" s="46" t="s">
        <v>269</v>
      </c>
      <c r="P2" s="184">
        <f>+J68</f>
        <v>367725</v>
      </c>
    </row>
    <row r="3" spans="1:17" x14ac:dyDescent="0.25">
      <c r="A3" s="171"/>
      <c r="B3" s="171"/>
      <c r="C3" s="171"/>
      <c r="D3" s="171" t="s">
        <v>21</v>
      </c>
      <c r="E3" s="171"/>
      <c r="F3" s="171"/>
      <c r="G3" s="171"/>
      <c r="H3" s="171"/>
      <c r="I3" s="171"/>
      <c r="J3" s="176"/>
      <c r="O3" s="46" t="s">
        <v>270</v>
      </c>
      <c r="P3" s="184">
        <f>+J112</f>
        <v>132381.16</v>
      </c>
    </row>
    <row r="4" spans="1:17" x14ac:dyDescent="0.25">
      <c r="A4" s="171"/>
      <c r="B4" s="171"/>
      <c r="C4" s="171"/>
      <c r="D4" s="171"/>
      <c r="E4" s="171" t="s">
        <v>22</v>
      </c>
      <c r="F4" s="171"/>
      <c r="G4" s="171"/>
      <c r="H4" s="171"/>
      <c r="I4" s="171"/>
      <c r="J4" s="176"/>
      <c r="O4" s="46" t="s">
        <v>597</v>
      </c>
      <c r="P4" s="184">
        <f>+J157</f>
        <v>59000</v>
      </c>
    </row>
    <row r="5" spans="1:17" x14ac:dyDescent="0.25">
      <c r="A5" s="171"/>
      <c r="B5" s="171"/>
      <c r="C5" s="171"/>
      <c r="D5" s="171"/>
      <c r="E5" s="171"/>
      <c r="F5" s="171" t="s">
        <v>23</v>
      </c>
      <c r="G5" s="171"/>
      <c r="H5" s="171"/>
      <c r="I5" s="171"/>
      <c r="J5" s="176">
        <v>7880705.4500000002</v>
      </c>
      <c r="O5" s="119" t="s">
        <v>606</v>
      </c>
      <c r="P5" s="184"/>
    </row>
    <row r="6" spans="1:17" x14ac:dyDescent="0.25">
      <c r="A6" s="171"/>
      <c r="B6" s="171"/>
      <c r="C6" s="171"/>
      <c r="D6" s="171"/>
      <c r="E6" s="171"/>
      <c r="F6" s="171" t="s">
        <v>26</v>
      </c>
      <c r="G6" s="171"/>
      <c r="H6" s="171"/>
      <c r="I6" s="171"/>
      <c r="J6" s="176">
        <v>636852.12</v>
      </c>
      <c r="O6" s="67" t="s">
        <v>598</v>
      </c>
      <c r="P6" s="184">
        <f>+J171</f>
        <v>530000</v>
      </c>
    </row>
    <row r="7" spans="1:17" x14ac:dyDescent="0.25">
      <c r="A7" s="171"/>
      <c r="B7" s="171"/>
      <c r="C7" s="171"/>
      <c r="D7" s="171"/>
      <c r="E7" s="171"/>
      <c r="F7" s="171" t="s">
        <v>27</v>
      </c>
      <c r="G7" s="171"/>
      <c r="H7" s="171"/>
      <c r="I7" s="171"/>
      <c r="J7" s="176">
        <v>4647034.8</v>
      </c>
      <c r="O7" s="106" t="s">
        <v>12</v>
      </c>
      <c r="P7" s="201">
        <f>SUM(P2:P6)</f>
        <v>1089106.1600000001</v>
      </c>
    </row>
    <row r="8" spans="1:17" x14ac:dyDescent="0.25">
      <c r="A8" s="171"/>
      <c r="B8" s="171"/>
      <c r="C8" s="171"/>
      <c r="D8" s="171"/>
      <c r="E8" s="171"/>
      <c r="F8" s="171" t="s">
        <v>28</v>
      </c>
      <c r="G8" s="171"/>
      <c r="H8" s="171"/>
      <c r="I8" s="171"/>
      <c r="J8" s="176">
        <v>38953.75</v>
      </c>
      <c r="O8" s="46"/>
      <c r="P8" s="190"/>
    </row>
    <row r="9" spans="1:17" x14ac:dyDescent="0.25">
      <c r="A9" s="171"/>
      <c r="B9" s="171"/>
      <c r="C9" s="171"/>
      <c r="D9" s="171"/>
      <c r="E9" s="171"/>
      <c r="F9" s="171" t="s">
        <v>29</v>
      </c>
      <c r="G9" s="171"/>
      <c r="H9" s="171"/>
      <c r="I9" s="171"/>
      <c r="J9" s="176"/>
      <c r="O9" s="104"/>
      <c r="P9" s="202"/>
    </row>
    <row r="10" spans="1:17" ht="15.75" thickBot="1" x14ac:dyDescent="0.3">
      <c r="A10" s="171"/>
      <c r="B10" s="171"/>
      <c r="C10" s="171"/>
      <c r="D10" s="171"/>
      <c r="E10" s="171"/>
      <c r="F10" s="171"/>
      <c r="G10" s="171" t="s">
        <v>32</v>
      </c>
      <c r="H10" s="171"/>
      <c r="I10" s="171"/>
      <c r="J10" s="220">
        <v>2226.9499999999998</v>
      </c>
      <c r="O10" s="65" t="s">
        <v>397</v>
      </c>
      <c r="P10" s="203" t="s">
        <v>380</v>
      </c>
    </row>
    <row r="11" spans="1:17" x14ac:dyDescent="0.25">
      <c r="A11" s="171"/>
      <c r="B11" s="171"/>
      <c r="C11" s="171"/>
      <c r="D11" s="171"/>
      <c r="E11" s="171"/>
      <c r="F11" s="171" t="s">
        <v>38</v>
      </c>
      <c r="G11" s="171"/>
      <c r="H11" s="171"/>
      <c r="I11" s="171"/>
      <c r="J11" s="176">
        <f>ROUND(SUM(J9:J10),5)</f>
        <v>2226.9499999999998</v>
      </c>
      <c r="O11" s="46" t="s">
        <v>269</v>
      </c>
      <c r="P11" s="327">
        <f>+J92-P2</f>
        <v>1015187.8799999999</v>
      </c>
      <c r="Q11" s="20"/>
    </row>
    <row r="12" spans="1:17" ht="15.75" thickBot="1" x14ac:dyDescent="0.3">
      <c r="A12" s="171"/>
      <c r="B12" s="171"/>
      <c r="C12" s="171"/>
      <c r="D12" s="171"/>
      <c r="E12" s="171"/>
      <c r="F12" s="171" t="s">
        <v>618</v>
      </c>
      <c r="G12" s="171"/>
      <c r="H12" s="171"/>
      <c r="I12" s="171"/>
      <c r="J12" s="8">
        <v>82333.7</v>
      </c>
      <c r="O12" s="46" t="s">
        <v>270</v>
      </c>
      <c r="P12" s="326">
        <f>+J132-P3</f>
        <v>412600.35</v>
      </c>
    </row>
    <row r="13" spans="1:17" ht="15.75" thickBot="1" x14ac:dyDescent="0.3">
      <c r="A13" s="171"/>
      <c r="B13" s="171"/>
      <c r="C13" s="171"/>
      <c r="D13" s="171"/>
      <c r="E13" s="171" t="s">
        <v>39</v>
      </c>
      <c r="F13" s="171"/>
      <c r="G13" s="171"/>
      <c r="H13" s="171"/>
      <c r="I13" s="171"/>
      <c r="J13" s="10">
        <f>ROUND(SUM(J4:J8)+SUM(J11:J12),5)</f>
        <v>13288106.77</v>
      </c>
      <c r="O13" s="194" t="s">
        <v>609</v>
      </c>
      <c r="P13" s="190">
        <f>+J143</f>
        <v>64342.400000000001</v>
      </c>
    </row>
    <row r="14" spans="1:17" x14ac:dyDescent="0.25">
      <c r="A14" s="171"/>
      <c r="B14" s="171"/>
      <c r="C14" s="171"/>
      <c r="D14" s="171" t="s">
        <v>40</v>
      </c>
      <c r="E14" s="171"/>
      <c r="F14" s="171"/>
      <c r="G14" s="171"/>
      <c r="H14" s="171"/>
      <c r="I14" s="171"/>
      <c r="J14" s="176">
        <f>ROUND(J3+J13,5)</f>
        <v>13288106.77</v>
      </c>
      <c r="O14" s="194" t="s">
        <v>610</v>
      </c>
      <c r="P14" s="190">
        <f>+J162-P4</f>
        <v>140031</v>
      </c>
    </row>
    <row r="15" spans="1:17" x14ac:dyDescent="0.25">
      <c r="A15" s="171"/>
      <c r="B15" s="171"/>
      <c r="C15" s="171"/>
      <c r="D15" s="171" t="s">
        <v>41</v>
      </c>
      <c r="E15" s="171"/>
      <c r="F15" s="171"/>
      <c r="G15" s="171"/>
      <c r="H15" s="171"/>
      <c r="I15" s="171"/>
      <c r="J15" s="176"/>
      <c r="O15" s="66" t="s">
        <v>611</v>
      </c>
      <c r="P15" s="190">
        <f>+J165</f>
        <v>1543.5</v>
      </c>
    </row>
    <row r="16" spans="1:17" x14ac:dyDescent="0.25">
      <c r="A16" s="171"/>
      <c r="B16" s="171"/>
      <c r="C16" s="171"/>
      <c r="D16" s="171"/>
      <c r="E16" s="171" t="s">
        <v>619</v>
      </c>
      <c r="F16" s="171"/>
      <c r="G16" s="171"/>
      <c r="H16" s="171"/>
      <c r="I16" s="171"/>
      <c r="J16" s="176">
        <v>7123.7</v>
      </c>
      <c r="O16" s="193" t="s">
        <v>612</v>
      </c>
      <c r="P16" s="190"/>
    </row>
    <row r="17" spans="1:17" x14ac:dyDescent="0.25">
      <c r="A17" s="171"/>
      <c r="B17" s="171"/>
      <c r="C17" s="171"/>
      <c r="D17" s="171"/>
      <c r="E17" s="171" t="s">
        <v>42</v>
      </c>
      <c r="F17" s="171"/>
      <c r="G17" s="171"/>
      <c r="H17" s="171"/>
      <c r="I17" s="171"/>
      <c r="J17" s="176"/>
      <c r="O17" s="67" t="s">
        <v>383</v>
      </c>
      <c r="P17" s="184">
        <f>+J184</f>
        <v>18250</v>
      </c>
    </row>
    <row r="18" spans="1:17" x14ac:dyDescent="0.25">
      <c r="A18" s="171"/>
      <c r="B18" s="171"/>
      <c r="C18" s="171"/>
      <c r="D18" s="171"/>
      <c r="E18" s="171"/>
      <c r="F18" s="171" t="s">
        <v>43</v>
      </c>
      <c r="G18" s="171"/>
      <c r="H18" s="171"/>
      <c r="I18" s="171"/>
      <c r="J18" s="176"/>
      <c r="O18" s="67" t="s">
        <v>386</v>
      </c>
      <c r="P18" s="190">
        <f>+J224</f>
        <v>1731413.395</v>
      </c>
      <c r="Q18" s="17"/>
    </row>
    <row r="19" spans="1:17" x14ac:dyDescent="0.25">
      <c r="A19" s="171"/>
      <c r="B19" s="171"/>
      <c r="C19" s="171"/>
      <c r="D19" s="171"/>
      <c r="E19" s="171"/>
      <c r="F19" s="171"/>
      <c r="G19" s="171" t="s">
        <v>44</v>
      </c>
      <c r="H19" s="171"/>
      <c r="I19" s="171"/>
      <c r="J19" s="176">
        <v>3366471.8</v>
      </c>
      <c r="O19" s="46"/>
      <c r="P19" s="190"/>
    </row>
    <row r="20" spans="1:17" x14ac:dyDescent="0.25">
      <c r="A20" s="171"/>
      <c r="B20" s="171"/>
      <c r="C20" s="171"/>
      <c r="D20" s="171"/>
      <c r="E20" s="171"/>
      <c r="F20" s="171"/>
      <c r="G20" s="171" t="s">
        <v>45</v>
      </c>
      <c r="H20" s="171"/>
      <c r="I20" s="171"/>
      <c r="J20" s="176">
        <v>653239.98</v>
      </c>
      <c r="O20" s="61" t="s">
        <v>12</v>
      </c>
      <c r="P20" s="204">
        <f>SUM(P11:P18)</f>
        <v>3383368.5249999999</v>
      </c>
    </row>
    <row r="21" spans="1:17" x14ac:dyDescent="0.25">
      <c r="A21" s="171"/>
      <c r="B21" s="171"/>
      <c r="C21" s="171"/>
      <c r="D21" s="171"/>
      <c r="E21" s="171"/>
      <c r="F21" s="171"/>
      <c r="G21" s="171" t="s">
        <v>46</v>
      </c>
      <c r="H21" s="171"/>
      <c r="I21" s="171"/>
      <c r="J21" s="176">
        <v>24000</v>
      </c>
    </row>
    <row r="22" spans="1:17" ht="15.75" thickBot="1" x14ac:dyDescent="0.3">
      <c r="A22" s="171"/>
      <c r="B22" s="171"/>
      <c r="C22" s="171"/>
      <c r="D22" s="171"/>
      <c r="E22" s="171"/>
      <c r="F22" s="171"/>
      <c r="G22" s="171" t="s">
        <v>47</v>
      </c>
      <c r="H22" s="171"/>
      <c r="I22" s="171"/>
      <c r="J22" s="220">
        <v>330869</v>
      </c>
    </row>
    <row r="23" spans="1:17" x14ac:dyDescent="0.25">
      <c r="A23" s="171"/>
      <c r="B23" s="171"/>
      <c r="C23" s="171"/>
      <c r="D23" s="171"/>
      <c r="E23" s="171"/>
      <c r="F23" s="171" t="s">
        <v>48</v>
      </c>
      <c r="G23" s="171"/>
      <c r="H23" s="171"/>
      <c r="I23" s="171"/>
      <c r="J23" s="176">
        <f>ROUND(SUM(J18:J22),5)</f>
        <v>4374580.78</v>
      </c>
    </row>
    <row r="24" spans="1:17" x14ac:dyDescent="0.25">
      <c r="A24" s="171"/>
      <c r="B24" s="171"/>
      <c r="C24" s="171"/>
      <c r="D24" s="171"/>
      <c r="E24" s="171"/>
      <c r="F24" s="171" t="s">
        <v>49</v>
      </c>
      <c r="G24" s="171"/>
      <c r="H24" s="171"/>
      <c r="I24" s="171"/>
      <c r="J24" s="176"/>
    </row>
    <row r="25" spans="1:17" x14ac:dyDescent="0.25">
      <c r="A25" s="171"/>
      <c r="B25" s="171"/>
      <c r="C25" s="171"/>
      <c r="D25" s="171"/>
      <c r="E25" s="171"/>
      <c r="F25" s="171"/>
      <c r="G25" s="171" t="s">
        <v>451</v>
      </c>
      <c r="H25" s="171"/>
      <c r="I25" s="171"/>
      <c r="J25" s="176">
        <v>126673.25</v>
      </c>
    </row>
    <row r="26" spans="1:17" ht="15.75" thickBot="1" x14ac:dyDescent="0.3">
      <c r="A26" s="171"/>
      <c r="B26" s="171"/>
      <c r="C26" s="171"/>
      <c r="D26" s="171"/>
      <c r="E26" s="171"/>
      <c r="F26" s="171"/>
      <c r="G26" s="171" t="s">
        <v>51</v>
      </c>
      <c r="H26" s="171"/>
      <c r="I26" s="171"/>
      <c r="J26" s="220">
        <v>5000</v>
      </c>
    </row>
    <row r="27" spans="1:17" x14ac:dyDescent="0.25">
      <c r="A27" s="171"/>
      <c r="B27" s="171"/>
      <c r="C27" s="171"/>
      <c r="D27" s="171"/>
      <c r="E27" s="171"/>
      <c r="F27" s="171" t="s">
        <v>54</v>
      </c>
      <c r="G27" s="171"/>
      <c r="H27" s="171"/>
      <c r="I27" s="171"/>
      <c r="J27" s="176">
        <f>ROUND(SUM(J24:J26),5)</f>
        <v>131673.25</v>
      </c>
    </row>
    <row r="28" spans="1:17" x14ac:dyDescent="0.25">
      <c r="A28" s="171"/>
      <c r="B28" s="171"/>
      <c r="C28" s="171"/>
      <c r="D28" s="171"/>
      <c r="E28" s="171"/>
      <c r="F28" s="171" t="s">
        <v>55</v>
      </c>
      <c r="G28" s="171"/>
      <c r="H28" s="171"/>
      <c r="I28" s="171"/>
      <c r="J28" s="176"/>
    </row>
    <row r="29" spans="1:17" x14ac:dyDescent="0.25">
      <c r="A29" s="171"/>
      <c r="B29" s="171"/>
      <c r="C29" s="171"/>
      <c r="D29" s="171"/>
      <c r="E29" s="171"/>
      <c r="F29" s="171"/>
      <c r="G29" s="171" t="s">
        <v>56</v>
      </c>
      <c r="H29" s="171"/>
      <c r="I29" s="171"/>
      <c r="J29" s="176">
        <v>3496636.81</v>
      </c>
    </row>
    <row r="30" spans="1:17" x14ac:dyDescent="0.25">
      <c r="A30" s="171"/>
      <c r="B30" s="171"/>
      <c r="C30" s="171"/>
      <c r="D30" s="171"/>
      <c r="E30" s="171"/>
      <c r="F30" s="171"/>
      <c r="G30" s="171" t="s">
        <v>59</v>
      </c>
      <c r="H30" s="171"/>
      <c r="I30" s="171"/>
      <c r="J30" s="176">
        <v>16971.8</v>
      </c>
    </row>
    <row r="31" spans="1:17" ht="15.75" thickBot="1" x14ac:dyDescent="0.3">
      <c r="A31" s="171"/>
      <c r="B31" s="171"/>
      <c r="C31" s="171"/>
      <c r="D31" s="171"/>
      <c r="E31" s="171"/>
      <c r="F31" s="171"/>
      <c r="G31" s="171" t="s">
        <v>60</v>
      </c>
      <c r="H31" s="171"/>
      <c r="I31" s="171"/>
      <c r="J31" s="220">
        <v>31003</v>
      </c>
    </row>
    <row r="32" spans="1:17" x14ac:dyDescent="0.25">
      <c r="A32" s="171"/>
      <c r="B32" s="171"/>
      <c r="C32" s="171"/>
      <c r="D32" s="171"/>
      <c r="E32" s="171"/>
      <c r="F32" s="171" t="s">
        <v>61</v>
      </c>
      <c r="G32" s="171"/>
      <c r="H32" s="171"/>
      <c r="I32" s="171"/>
      <c r="J32" s="176">
        <f>ROUND(SUM(J28:J31),5)</f>
        <v>3544611.61</v>
      </c>
    </row>
    <row r="33" spans="1:10" x14ac:dyDescent="0.25">
      <c r="A33" s="171"/>
      <c r="B33" s="171"/>
      <c r="C33" s="171"/>
      <c r="D33" s="171"/>
      <c r="E33" s="171"/>
      <c r="F33" s="171" t="s">
        <v>62</v>
      </c>
      <c r="G33" s="171"/>
      <c r="H33" s="171"/>
      <c r="I33" s="171"/>
      <c r="J33" s="176"/>
    </row>
    <row r="34" spans="1:10" x14ac:dyDescent="0.25">
      <c r="A34" s="171"/>
      <c r="B34" s="171"/>
      <c r="C34" s="171"/>
      <c r="D34" s="171"/>
      <c r="E34" s="171"/>
      <c r="F34" s="171"/>
      <c r="G34" s="171" t="s">
        <v>63</v>
      </c>
      <c r="H34" s="171"/>
      <c r="I34" s="171"/>
      <c r="J34" s="176">
        <v>1129431</v>
      </c>
    </row>
    <row r="35" spans="1:10" x14ac:dyDescent="0.25">
      <c r="A35" s="171"/>
      <c r="B35" s="171"/>
      <c r="C35" s="171"/>
      <c r="D35" s="171"/>
      <c r="E35" s="171"/>
      <c r="F35" s="171"/>
      <c r="G35" s="171" t="s">
        <v>512</v>
      </c>
      <c r="H35" s="171"/>
      <c r="I35" s="171"/>
      <c r="J35" s="176">
        <v>137830</v>
      </c>
    </row>
    <row r="36" spans="1:10" x14ac:dyDescent="0.25">
      <c r="A36" s="171"/>
      <c r="B36" s="171"/>
      <c r="C36" s="171"/>
      <c r="D36" s="171"/>
      <c r="E36" s="171"/>
      <c r="F36" s="171"/>
      <c r="G36" s="171" t="s">
        <v>513</v>
      </c>
      <c r="H36" s="171"/>
      <c r="I36" s="171"/>
      <c r="J36" s="176">
        <v>34457</v>
      </c>
    </row>
    <row r="37" spans="1:10" x14ac:dyDescent="0.25">
      <c r="A37" s="171"/>
      <c r="B37" s="171"/>
      <c r="C37" s="171"/>
      <c r="D37" s="171"/>
      <c r="E37" s="171"/>
      <c r="F37" s="171"/>
      <c r="G37" s="171" t="s">
        <v>64</v>
      </c>
      <c r="H37" s="171"/>
      <c r="I37" s="171"/>
      <c r="J37" s="176">
        <v>431381</v>
      </c>
    </row>
    <row r="38" spans="1:10" x14ac:dyDescent="0.25">
      <c r="A38" s="171"/>
      <c r="B38" s="171"/>
      <c r="C38" s="171"/>
      <c r="D38" s="171"/>
      <c r="E38" s="171"/>
      <c r="F38" s="171"/>
      <c r="G38" s="171" t="s">
        <v>65</v>
      </c>
      <c r="H38" s="171"/>
      <c r="I38" s="171"/>
      <c r="J38" s="176">
        <v>123173</v>
      </c>
    </row>
    <row r="39" spans="1:10" ht="15.75" thickBot="1" x14ac:dyDescent="0.3">
      <c r="A39" s="171"/>
      <c r="B39" s="171"/>
      <c r="C39" s="171"/>
      <c r="D39" s="171"/>
      <c r="E39" s="171"/>
      <c r="F39" s="171"/>
      <c r="G39" s="171" t="s">
        <v>66</v>
      </c>
      <c r="H39" s="171"/>
      <c r="I39" s="171"/>
      <c r="J39" s="220">
        <v>25295</v>
      </c>
    </row>
    <row r="40" spans="1:10" x14ac:dyDescent="0.25">
      <c r="A40" s="171"/>
      <c r="B40" s="171"/>
      <c r="C40" s="171"/>
      <c r="D40" s="171"/>
      <c r="E40" s="171"/>
      <c r="F40" s="171" t="s">
        <v>67</v>
      </c>
      <c r="G40" s="171"/>
      <c r="H40" s="171"/>
      <c r="I40" s="171"/>
      <c r="J40" s="176">
        <f>ROUND(SUM(J33:J39),5)</f>
        <v>1881567</v>
      </c>
    </row>
    <row r="41" spans="1:10" ht="15.75" thickBot="1" x14ac:dyDescent="0.3">
      <c r="A41" s="171"/>
      <c r="B41" s="171"/>
      <c r="C41" s="171"/>
      <c r="D41" s="171"/>
      <c r="E41" s="171"/>
      <c r="F41" s="171" t="s">
        <v>624</v>
      </c>
      <c r="G41" s="171"/>
      <c r="H41" s="171"/>
      <c r="I41" s="171"/>
      <c r="J41" s="8">
        <v>17519.89</v>
      </c>
    </row>
    <row r="42" spans="1:10" ht="15.75" thickBot="1" x14ac:dyDescent="0.3">
      <c r="A42" s="171"/>
      <c r="B42" s="171"/>
      <c r="C42" s="171"/>
      <c r="D42" s="171"/>
      <c r="E42" s="171" t="s">
        <v>71</v>
      </c>
      <c r="F42" s="171"/>
      <c r="G42" s="171"/>
      <c r="H42" s="171"/>
      <c r="I42" s="171"/>
      <c r="J42" s="11">
        <f>ROUND(J17+J23+J27+J32+SUM(J40:J41),5)</f>
        <v>9949952.5299999993</v>
      </c>
    </row>
    <row r="43" spans="1:10" ht="15.75" thickBot="1" x14ac:dyDescent="0.3">
      <c r="A43" s="171"/>
      <c r="B43" s="171"/>
      <c r="C43" s="171"/>
      <c r="D43" s="171" t="s">
        <v>72</v>
      </c>
      <c r="E43" s="171"/>
      <c r="F43" s="171"/>
      <c r="G43" s="171"/>
      <c r="H43" s="171"/>
      <c r="I43" s="171"/>
      <c r="J43" s="10">
        <f>ROUND(SUM(J15:J16)+J42,5)</f>
        <v>9957076.2300000004</v>
      </c>
    </row>
    <row r="44" spans="1:10" x14ac:dyDescent="0.25">
      <c r="A44" s="171"/>
      <c r="B44" s="171"/>
      <c r="C44" s="171" t="s">
        <v>73</v>
      </c>
      <c r="D44" s="171"/>
      <c r="E44" s="171"/>
      <c r="F44" s="171"/>
      <c r="G44" s="171"/>
      <c r="H44" s="171"/>
      <c r="I44" s="171"/>
      <c r="J44" s="176">
        <f>ROUND(J14-J43,5)</f>
        <v>3331030.54</v>
      </c>
    </row>
    <row r="45" spans="1:10" x14ac:dyDescent="0.25">
      <c r="A45" s="171"/>
      <c r="B45" s="171"/>
      <c r="C45" s="171"/>
      <c r="D45" s="171" t="s">
        <v>74</v>
      </c>
      <c r="E45" s="171"/>
      <c r="F45" s="171"/>
      <c r="G45" s="171"/>
      <c r="H45" s="171"/>
      <c r="I45" s="171"/>
      <c r="J45" s="176"/>
    </row>
    <row r="46" spans="1:10" x14ac:dyDescent="0.25">
      <c r="A46" s="171"/>
      <c r="B46" s="171"/>
      <c r="C46" s="171"/>
      <c r="D46" s="171"/>
      <c r="E46" s="171" t="s">
        <v>75</v>
      </c>
      <c r="F46" s="171"/>
      <c r="G46" s="171"/>
      <c r="H46" s="171"/>
      <c r="I46" s="171"/>
      <c r="J46" s="176"/>
    </row>
    <row r="47" spans="1:10" x14ac:dyDescent="0.25">
      <c r="A47" s="171"/>
      <c r="B47" s="171"/>
      <c r="C47" s="171"/>
      <c r="D47" s="171"/>
      <c r="E47" s="171"/>
      <c r="F47" s="171" t="s">
        <v>189</v>
      </c>
      <c r="G47" s="171"/>
      <c r="H47" s="328"/>
      <c r="I47" s="328"/>
      <c r="J47" s="176"/>
    </row>
    <row r="48" spans="1:10" x14ac:dyDescent="0.25">
      <c r="A48" s="171"/>
      <c r="B48" s="171"/>
      <c r="C48" s="171"/>
      <c r="D48" s="171"/>
      <c r="E48" s="171"/>
      <c r="F48" s="171"/>
      <c r="G48" s="171" t="s">
        <v>76</v>
      </c>
      <c r="H48" s="171"/>
      <c r="I48" s="171"/>
      <c r="J48" s="176"/>
    </row>
    <row r="49" spans="1:10" x14ac:dyDescent="0.25">
      <c r="A49" s="171"/>
      <c r="B49" s="171"/>
      <c r="C49" s="171"/>
      <c r="D49" s="171"/>
      <c r="E49" s="171"/>
      <c r="F49" s="171"/>
      <c r="G49" s="171"/>
      <c r="H49" s="171" t="s">
        <v>77</v>
      </c>
      <c r="I49" s="171"/>
      <c r="J49" s="176">
        <v>3000</v>
      </c>
    </row>
    <row r="50" spans="1:10" x14ac:dyDescent="0.25">
      <c r="A50" s="171"/>
      <c r="B50" s="171"/>
      <c r="C50" s="171"/>
      <c r="D50" s="171"/>
      <c r="E50" s="171"/>
      <c r="F50" s="171"/>
      <c r="G50" s="171"/>
      <c r="H50" s="171" t="s">
        <v>78</v>
      </c>
      <c r="I50" s="171"/>
      <c r="J50" s="176">
        <v>39652</v>
      </c>
    </row>
    <row r="51" spans="1:10" x14ac:dyDescent="0.25">
      <c r="A51" s="171"/>
      <c r="B51" s="171"/>
      <c r="C51" s="171"/>
      <c r="D51" s="171"/>
      <c r="E51" s="171"/>
      <c r="F51" s="171"/>
      <c r="G51" s="171"/>
      <c r="H51" s="171" t="s">
        <v>80</v>
      </c>
      <c r="I51" s="171"/>
      <c r="J51" s="176">
        <v>2180</v>
      </c>
    </row>
    <row r="52" spans="1:10" x14ac:dyDescent="0.25">
      <c r="A52" s="171"/>
      <c r="B52" s="171"/>
      <c r="C52" s="171"/>
      <c r="D52" s="171"/>
      <c r="E52" s="171"/>
      <c r="F52" s="171"/>
      <c r="G52" s="171"/>
      <c r="H52" s="171" t="s">
        <v>453</v>
      </c>
      <c r="I52" s="171"/>
      <c r="J52" s="176">
        <v>3855.6</v>
      </c>
    </row>
    <row r="53" spans="1:10" x14ac:dyDescent="0.25">
      <c r="A53" s="171"/>
      <c r="B53" s="171"/>
      <c r="C53" s="171"/>
      <c r="D53" s="171"/>
      <c r="E53" s="171"/>
      <c r="F53" s="171"/>
      <c r="G53" s="171"/>
      <c r="H53" s="171" t="s">
        <v>81</v>
      </c>
      <c r="I53" s="171"/>
      <c r="J53" s="176"/>
    </row>
    <row r="54" spans="1:10" ht="15.75" thickBot="1" x14ac:dyDescent="0.3">
      <c r="A54" s="171"/>
      <c r="B54" s="171"/>
      <c r="C54" s="171"/>
      <c r="D54" s="171"/>
      <c r="E54" s="171"/>
      <c r="F54" s="171"/>
      <c r="G54" s="171"/>
      <c r="H54" s="171"/>
      <c r="I54" s="171" t="s">
        <v>82</v>
      </c>
      <c r="J54" s="220">
        <v>22575</v>
      </c>
    </row>
    <row r="55" spans="1:10" x14ac:dyDescent="0.25">
      <c r="A55" s="171"/>
      <c r="B55" s="171"/>
      <c r="C55" s="171"/>
      <c r="D55" s="171"/>
      <c r="E55" s="171"/>
      <c r="F55" s="171"/>
      <c r="G55" s="171"/>
      <c r="H55" s="171" t="s">
        <v>83</v>
      </c>
      <c r="I55" s="171"/>
      <c r="J55" s="176">
        <f>ROUND(SUM(J53:J54),5)</f>
        <v>22575</v>
      </c>
    </row>
    <row r="56" spans="1:10" x14ac:dyDescent="0.25">
      <c r="A56" s="171"/>
      <c r="B56" s="171"/>
      <c r="C56" s="171"/>
      <c r="D56" s="171"/>
      <c r="E56" s="171"/>
      <c r="F56" s="171"/>
      <c r="G56" s="171"/>
      <c r="H56" s="171" t="s">
        <v>190</v>
      </c>
      <c r="I56" s="171"/>
      <c r="J56" s="176">
        <v>80148</v>
      </c>
    </row>
    <row r="57" spans="1:10" x14ac:dyDescent="0.25">
      <c r="A57" s="171"/>
      <c r="B57" s="171"/>
      <c r="C57" s="171"/>
      <c r="D57" s="171"/>
      <c r="E57" s="171"/>
      <c r="F57" s="171"/>
      <c r="G57" s="171"/>
      <c r="H57" s="171" t="s">
        <v>84</v>
      </c>
      <c r="I57" s="171"/>
      <c r="J57" s="176">
        <v>51595</v>
      </c>
    </row>
    <row r="58" spans="1:10" x14ac:dyDescent="0.25">
      <c r="A58" s="171"/>
      <c r="B58" s="171"/>
      <c r="C58" s="171"/>
      <c r="D58" s="171"/>
      <c r="E58" s="171"/>
      <c r="F58" s="171"/>
      <c r="G58" s="171"/>
      <c r="H58" s="171" t="s">
        <v>521</v>
      </c>
      <c r="I58" s="171"/>
      <c r="J58" s="176">
        <v>11892</v>
      </c>
    </row>
    <row r="59" spans="1:10" ht="15.75" thickBot="1" x14ac:dyDescent="0.3">
      <c r="A59" s="171"/>
      <c r="B59" s="171"/>
      <c r="C59" s="171"/>
      <c r="D59" s="171"/>
      <c r="E59" s="171"/>
      <c r="F59" s="171"/>
      <c r="G59" s="171"/>
      <c r="H59" s="171" t="s">
        <v>755</v>
      </c>
      <c r="I59" s="171"/>
      <c r="J59" s="220">
        <v>130</v>
      </c>
    </row>
    <row r="60" spans="1:10" x14ac:dyDescent="0.25">
      <c r="A60" s="171"/>
      <c r="B60" s="171"/>
      <c r="C60" s="171"/>
      <c r="D60" s="171"/>
      <c r="E60" s="171"/>
      <c r="F60" s="171"/>
      <c r="G60" s="171" t="s">
        <v>85</v>
      </c>
      <c r="H60" s="171"/>
      <c r="I60" s="171"/>
      <c r="J60" s="176">
        <f>ROUND(SUM(J48:J52)+SUM(J55:J59),5)</f>
        <v>215027.6</v>
      </c>
    </row>
    <row r="61" spans="1:10" x14ac:dyDescent="0.25">
      <c r="A61" s="171"/>
      <c r="B61" s="171"/>
      <c r="C61" s="171"/>
      <c r="D61" s="171"/>
      <c r="E61" s="171"/>
      <c r="F61" s="171"/>
      <c r="G61" s="171" t="s">
        <v>86</v>
      </c>
      <c r="H61" s="171"/>
      <c r="I61" s="171"/>
      <c r="J61" s="176"/>
    </row>
    <row r="62" spans="1:10" x14ac:dyDescent="0.25">
      <c r="A62" s="171"/>
      <c r="B62" s="171"/>
      <c r="C62" s="171"/>
      <c r="D62" s="171"/>
      <c r="E62" s="171"/>
      <c r="F62" s="171"/>
      <c r="G62" s="171"/>
      <c r="H62" s="171" t="s">
        <v>87</v>
      </c>
      <c r="I62" s="171"/>
      <c r="J62" s="176">
        <v>271500</v>
      </c>
    </row>
    <row r="63" spans="1:10" x14ac:dyDescent="0.25">
      <c r="A63" s="171"/>
      <c r="B63" s="171"/>
      <c r="C63" s="171"/>
      <c r="D63" s="171"/>
      <c r="E63" s="171"/>
      <c r="F63" s="171"/>
      <c r="G63" s="171"/>
      <c r="H63" s="171" t="s">
        <v>522</v>
      </c>
      <c r="I63" s="171"/>
      <c r="J63" s="176">
        <v>32580</v>
      </c>
    </row>
    <row r="64" spans="1:10" x14ac:dyDescent="0.25">
      <c r="A64" s="171"/>
      <c r="B64" s="171"/>
      <c r="C64" s="171"/>
      <c r="D64" s="171"/>
      <c r="E64" s="171"/>
      <c r="F64" s="171"/>
      <c r="G64" s="171"/>
      <c r="H64" s="171" t="s">
        <v>523</v>
      </c>
      <c r="I64" s="171"/>
      <c r="J64" s="176">
        <v>8145</v>
      </c>
    </row>
    <row r="65" spans="1:10" x14ac:dyDescent="0.25">
      <c r="A65" s="171"/>
      <c r="B65" s="171"/>
      <c r="C65" s="171"/>
      <c r="D65" s="171"/>
      <c r="E65" s="171"/>
      <c r="F65" s="171"/>
      <c r="G65" s="171"/>
      <c r="H65" s="171" t="s">
        <v>524</v>
      </c>
      <c r="I65" s="171"/>
      <c r="J65" s="176">
        <v>0</v>
      </c>
    </row>
    <row r="66" spans="1:10" x14ac:dyDescent="0.25">
      <c r="A66" s="171"/>
      <c r="B66" s="171"/>
      <c r="C66" s="171"/>
      <c r="D66" s="171"/>
      <c r="E66" s="171"/>
      <c r="F66" s="171"/>
      <c r="G66" s="171"/>
      <c r="H66" s="171" t="s">
        <v>88</v>
      </c>
      <c r="I66" s="171"/>
      <c r="J66" s="176">
        <v>5500</v>
      </c>
    </row>
    <row r="67" spans="1:10" ht="15.75" thickBot="1" x14ac:dyDescent="0.3">
      <c r="A67" s="171"/>
      <c r="B67" s="171"/>
      <c r="C67" s="171"/>
      <c r="D67" s="171"/>
      <c r="E67" s="171"/>
      <c r="F67" s="171"/>
      <c r="G67" s="171"/>
      <c r="H67" s="171" t="s">
        <v>89</v>
      </c>
      <c r="I67" s="171"/>
      <c r="J67" s="220">
        <v>50000</v>
      </c>
    </row>
    <row r="68" spans="1:10" x14ac:dyDescent="0.25">
      <c r="A68" s="171"/>
      <c r="B68" s="171"/>
      <c r="C68" s="171"/>
      <c r="D68" s="171"/>
      <c r="E68" s="171"/>
      <c r="F68" s="171"/>
      <c r="G68" s="171" t="s">
        <v>91</v>
      </c>
      <c r="H68" s="171"/>
      <c r="I68" s="171"/>
      <c r="J68" s="176">
        <f>ROUND(SUM(J61:J67),5)</f>
        <v>367725</v>
      </c>
    </row>
    <row r="69" spans="1:10" x14ac:dyDescent="0.25">
      <c r="A69" s="171"/>
      <c r="B69" s="171"/>
      <c r="C69" s="171"/>
      <c r="D69" s="171"/>
      <c r="E69" s="171"/>
      <c r="F69" s="171"/>
      <c r="G69" s="171" t="s">
        <v>92</v>
      </c>
      <c r="H69" s="171"/>
      <c r="I69" s="171"/>
      <c r="J69" s="176"/>
    </row>
    <row r="70" spans="1:10" x14ac:dyDescent="0.25">
      <c r="A70" s="171"/>
      <c r="B70" s="171"/>
      <c r="C70" s="171"/>
      <c r="D70" s="171"/>
      <c r="E70" s="171"/>
      <c r="F70" s="171"/>
      <c r="G70" s="171"/>
      <c r="H70" s="171" t="s">
        <v>95</v>
      </c>
      <c r="I70" s="171"/>
      <c r="J70" s="176">
        <v>-5772</v>
      </c>
    </row>
    <row r="71" spans="1:10" ht="15.75" thickBot="1" x14ac:dyDescent="0.3">
      <c r="A71" s="171"/>
      <c r="B71" s="171"/>
      <c r="C71" s="171"/>
      <c r="D71" s="171"/>
      <c r="E71" s="171"/>
      <c r="F71" s="171"/>
      <c r="G71" s="171"/>
      <c r="H71" s="171" t="s">
        <v>526</v>
      </c>
      <c r="I71" s="171"/>
      <c r="J71" s="220">
        <v>43301.88</v>
      </c>
    </row>
    <row r="72" spans="1:10" x14ac:dyDescent="0.25">
      <c r="A72" s="171"/>
      <c r="B72" s="171"/>
      <c r="C72" s="171"/>
      <c r="D72" s="171"/>
      <c r="E72" s="171"/>
      <c r="F72" s="171"/>
      <c r="G72" s="171" t="s">
        <v>96</v>
      </c>
      <c r="H72" s="171"/>
      <c r="I72" s="171"/>
      <c r="J72" s="176">
        <f>ROUND(SUM(J69:J71),5)</f>
        <v>37529.879999999997</v>
      </c>
    </row>
    <row r="73" spans="1:10" x14ac:dyDescent="0.25">
      <c r="A73" s="171"/>
      <c r="B73" s="171"/>
      <c r="C73" s="171"/>
      <c r="D73" s="171"/>
      <c r="E73" s="171"/>
      <c r="F73" s="171"/>
      <c r="G73" s="171" t="s">
        <v>97</v>
      </c>
      <c r="H73" s="171"/>
      <c r="I73" s="171"/>
      <c r="J73" s="176"/>
    </row>
    <row r="74" spans="1:10" x14ac:dyDescent="0.25">
      <c r="A74" s="171"/>
      <c r="B74" s="171"/>
      <c r="C74" s="171"/>
      <c r="D74" s="171"/>
      <c r="E74" s="171"/>
      <c r="F74" s="171"/>
      <c r="G74" s="171"/>
      <c r="H74" s="171" t="s">
        <v>98</v>
      </c>
      <c r="I74" s="171"/>
      <c r="J74" s="176">
        <v>34800</v>
      </c>
    </row>
    <row r="75" spans="1:10" x14ac:dyDescent="0.25">
      <c r="A75" s="171"/>
      <c r="B75" s="171"/>
      <c r="C75" s="171"/>
      <c r="D75" s="171"/>
      <c r="E75" s="171"/>
      <c r="F75" s="171"/>
      <c r="G75" s="171"/>
      <c r="H75" s="171" t="s">
        <v>99</v>
      </c>
      <c r="I75" s="171"/>
      <c r="J75" s="176">
        <v>200</v>
      </c>
    </row>
    <row r="76" spans="1:10" x14ac:dyDescent="0.25">
      <c r="A76" s="171"/>
      <c r="B76" s="171"/>
      <c r="C76" s="171"/>
      <c r="D76" s="171"/>
      <c r="E76" s="171"/>
      <c r="F76" s="171"/>
      <c r="G76" s="171"/>
      <c r="H76" s="171" t="s">
        <v>100</v>
      </c>
      <c r="I76" s="171"/>
      <c r="J76" s="176">
        <v>-9600</v>
      </c>
    </row>
    <row r="77" spans="1:10" ht="15.75" thickBot="1" x14ac:dyDescent="0.3">
      <c r="A77" s="171"/>
      <c r="B77" s="171"/>
      <c r="C77" s="171"/>
      <c r="D77" s="171"/>
      <c r="E77" s="171"/>
      <c r="F77" s="171"/>
      <c r="G77" s="171"/>
      <c r="H77" s="171" t="s">
        <v>527</v>
      </c>
      <c r="I77" s="171"/>
      <c r="J77" s="220">
        <v>7000</v>
      </c>
    </row>
    <row r="78" spans="1:10" x14ac:dyDescent="0.25">
      <c r="A78" s="171"/>
      <c r="B78" s="171"/>
      <c r="C78" s="171"/>
      <c r="D78" s="171"/>
      <c r="E78" s="171"/>
      <c r="F78" s="171"/>
      <c r="G78" s="171" t="s">
        <v>102</v>
      </c>
      <c r="H78" s="171"/>
      <c r="I78" s="171"/>
      <c r="J78" s="176">
        <f>ROUND(SUM(J73:J77),5)</f>
        <v>32400</v>
      </c>
    </row>
    <row r="79" spans="1:10" x14ac:dyDescent="0.25">
      <c r="A79" s="171"/>
      <c r="B79" s="171"/>
      <c r="C79" s="171"/>
      <c r="D79" s="171"/>
      <c r="E79" s="171"/>
      <c r="F79" s="171"/>
      <c r="G79" s="171" t="s">
        <v>103</v>
      </c>
      <c r="H79" s="171"/>
      <c r="I79" s="171"/>
      <c r="J79" s="176"/>
    </row>
    <row r="80" spans="1:10" x14ac:dyDescent="0.25">
      <c r="A80" s="171"/>
      <c r="B80" s="171"/>
      <c r="C80" s="171"/>
      <c r="D80" s="171"/>
      <c r="E80" s="171"/>
      <c r="F80" s="171"/>
      <c r="G80" s="171"/>
      <c r="H80" s="171" t="s">
        <v>104</v>
      </c>
      <c r="I80" s="171"/>
      <c r="J80" s="176">
        <v>47107</v>
      </c>
    </row>
    <row r="81" spans="1:10" x14ac:dyDescent="0.25">
      <c r="A81" s="171"/>
      <c r="B81" s="171"/>
      <c r="C81" s="171"/>
      <c r="D81" s="171"/>
      <c r="E81" s="171"/>
      <c r="F81" s="171"/>
      <c r="G81" s="171"/>
      <c r="H81" s="171" t="s">
        <v>105</v>
      </c>
      <c r="I81" s="171"/>
      <c r="J81" s="176">
        <v>24410</v>
      </c>
    </row>
    <row r="82" spans="1:10" x14ac:dyDescent="0.25">
      <c r="A82" s="171"/>
      <c r="B82" s="171"/>
      <c r="C82" s="171"/>
      <c r="D82" s="171"/>
      <c r="E82" s="171"/>
      <c r="F82" s="171"/>
      <c r="G82" s="171"/>
      <c r="H82" s="171" t="s">
        <v>106</v>
      </c>
      <c r="I82" s="171"/>
      <c r="J82" s="176">
        <v>435</v>
      </c>
    </row>
    <row r="83" spans="1:10" x14ac:dyDescent="0.25">
      <c r="A83" s="171"/>
      <c r="B83" s="171"/>
      <c r="C83" s="171"/>
      <c r="D83" s="171"/>
      <c r="E83" s="171"/>
      <c r="F83" s="171"/>
      <c r="G83" s="171"/>
      <c r="H83" s="171" t="s">
        <v>455</v>
      </c>
      <c r="I83" s="171"/>
      <c r="J83" s="45">
        <v>141474</v>
      </c>
    </row>
    <row r="84" spans="1:10" x14ac:dyDescent="0.25">
      <c r="A84" s="171"/>
      <c r="B84" s="171"/>
      <c r="C84" s="171"/>
      <c r="D84" s="171"/>
      <c r="E84" s="171"/>
      <c r="F84" s="171"/>
      <c r="G84" s="171"/>
      <c r="H84" s="171" t="s">
        <v>107</v>
      </c>
      <c r="I84" s="171"/>
      <c r="J84" s="176">
        <v>2180</v>
      </c>
    </row>
    <row r="85" spans="1:10" x14ac:dyDescent="0.25">
      <c r="A85" s="171"/>
      <c r="B85" s="171"/>
      <c r="C85" s="171"/>
      <c r="D85" s="171"/>
      <c r="E85" s="171"/>
      <c r="F85" s="171"/>
      <c r="G85" s="171"/>
      <c r="H85" s="171" t="s">
        <v>528</v>
      </c>
      <c r="I85" s="171"/>
      <c r="J85" s="176">
        <v>143450.54</v>
      </c>
    </row>
    <row r="86" spans="1:10" x14ac:dyDescent="0.25">
      <c r="A86" s="171"/>
      <c r="B86" s="171"/>
      <c r="C86" s="171"/>
      <c r="D86" s="171"/>
      <c r="E86" s="171"/>
      <c r="F86" s="171"/>
      <c r="G86" s="171"/>
      <c r="H86" s="171" t="s">
        <v>529</v>
      </c>
      <c r="I86" s="171"/>
      <c r="J86" s="176">
        <v>121221.75</v>
      </c>
    </row>
    <row r="87" spans="1:10" ht="15.75" thickBot="1" x14ac:dyDescent="0.3">
      <c r="A87" s="171"/>
      <c r="B87" s="171"/>
      <c r="C87" s="171"/>
      <c r="D87" s="171"/>
      <c r="E87" s="171"/>
      <c r="F87" s="171"/>
      <c r="G87" s="171"/>
      <c r="H87" s="171" t="s">
        <v>530</v>
      </c>
      <c r="I87" s="171"/>
      <c r="J87" s="220">
        <v>73570.69</v>
      </c>
    </row>
    <row r="88" spans="1:10" x14ac:dyDescent="0.25">
      <c r="A88" s="171"/>
      <c r="B88" s="171"/>
      <c r="C88" s="171"/>
      <c r="D88" s="171"/>
      <c r="E88" s="171"/>
      <c r="F88" s="171"/>
      <c r="G88" s="171" t="s">
        <v>108</v>
      </c>
      <c r="H88" s="171"/>
      <c r="I88" s="171"/>
      <c r="J88" s="176">
        <f>ROUND(SUM(J79:J87),5)</f>
        <v>553848.98</v>
      </c>
    </row>
    <row r="89" spans="1:10" x14ac:dyDescent="0.25">
      <c r="A89" s="171"/>
      <c r="B89" s="171"/>
      <c r="C89" s="171"/>
      <c r="D89" s="171"/>
      <c r="E89" s="171"/>
      <c r="F89" s="171"/>
      <c r="G89" s="171" t="s">
        <v>456</v>
      </c>
      <c r="H89" s="171"/>
      <c r="I89" s="171"/>
      <c r="J89" s="176"/>
    </row>
    <row r="90" spans="1:10" ht="15.75" thickBot="1" x14ac:dyDescent="0.3">
      <c r="A90" s="171"/>
      <c r="B90" s="171"/>
      <c r="C90" s="171"/>
      <c r="D90" s="171"/>
      <c r="E90" s="171"/>
      <c r="F90" s="171"/>
      <c r="G90" s="171"/>
      <c r="H90" s="171" t="s">
        <v>626</v>
      </c>
      <c r="I90" s="171"/>
      <c r="J90" s="8">
        <v>176381.42</v>
      </c>
    </row>
    <row r="91" spans="1:10" ht="15.75" thickBot="1" x14ac:dyDescent="0.3">
      <c r="A91" s="171"/>
      <c r="B91" s="171"/>
      <c r="C91" s="171"/>
      <c r="D91" s="171"/>
      <c r="E91" s="171"/>
      <c r="F91" s="171"/>
      <c r="G91" s="171" t="s">
        <v>458</v>
      </c>
      <c r="H91" s="171"/>
      <c r="I91" s="171"/>
      <c r="J91" s="10">
        <f>ROUND(SUM(J89:J90),5)</f>
        <v>176381.42</v>
      </c>
    </row>
    <row r="92" spans="1:10" x14ac:dyDescent="0.25">
      <c r="A92" s="171"/>
      <c r="B92" s="171"/>
      <c r="C92" s="171"/>
      <c r="D92" s="171"/>
      <c r="E92" s="171"/>
      <c r="F92" s="171" t="s">
        <v>191</v>
      </c>
      <c r="G92" s="171"/>
      <c r="H92" s="171"/>
      <c r="I92" s="171"/>
      <c r="J92" s="176">
        <f>ROUND(J47+J60+J68+J72+J78+J88+J91,5)</f>
        <v>1382912.88</v>
      </c>
    </row>
    <row r="93" spans="1:10" x14ac:dyDescent="0.25">
      <c r="A93" s="171"/>
      <c r="B93" s="171"/>
      <c r="C93" s="171"/>
      <c r="D93" s="171"/>
      <c r="E93" s="171"/>
      <c r="F93" s="171" t="s">
        <v>109</v>
      </c>
      <c r="G93" s="171"/>
      <c r="H93" s="171"/>
      <c r="I93" s="171"/>
      <c r="J93" s="176"/>
    </row>
    <row r="94" spans="1:10" x14ac:dyDescent="0.25">
      <c r="A94" s="171"/>
      <c r="B94" s="171"/>
      <c r="C94" s="171"/>
      <c r="D94" s="171"/>
      <c r="E94" s="171"/>
      <c r="F94" s="171"/>
      <c r="G94" s="171" t="s">
        <v>110</v>
      </c>
      <c r="H94" s="171"/>
      <c r="I94" s="171"/>
      <c r="J94" s="176"/>
    </row>
    <row r="95" spans="1:10" x14ac:dyDescent="0.25">
      <c r="A95" s="171"/>
      <c r="B95" s="171"/>
      <c r="C95" s="171"/>
      <c r="D95" s="171"/>
      <c r="E95" s="171"/>
      <c r="F95" s="171"/>
      <c r="G95" s="171"/>
      <c r="H95" s="171" t="s">
        <v>112</v>
      </c>
      <c r="I95" s="171"/>
      <c r="J95" s="176">
        <v>73295</v>
      </c>
    </row>
    <row r="96" spans="1:10" x14ac:dyDescent="0.25">
      <c r="A96" s="171"/>
      <c r="B96" s="171"/>
      <c r="C96" s="171"/>
      <c r="D96" s="171"/>
      <c r="E96" s="171"/>
      <c r="F96" s="171"/>
      <c r="G96" s="171"/>
      <c r="H96" s="171" t="s">
        <v>481</v>
      </c>
      <c r="I96" s="171"/>
      <c r="J96" s="176">
        <v>15600</v>
      </c>
    </row>
    <row r="97" spans="1:10" x14ac:dyDescent="0.25">
      <c r="A97" s="171"/>
      <c r="B97" s="171"/>
      <c r="C97" s="171"/>
      <c r="D97" s="171"/>
      <c r="E97" s="171"/>
      <c r="F97" s="171"/>
      <c r="G97" s="171"/>
      <c r="H97" s="171" t="s">
        <v>113</v>
      </c>
      <c r="I97" s="171"/>
      <c r="J97" s="176">
        <v>71684</v>
      </c>
    </row>
    <row r="98" spans="1:10" x14ac:dyDescent="0.25">
      <c r="A98" s="171"/>
      <c r="B98" s="171"/>
      <c r="C98" s="171"/>
      <c r="D98" s="171"/>
      <c r="E98" s="171"/>
      <c r="F98" s="171"/>
      <c r="G98" s="171"/>
      <c r="H98" s="171" t="s">
        <v>532</v>
      </c>
      <c r="I98" s="171"/>
      <c r="J98" s="176">
        <v>27095</v>
      </c>
    </row>
    <row r="99" spans="1:10" x14ac:dyDescent="0.25">
      <c r="A99" s="171"/>
      <c r="B99" s="171"/>
      <c r="C99" s="171"/>
      <c r="D99" s="171"/>
      <c r="E99" s="171"/>
      <c r="F99" s="171"/>
      <c r="G99" s="171"/>
      <c r="H99" s="171" t="s">
        <v>114</v>
      </c>
      <c r="I99" s="171"/>
      <c r="J99" s="176">
        <v>4505.91</v>
      </c>
    </row>
    <row r="100" spans="1:10" x14ac:dyDescent="0.25">
      <c r="A100" s="171"/>
      <c r="B100" s="171"/>
      <c r="C100" s="171"/>
      <c r="D100" s="171"/>
      <c r="E100" s="171"/>
      <c r="F100" s="171"/>
      <c r="G100" s="171"/>
      <c r="H100" s="171" t="s">
        <v>459</v>
      </c>
      <c r="I100" s="171"/>
      <c r="J100" s="176">
        <v>8782.2000000000007</v>
      </c>
    </row>
    <row r="101" spans="1:10" x14ac:dyDescent="0.25">
      <c r="A101" s="171"/>
      <c r="B101" s="171"/>
      <c r="C101" s="171"/>
      <c r="D101" s="171"/>
      <c r="E101" s="171"/>
      <c r="F101" s="171"/>
      <c r="G101" s="171"/>
      <c r="H101" s="171" t="s">
        <v>533</v>
      </c>
      <c r="I101" s="171"/>
      <c r="J101" s="176">
        <v>-20945</v>
      </c>
    </row>
    <row r="102" spans="1:10" x14ac:dyDescent="0.25">
      <c r="A102" s="171"/>
      <c r="B102" s="171"/>
      <c r="C102" s="171"/>
      <c r="D102" s="171"/>
      <c r="E102" s="171"/>
      <c r="F102" s="171"/>
      <c r="G102" s="171"/>
      <c r="H102" s="171" t="s">
        <v>115</v>
      </c>
      <c r="I102" s="171"/>
      <c r="J102" s="176">
        <v>32131</v>
      </c>
    </row>
    <row r="103" spans="1:10" x14ac:dyDescent="0.25">
      <c r="A103" s="171"/>
      <c r="B103" s="171"/>
      <c r="C103" s="171"/>
      <c r="D103" s="171"/>
      <c r="E103" s="171"/>
      <c r="F103" s="171"/>
      <c r="G103" s="171"/>
      <c r="H103" s="171" t="s">
        <v>535</v>
      </c>
      <c r="I103" s="171"/>
      <c r="J103" s="176">
        <v>31590</v>
      </c>
    </row>
    <row r="104" spans="1:10" ht="15.75" thickBot="1" x14ac:dyDescent="0.3">
      <c r="A104" s="171"/>
      <c r="B104" s="171"/>
      <c r="C104" s="171"/>
      <c r="D104" s="171"/>
      <c r="E104" s="171"/>
      <c r="F104" s="171"/>
      <c r="G104" s="171"/>
      <c r="H104" s="171" t="s">
        <v>756</v>
      </c>
      <c r="I104" s="171"/>
      <c r="J104" s="220">
        <v>2000</v>
      </c>
    </row>
    <row r="105" spans="1:10" x14ac:dyDescent="0.25">
      <c r="A105" s="171"/>
      <c r="B105" s="171"/>
      <c r="C105" s="171"/>
      <c r="D105" s="171"/>
      <c r="E105" s="171"/>
      <c r="F105" s="171"/>
      <c r="G105" s="171" t="s">
        <v>116</v>
      </c>
      <c r="H105" s="171"/>
      <c r="I105" s="171"/>
      <c r="J105" s="176">
        <f>ROUND(SUM(J94:J104),5)</f>
        <v>245738.11</v>
      </c>
    </row>
    <row r="106" spans="1:10" x14ac:dyDescent="0.25">
      <c r="A106" s="171"/>
      <c r="B106" s="171"/>
      <c r="C106" s="171"/>
      <c r="D106" s="171"/>
      <c r="E106" s="171"/>
      <c r="F106" s="171"/>
      <c r="G106" s="171" t="s">
        <v>117</v>
      </c>
      <c r="H106" s="171"/>
      <c r="I106" s="171"/>
      <c r="J106" s="176"/>
    </row>
    <row r="107" spans="1:10" x14ac:dyDescent="0.25">
      <c r="A107" s="171"/>
      <c r="B107" s="171"/>
      <c r="C107" s="171"/>
      <c r="D107" s="171"/>
      <c r="E107" s="171"/>
      <c r="F107" s="171"/>
      <c r="G107" s="171"/>
      <c r="H107" s="171" t="s">
        <v>118</v>
      </c>
      <c r="I107" s="171"/>
      <c r="J107" s="176">
        <v>37500</v>
      </c>
    </row>
    <row r="108" spans="1:10" x14ac:dyDescent="0.25">
      <c r="A108" s="171"/>
      <c r="B108" s="171"/>
      <c r="C108" s="171"/>
      <c r="D108" s="171"/>
      <c r="E108" s="171"/>
      <c r="F108" s="171"/>
      <c r="G108" s="171"/>
      <c r="H108" s="171" t="s">
        <v>536</v>
      </c>
      <c r="I108" s="171"/>
      <c r="J108" s="176">
        <v>4500</v>
      </c>
    </row>
    <row r="109" spans="1:10" x14ac:dyDescent="0.25">
      <c r="A109" s="171"/>
      <c r="B109" s="171"/>
      <c r="C109" s="171"/>
      <c r="D109" s="171"/>
      <c r="E109" s="171"/>
      <c r="F109" s="171"/>
      <c r="G109" s="171"/>
      <c r="H109" s="171" t="s">
        <v>537</v>
      </c>
      <c r="I109" s="171"/>
      <c r="J109" s="176">
        <v>1125</v>
      </c>
    </row>
    <row r="110" spans="1:10" x14ac:dyDescent="0.25">
      <c r="A110" s="171"/>
      <c r="B110" s="171"/>
      <c r="C110" s="171"/>
      <c r="D110" s="171"/>
      <c r="E110" s="171"/>
      <c r="F110" s="171"/>
      <c r="G110" s="171"/>
      <c r="H110" s="171" t="s">
        <v>119</v>
      </c>
      <c r="I110" s="171"/>
      <c r="J110" s="176">
        <v>30000</v>
      </c>
    </row>
    <row r="111" spans="1:10" ht="15.75" thickBot="1" x14ac:dyDescent="0.3">
      <c r="A111" s="171"/>
      <c r="B111" s="171"/>
      <c r="C111" s="171"/>
      <c r="D111" s="171"/>
      <c r="E111" s="171"/>
      <c r="F111" s="171"/>
      <c r="G111" s="171"/>
      <c r="H111" s="171" t="s">
        <v>757</v>
      </c>
      <c r="I111" s="171"/>
      <c r="J111" s="220">
        <v>59256.160000000003</v>
      </c>
    </row>
    <row r="112" spans="1:10" x14ac:dyDescent="0.25">
      <c r="A112" s="171"/>
      <c r="B112" s="171"/>
      <c r="C112" s="171"/>
      <c r="D112" s="171"/>
      <c r="E112" s="171"/>
      <c r="F112" s="171"/>
      <c r="G112" s="171" t="s">
        <v>120</v>
      </c>
      <c r="H112" s="171"/>
      <c r="I112" s="171"/>
      <c r="J112" s="176">
        <f>ROUND(SUM(J106:J111),5)</f>
        <v>132381.16</v>
      </c>
    </row>
    <row r="113" spans="1:10" x14ac:dyDescent="0.25">
      <c r="A113" s="171"/>
      <c r="B113" s="171"/>
      <c r="C113" s="171"/>
      <c r="D113" s="171"/>
      <c r="E113" s="171"/>
      <c r="F113" s="171"/>
      <c r="G113" s="171" t="s">
        <v>121</v>
      </c>
      <c r="H113" s="171"/>
      <c r="I113" s="171"/>
      <c r="J113" s="176"/>
    </row>
    <row r="114" spans="1:10" x14ac:dyDescent="0.25">
      <c r="A114" s="171"/>
      <c r="B114" s="171"/>
      <c r="C114" s="171"/>
      <c r="D114" s="171"/>
      <c r="E114" s="171"/>
      <c r="F114" s="171"/>
      <c r="G114" s="171"/>
      <c r="H114" s="171" t="s">
        <v>538</v>
      </c>
      <c r="I114" s="171"/>
      <c r="J114" s="176">
        <v>-3510</v>
      </c>
    </row>
    <row r="115" spans="1:10" x14ac:dyDescent="0.25">
      <c r="A115" s="171"/>
      <c r="B115" s="171"/>
      <c r="C115" s="171"/>
      <c r="D115" s="171"/>
      <c r="E115" s="171"/>
      <c r="F115" s="171"/>
      <c r="G115" s="171"/>
      <c r="H115" s="171" t="s">
        <v>460</v>
      </c>
      <c r="I115" s="171"/>
      <c r="J115" s="176">
        <v>4867.09</v>
      </c>
    </row>
    <row r="116" spans="1:10" ht="15.75" thickBot="1" x14ac:dyDescent="0.3">
      <c r="A116" s="171"/>
      <c r="B116" s="171"/>
      <c r="C116" s="171"/>
      <c r="D116" s="171"/>
      <c r="E116" s="171"/>
      <c r="F116" s="171"/>
      <c r="G116" s="171"/>
      <c r="H116" s="171" t="s">
        <v>461</v>
      </c>
      <c r="I116" s="171"/>
      <c r="J116" s="220">
        <v>4601.84</v>
      </c>
    </row>
    <row r="117" spans="1:10" x14ac:dyDescent="0.25">
      <c r="A117" s="171"/>
      <c r="B117" s="171"/>
      <c r="C117" s="171"/>
      <c r="D117" s="171"/>
      <c r="E117" s="171"/>
      <c r="F117" s="171"/>
      <c r="G117" s="171" t="s">
        <v>122</v>
      </c>
      <c r="H117" s="171"/>
      <c r="I117" s="171"/>
      <c r="J117" s="176">
        <f>ROUND(SUM(J113:J116),5)</f>
        <v>5958.93</v>
      </c>
    </row>
    <row r="118" spans="1:10" x14ac:dyDescent="0.25">
      <c r="A118" s="171"/>
      <c r="B118" s="171"/>
      <c r="C118" s="171"/>
      <c r="D118" s="171"/>
      <c r="E118" s="171"/>
      <c r="F118" s="171"/>
      <c r="G118" s="171" t="s">
        <v>123</v>
      </c>
      <c r="H118" s="171"/>
      <c r="I118" s="171"/>
      <c r="J118" s="176"/>
    </row>
    <row r="119" spans="1:10" x14ac:dyDescent="0.25">
      <c r="A119" s="171"/>
      <c r="B119" s="171"/>
      <c r="C119" s="171"/>
      <c r="D119" s="171"/>
      <c r="E119" s="171"/>
      <c r="F119" s="171"/>
      <c r="G119" s="171"/>
      <c r="H119" s="171" t="s">
        <v>462</v>
      </c>
      <c r="I119" s="171"/>
      <c r="J119" s="176">
        <v>44690</v>
      </c>
    </row>
    <row r="120" spans="1:10" ht="15.75" thickBot="1" x14ac:dyDescent="0.3">
      <c r="A120" s="171"/>
      <c r="B120" s="171"/>
      <c r="C120" s="171"/>
      <c r="D120" s="171"/>
      <c r="E120" s="171"/>
      <c r="F120" s="171"/>
      <c r="G120" s="171"/>
      <c r="H120" s="171" t="s">
        <v>124</v>
      </c>
      <c r="I120" s="171"/>
      <c r="J120" s="220">
        <v>0</v>
      </c>
    </row>
    <row r="121" spans="1:10" x14ac:dyDescent="0.25">
      <c r="A121" s="171"/>
      <c r="B121" s="171"/>
      <c r="C121" s="171"/>
      <c r="D121" s="171"/>
      <c r="E121" s="171"/>
      <c r="F121" s="171"/>
      <c r="G121" s="171" t="s">
        <v>125</v>
      </c>
      <c r="H121" s="171"/>
      <c r="I121" s="171"/>
      <c r="J121" s="176">
        <f>ROUND(SUM(J118:J120),5)</f>
        <v>44690</v>
      </c>
    </row>
    <row r="122" spans="1:10" x14ac:dyDescent="0.25">
      <c r="A122" s="171"/>
      <c r="B122" s="171"/>
      <c r="C122" s="171"/>
      <c r="D122" s="171"/>
      <c r="E122" s="171"/>
      <c r="F122" s="171"/>
      <c r="G122" s="171" t="s">
        <v>126</v>
      </c>
      <c r="H122" s="171"/>
      <c r="I122" s="171"/>
      <c r="J122" s="176"/>
    </row>
    <row r="123" spans="1:10" x14ac:dyDescent="0.25">
      <c r="A123" s="171"/>
      <c r="B123" s="171"/>
      <c r="C123" s="171"/>
      <c r="D123" s="171"/>
      <c r="E123" s="171"/>
      <c r="F123" s="171"/>
      <c r="G123" s="171"/>
      <c r="H123" s="171" t="s">
        <v>127</v>
      </c>
      <c r="I123" s="171"/>
      <c r="J123" s="176">
        <v>8868</v>
      </c>
    </row>
    <row r="124" spans="1:10" x14ac:dyDescent="0.25">
      <c r="A124" s="171"/>
      <c r="B124" s="171"/>
      <c r="C124" s="171"/>
      <c r="D124" s="171"/>
      <c r="E124" s="171"/>
      <c r="F124" s="171"/>
      <c r="G124" s="171"/>
      <c r="H124" s="171" t="s">
        <v>128</v>
      </c>
      <c r="I124" s="171"/>
      <c r="J124" s="176">
        <v>34840</v>
      </c>
    </row>
    <row r="125" spans="1:10" x14ac:dyDescent="0.25">
      <c r="A125" s="171"/>
      <c r="B125" s="171"/>
      <c r="C125" s="171"/>
      <c r="D125" s="171"/>
      <c r="E125" s="171"/>
      <c r="F125" s="171"/>
      <c r="G125" s="171"/>
      <c r="H125" s="171" t="s">
        <v>129</v>
      </c>
      <c r="I125" s="171"/>
      <c r="J125" s="176">
        <v>748</v>
      </c>
    </row>
    <row r="126" spans="1:10" ht="15.75" thickBot="1" x14ac:dyDescent="0.3">
      <c r="A126" s="171"/>
      <c r="B126" s="171"/>
      <c r="C126" s="171"/>
      <c r="D126" s="171"/>
      <c r="E126" s="171"/>
      <c r="F126" s="171"/>
      <c r="G126" s="171"/>
      <c r="H126" s="171" t="s">
        <v>542</v>
      </c>
      <c r="I126" s="171"/>
      <c r="J126" s="220">
        <v>57395.31</v>
      </c>
    </row>
    <row r="127" spans="1:10" x14ac:dyDescent="0.25">
      <c r="A127" s="171"/>
      <c r="B127" s="171"/>
      <c r="C127" s="171"/>
      <c r="D127" s="171"/>
      <c r="E127" s="171"/>
      <c r="F127" s="171"/>
      <c r="G127" s="171" t="s">
        <v>130</v>
      </c>
      <c r="H127" s="171"/>
      <c r="I127" s="171"/>
      <c r="J127" s="176">
        <f>ROUND(SUM(J122:J126),5)</f>
        <v>101851.31</v>
      </c>
    </row>
    <row r="128" spans="1:10" x14ac:dyDescent="0.25">
      <c r="A128" s="171"/>
      <c r="B128" s="171"/>
      <c r="C128" s="171"/>
      <c r="D128" s="171"/>
      <c r="E128" s="171"/>
      <c r="F128" s="171"/>
      <c r="G128" s="171" t="s">
        <v>131</v>
      </c>
      <c r="H128" s="171"/>
      <c r="I128" s="171"/>
      <c r="J128" s="176"/>
    </row>
    <row r="129" spans="1:10" ht="15.75" thickBot="1" x14ac:dyDescent="0.3">
      <c r="A129" s="171"/>
      <c r="B129" s="171"/>
      <c r="C129" s="171"/>
      <c r="D129" s="171"/>
      <c r="E129" s="171"/>
      <c r="F129" s="171"/>
      <c r="G129" s="171"/>
      <c r="H129" s="171" t="s">
        <v>692</v>
      </c>
      <c r="I129" s="171"/>
      <c r="J129" s="220">
        <v>11322</v>
      </c>
    </row>
    <row r="130" spans="1:10" x14ac:dyDescent="0.25">
      <c r="A130" s="171"/>
      <c r="B130" s="171"/>
      <c r="C130" s="171"/>
      <c r="D130" s="171"/>
      <c r="E130" s="171"/>
      <c r="F130" s="171"/>
      <c r="G130" s="171" t="s">
        <v>133</v>
      </c>
      <c r="H130" s="171"/>
      <c r="I130" s="171"/>
      <c r="J130" s="176">
        <f>ROUND(SUM(J128:J129),5)</f>
        <v>11322</v>
      </c>
    </row>
    <row r="131" spans="1:10" ht="15.75" thickBot="1" x14ac:dyDescent="0.3">
      <c r="A131" s="171"/>
      <c r="B131" s="171"/>
      <c r="C131" s="171"/>
      <c r="D131" s="171"/>
      <c r="E131" s="171"/>
      <c r="F131" s="171"/>
      <c r="G131" s="171" t="s">
        <v>681</v>
      </c>
      <c r="H131" s="171"/>
      <c r="I131" s="171"/>
      <c r="J131" s="220">
        <v>3040</v>
      </c>
    </row>
    <row r="132" spans="1:10" x14ac:dyDescent="0.25">
      <c r="A132" s="171"/>
      <c r="B132" s="171"/>
      <c r="C132" s="171"/>
      <c r="D132" s="171"/>
      <c r="E132" s="171"/>
      <c r="F132" s="171" t="s">
        <v>134</v>
      </c>
      <c r="G132" s="171"/>
      <c r="H132" s="171"/>
      <c r="I132" s="171"/>
      <c r="J132" s="176">
        <f>ROUND(J93+J105+J112+J117+J121+J127+SUM(J130:J131),5)</f>
        <v>544981.51</v>
      </c>
    </row>
    <row r="133" spans="1:10" x14ac:dyDescent="0.25">
      <c r="A133" s="171"/>
      <c r="B133" s="171"/>
      <c r="C133" s="171"/>
      <c r="D133" s="171"/>
      <c r="E133" s="171"/>
      <c r="F133" s="171" t="s">
        <v>135</v>
      </c>
      <c r="G133" s="171"/>
      <c r="H133" s="171"/>
      <c r="I133" s="171"/>
      <c r="J133" s="176"/>
    </row>
    <row r="134" spans="1:10" x14ac:dyDescent="0.25">
      <c r="A134" s="171"/>
      <c r="B134" s="171"/>
      <c r="C134" s="171"/>
      <c r="D134" s="171"/>
      <c r="E134" s="171"/>
      <c r="F134" s="171"/>
      <c r="G134" s="171" t="s">
        <v>192</v>
      </c>
      <c r="H134" s="171"/>
      <c r="I134" s="171"/>
      <c r="J134" s="176"/>
    </row>
    <row r="135" spans="1:10" x14ac:dyDescent="0.25">
      <c r="A135" s="171"/>
      <c r="B135" s="171"/>
      <c r="C135" s="171"/>
      <c r="D135" s="171"/>
      <c r="E135" s="171"/>
      <c r="F135" s="171"/>
      <c r="G135" s="171"/>
      <c r="H135" s="171" t="s">
        <v>193</v>
      </c>
      <c r="I135" s="171"/>
      <c r="J135" s="176">
        <v>7200</v>
      </c>
    </row>
    <row r="136" spans="1:10" ht="15.75" thickBot="1" x14ac:dyDescent="0.3">
      <c r="A136" s="171"/>
      <c r="B136" s="171"/>
      <c r="C136" s="171"/>
      <c r="D136" s="171"/>
      <c r="E136" s="171"/>
      <c r="F136" s="171"/>
      <c r="G136" s="171"/>
      <c r="H136" s="171" t="s">
        <v>544</v>
      </c>
      <c r="I136" s="171"/>
      <c r="J136" s="220">
        <v>11710</v>
      </c>
    </row>
    <row r="137" spans="1:10" x14ac:dyDescent="0.25">
      <c r="A137" s="171"/>
      <c r="B137" s="171"/>
      <c r="C137" s="171"/>
      <c r="D137" s="171"/>
      <c r="E137" s="171"/>
      <c r="F137" s="171"/>
      <c r="G137" s="171" t="s">
        <v>194</v>
      </c>
      <c r="H137" s="171"/>
      <c r="I137" s="171"/>
      <c r="J137" s="176">
        <f>ROUND(SUM(J134:J136),5)</f>
        <v>18910</v>
      </c>
    </row>
    <row r="138" spans="1:10" x14ac:dyDescent="0.25">
      <c r="A138" s="171"/>
      <c r="B138" s="171"/>
      <c r="C138" s="171"/>
      <c r="D138" s="171"/>
      <c r="E138" s="171"/>
      <c r="F138" s="171"/>
      <c r="G138" s="171" t="s">
        <v>195</v>
      </c>
      <c r="H138" s="171"/>
      <c r="I138" s="171"/>
      <c r="J138" s="176"/>
    </row>
    <row r="139" spans="1:10" x14ac:dyDescent="0.25">
      <c r="A139" s="171"/>
      <c r="B139" s="171"/>
      <c r="C139" s="171"/>
      <c r="D139" s="171"/>
      <c r="E139" s="171"/>
      <c r="F139" s="171"/>
      <c r="G139" s="171"/>
      <c r="H139" s="171" t="s">
        <v>136</v>
      </c>
      <c r="I139" s="171"/>
      <c r="J139" s="176">
        <v>3850</v>
      </c>
    </row>
    <row r="140" spans="1:10" x14ac:dyDescent="0.25">
      <c r="A140" s="171"/>
      <c r="B140" s="171"/>
      <c r="C140" s="171"/>
      <c r="D140" s="171"/>
      <c r="E140" s="171"/>
      <c r="F140" s="171"/>
      <c r="G140" s="171"/>
      <c r="H140" s="171" t="s">
        <v>137</v>
      </c>
      <c r="I140" s="171"/>
      <c r="J140" s="176">
        <v>32130</v>
      </c>
    </row>
    <row r="141" spans="1:10" ht="15.75" thickBot="1" x14ac:dyDescent="0.3">
      <c r="A141" s="171"/>
      <c r="B141" s="171"/>
      <c r="C141" s="171"/>
      <c r="D141" s="171"/>
      <c r="E141" s="171"/>
      <c r="F141" s="171"/>
      <c r="G141" s="171"/>
      <c r="H141" s="171" t="s">
        <v>548</v>
      </c>
      <c r="I141" s="171"/>
      <c r="J141" s="8">
        <v>9452.4</v>
      </c>
    </row>
    <row r="142" spans="1:10" ht="15.75" thickBot="1" x14ac:dyDescent="0.3">
      <c r="A142" s="171"/>
      <c r="B142" s="171"/>
      <c r="C142" s="171"/>
      <c r="D142" s="171"/>
      <c r="E142" s="171"/>
      <c r="F142" s="171"/>
      <c r="G142" s="171" t="s">
        <v>196</v>
      </c>
      <c r="H142" s="171"/>
      <c r="I142" s="171"/>
      <c r="J142" s="10">
        <f>ROUND(SUM(J138:J141),5)</f>
        <v>45432.4</v>
      </c>
    </row>
    <row r="143" spans="1:10" x14ac:dyDescent="0.25">
      <c r="A143" s="171"/>
      <c r="B143" s="171"/>
      <c r="C143" s="171"/>
      <c r="D143" s="171"/>
      <c r="E143" s="171"/>
      <c r="F143" s="171" t="s">
        <v>138</v>
      </c>
      <c r="G143" s="171"/>
      <c r="H143" s="171"/>
      <c r="I143" s="171"/>
      <c r="J143" s="176">
        <f>ROUND(J133+J137+J142,5)</f>
        <v>64342.400000000001</v>
      </c>
    </row>
    <row r="144" spans="1:10" x14ac:dyDescent="0.25">
      <c r="A144" s="171"/>
      <c r="B144" s="171"/>
      <c r="C144" s="171"/>
      <c r="D144" s="171"/>
      <c r="E144" s="171"/>
      <c r="F144" s="171" t="s">
        <v>206</v>
      </c>
      <c r="G144" s="171"/>
      <c r="H144" s="171"/>
      <c r="I144" s="171"/>
      <c r="J144" s="176"/>
    </row>
    <row r="145" spans="1:10" x14ac:dyDescent="0.25">
      <c r="A145" s="171"/>
      <c r="B145" s="171"/>
      <c r="C145" s="171"/>
      <c r="D145" s="171"/>
      <c r="E145" s="171"/>
      <c r="F145" s="171"/>
      <c r="G145" s="171" t="s">
        <v>184</v>
      </c>
      <c r="H145" s="171"/>
      <c r="I145" s="171"/>
      <c r="J145" s="176"/>
    </row>
    <row r="146" spans="1:10" x14ac:dyDescent="0.25">
      <c r="A146" s="171"/>
      <c r="B146" s="171"/>
      <c r="C146" s="171"/>
      <c r="D146" s="171"/>
      <c r="E146" s="171"/>
      <c r="F146" s="171"/>
      <c r="G146" s="171"/>
      <c r="H146" s="171" t="s">
        <v>464</v>
      </c>
      <c r="I146" s="171"/>
      <c r="J146" s="176">
        <v>58140</v>
      </c>
    </row>
    <row r="147" spans="1:10" x14ac:dyDescent="0.25">
      <c r="A147" s="171"/>
      <c r="B147" s="171"/>
      <c r="C147" s="171"/>
      <c r="D147" s="171"/>
      <c r="E147" s="171"/>
      <c r="F147" s="171"/>
      <c r="G147" s="171"/>
      <c r="H147" s="171" t="s">
        <v>185</v>
      </c>
      <c r="I147" s="171"/>
      <c r="J147" s="176"/>
    </row>
    <row r="148" spans="1:10" x14ac:dyDescent="0.25">
      <c r="A148" s="171"/>
      <c r="B148" s="171"/>
      <c r="C148" s="171"/>
      <c r="D148" s="171"/>
      <c r="E148" s="171"/>
      <c r="F148" s="171"/>
      <c r="G148" s="171"/>
      <c r="H148" s="171"/>
      <c r="I148" s="171" t="s">
        <v>262</v>
      </c>
      <c r="J148" s="176">
        <v>33949</v>
      </c>
    </row>
    <row r="149" spans="1:10" ht="15.75" thickBot="1" x14ac:dyDescent="0.3">
      <c r="A149" s="171"/>
      <c r="B149" s="171"/>
      <c r="C149" s="171"/>
      <c r="D149" s="171"/>
      <c r="E149" s="171"/>
      <c r="F149" s="171"/>
      <c r="G149" s="171"/>
      <c r="H149" s="171"/>
      <c r="I149" s="171" t="s">
        <v>552</v>
      </c>
      <c r="J149" s="220">
        <v>600</v>
      </c>
    </row>
    <row r="150" spans="1:10" x14ac:dyDescent="0.25">
      <c r="A150" s="171"/>
      <c r="B150" s="171"/>
      <c r="C150" s="171"/>
      <c r="D150" s="171"/>
      <c r="E150" s="171"/>
      <c r="F150" s="171"/>
      <c r="G150" s="171"/>
      <c r="H150" s="171" t="s">
        <v>263</v>
      </c>
      <c r="I150" s="171"/>
      <c r="J150" s="176">
        <f>ROUND(SUM(J147:J149),5)</f>
        <v>34549</v>
      </c>
    </row>
    <row r="151" spans="1:10" ht="15.75" thickBot="1" x14ac:dyDescent="0.3">
      <c r="A151" s="171"/>
      <c r="B151" s="171"/>
      <c r="C151" s="171"/>
      <c r="D151" s="171"/>
      <c r="E151" s="171"/>
      <c r="F151" s="171"/>
      <c r="G151" s="171"/>
      <c r="H151" s="171" t="s">
        <v>553</v>
      </c>
      <c r="I151" s="171"/>
      <c r="J151" s="220">
        <v>-2255</v>
      </c>
    </row>
    <row r="152" spans="1:10" x14ac:dyDescent="0.25">
      <c r="A152" s="171"/>
      <c r="B152" s="171"/>
      <c r="C152" s="171"/>
      <c r="D152" s="171"/>
      <c r="E152" s="171"/>
      <c r="F152" s="171"/>
      <c r="G152" s="171" t="s">
        <v>186</v>
      </c>
      <c r="H152" s="171"/>
      <c r="I152" s="171"/>
      <c r="J152" s="176">
        <f>ROUND(SUM(J145:J146)+SUM(J150:J151),5)</f>
        <v>90434</v>
      </c>
    </row>
    <row r="153" spans="1:10" x14ac:dyDescent="0.25">
      <c r="A153" s="171"/>
      <c r="B153" s="171"/>
      <c r="C153" s="171"/>
      <c r="D153" s="171"/>
      <c r="E153" s="171"/>
      <c r="F153" s="171"/>
      <c r="G153" s="171" t="s">
        <v>207</v>
      </c>
      <c r="H153" s="171"/>
      <c r="I153" s="171"/>
      <c r="J153" s="176"/>
    </row>
    <row r="154" spans="1:10" x14ac:dyDescent="0.25">
      <c r="A154" s="171"/>
      <c r="B154" s="171"/>
      <c r="C154" s="171"/>
      <c r="D154" s="171"/>
      <c r="E154" s="171"/>
      <c r="F154" s="171"/>
      <c r="G154" s="171"/>
      <c r="H154" s="171" t="s">
        <v>211</v>
      </c>
      <c r="I154" s="171"/>
      <c r="J154" s="176">
        <v>53000</v>
      </c>
    </row>
    <row r="155" spans="1:10" x14ac:dyDescent="0.25">
      <c r="A155" s="171"/>
      <c r="B155" s="171"/>
      <c r="C155" s="171"/>
      <c r="D155" s="171"/>
      <c r="E155" s="171"/>
      <c r="F155" s="171"/>
      <c r="G155" s="171"/>
      <c r="H155" s="171" t="s">
        <v>554</v>
      </c>
      <c r="I155" s="171"/>
      <c r="J155" s="176">
        <v>4800</v>
      </c>
    </row>
    <row r="156" spans="1:10" ht="15.75" thickBot="1" x14ac:dyDescent="0.3">
      <c r="A156" s="171"/>
      <c r="B156" s="171"/>
      <c r="C156" s="171"/>
      <c r="D156" s="171"/>
      <c r="E156" s="171"/>
      <c r="F156" s="171"/>
      <c r="G156" s="171"/>
      <c r="H156" s="171" t="s">
        <v>555</v>
      </c>
      <c r="I156" s="171"/>
      <c r="J156" s="220">
        <v>1200</v>
      </c>
    </row>
    <row r="157" spans="1:10" x14ac:dyDescent="0.25">
      <c r="A157" s="171"/>
      <c r="B157" s="171"/>
      <c r="C157" s="171"/>
      <c r="D157" s="171"/>
      <c r="E157" s="171"/>
      <c r="F157" s="171"/>
      <c r="G157" s="171" t="s">
        <v>208</v>
      </c>
      <c r="H157" s="171"/>
      <c r="I157" s="171"/>
      <c r="J157" s="176">
        <f>ROUND(SUM(J153:J156),5)</f>
        <v>59000</v>
      </c>
    </row>
    <row r="158" spans="1:10" x14ac:dyDescent="0.25">
      <c r="A158" s="171"/>
      <c r="B158" s="171"/>
      <c r="C158" s="171"/>
      <c r="D158" s="171"/>
      <c r="E158" s="171"/>
      <c r="F158" s="171"/>
      <c r="G158" s="171" t="s">
        <v>187</v>
      </c>
      <c r="H158" s="171"/>
      <c r="I158" s="171"/>
      <c r="J158" s="176"/>
    </row>
    <row r="159" spans="1:10" x14ac:dyDescent="0.25">
      <c r="A159" s="171"/>
      <c r="B159" s="171"/>
      <c r="C159" s="171"/>
      <c r="D159" s="171"/>
      <c r="E159" s="171"/>
      <c r="F159" s="171"/>
      <c r="G159" s="171"/>
      <c r="H159" s="171" t="s">
        <v>556</v>
      </c>
      <c r="I159" s="171"/>
      <c r="J159" s="176">
        <v>4597</v>
      </c>
    </row>
    <row r="160" spans="1:10" ht="15.75" thickBot="1" x14ac:dyDescent="0.3">
      <c r="A160" s="171"/>
      <c r="B160" s="171"/>
      <c r="C160" s="171"/>
      <c r="D160" s="171"/>
      <c r="E160" s="171"/>
      <c r="F160" s="171"/>
      <c r="G160" s="171"/>
      <c r="H160" s="171" t="s">
        <v>209</v>
      </c>
      <c r="I160" s="171"/>
      <c r="J160" s="8">
        <v>45000</v>
      </c>
    </row>
    <row r="161" spans="1:10" ht="15.75" thickBot="1" x14ac:dyDescent="0.3">
      <c r="A161" s="171"/>
      <c r="B161" s="171"/>
      <c r="C161" s="171"/>
      <c r="D161" s="171"/>
      <c r="E161" s="171"/>
      <c r="F161" s="171"/>
      <c r="G161" s="171" t="s">
        <v>188</v>
      </c>
      <c r="H161" s="171"/>
      <c r="I161" s="171"/>
      <c r="J161" s="10">
        <f>ROUND(SUM(J158:J160),5)</f>
        <v>49597</v>
      </c>
    </row>
    <row r="162" spans="1:10" x14ac:dyDescent="0.25">
      <c r="A162" s="171"/>
      <c r="B162" s="171"/>
      <c r="C162" s="171"/>
      <c r="D162" s="171"/>
      <c r="E162" s="171"/>
      <c r="F162" s="171" t="s">
        <v>210</v>
      </c>
      <c r="G162" s="171"/>
      <c r="H162" s="171"/>
      <c r="I162" s="171"/>
      <c r="J162" s="176">
        <f>ROUND(J144+J152+J157+J161,5)</f>
        <v>199031</v>
      </c>
    </row>
    <row r="163" spans="1:10" x14ac:dyDescent="0.25">
      <c r="A163" s="171"/>
      <c r="B163" s="171"/>
      <c r="C163" s="171"/>
      <c r="D163" s="171"/>
      <c r="E163" s="171"/>
      <c r="F163" s="171" t="s">
        <v>465</v>
      </c>
      <c r="G163" s="171"/>
      <c r="H163" s="171"/>
      <c r="I163" s="171"/>
      <c r="J163" s="176"/>
    </row>
    <row r="164" spans="1:10" ht="15.75" thickBot="1" x14ac:dyDescent="0.3">
      <c r="A164" s="171"/>
      <c r="B164" s="171"/>
      <c r="C164" s="171"/>
      <c r="D164" s="171"/>
      <c r="E164" s="171"/>
      <c r="F164" s="171"/>
      <c r="G164" s="171" t="s">
        <v>483</v>
      </c>
      <c r="H164" s="171"/>
      <c r="I164" s="171"/>
      <c r="J164" s="220">
        <v>1543.5</v>
      </c>
    </row>
    <row r="165" spans="1:10" x14ac:dyDescent="0.25">
      <c r="A165" s="171"/>
      <c r="B165" s="171"/>
      <c r="C165" s="171"/>
      <c r="D165" s="171"/>
      <c r="E165" s="171"/>
      <c r="F165" s="171" t="s">
        <v>467</v>
      </c>
      <c r="G165" s="171"/>
      <c r="H165" s="171"/>
      <c r="I165" s="171"/>
      <c r="J165" s="176">
        <f>ROUND(SUM(J163:J164),5)</f>
        <v>1543.5</v>
      </c>
    </row>
    <row r="166" spans="1:10" x14ac:dyDescent="0.25">
      <c r="A166" s="171"/>
      <c r="B166" s="171"/>
      <c r="C166" s="171"/>
      <c r="D166" s="171"/>
      <c r="E166" s="171"/>
      <c r="F166" s="171" t="s">
        <v>139</v>
      </c>
      <c r="G166" s="171"/>
      <c r="H166" s="171"/>
      <c r="I166" s="171"/>
      <c r="J166" s="176"/>
    </row>
    <row r="167" spans="1:10" x14ac:dyDescent="0.25">
      <c r="A167" s="171"/>
      <c r="B167" s="171"/>
      <c r="C167" s="171"/>
      <c r="D167" s="171"/>
      <c r="E167" s="171"/>
      <c r="F167" s="171"/>
      <c r="G167" s="171" t="s">
        <v>468</v>
      </c>
      <c r="H167" s="171"/>
      <c r="I167" s="171"/>
      <c r="J167" s="176"/>
    </row>
    <row r="168" spans="1:10" x14ac:dyDescent="0.25">
      <c r="A168" s="171"/>
      <c r="B168" s="171"/>
      <c r="C168" s="171"/>
      <c r="D168" s="171"/>
      <c r="E168" s="171"/>
      <c r="F168" s="171"/>
      <c r="G168" s="171"/>
      <c r="H168" s="171" t="s">
        <v>649</v>
      </c>
      <c r="I168" s="171"/>
      <c r="J168" s="176">
        <v>24000</v>
      </c>
    </row>
    <row r="169" spans="1:10" x14ac:dyDescent="0.25">
      <c r="A169" s="171"/>
      <c r="B169" s="171"/>
      <c r="C169" s="171"/>
      <c r="D169" s="171"/>
      <c r="E169" s="171"/>
      <c r="F169" s="171"/>
      <c r="G169" s="171"/>
      <c r="H169" s="171" t="s">
        <v>650</v>
      </c>
      <c r="I169" s="171"/>
      <c r="J169" s="176">
        <v>6000</v>
      </c>
    </row>
    <row r="170" spans="1:10" ht="15.75" thickBot="1" x14ac:dyDescent="0.3">
      <c r="A170" s="171"/>
      <c r="B170" s="171"/>
      <c r="C170" s="171"/>
      <c r="D170" s="171"/>
      <c r="E170" s="171"/>
      <c r="F170" s="171"/>
      <c r="G170" s="171"/>
      <c r="H170" s="171" t="s">
        <v>140</v>
      </c>
      <c r="I170" s="171"/>
      <c r="J170" s="220">
        <v>500000</v>
      </c>
    </row>
    <row r="171" spans="1:10" x14ac:dyDescent="0.25">
      <c r="A171" s="171"/>
      <c r="B171" s="171"/>
      <c r="C171" s="171"/>
      <c r="D171" s="171"/>
      <c r="E171" s="171"/>
      <c r="F171" s="171"/>
      <c r="G171" s="171" t="s">
        <v>469</v>
      </c>
      <c r="H171" s="171"/>
      <c r="I171" s="171"/>
      <c r="J171" s="176">
        <f>ROUND(SUM(J167:J170),5)</f>
        <v>530000</v>
      </c>
    </row>
    <row r="172" spans="1:10" x14ac:dyDescent="0.25">
      <c r="A172" s="171"/>
      <c r="B172" s="171"/>
      <c r="C172" s="171"/>
      <c r="D172" s="171"/>
      <c r="E172" s="171"/>
      <c r="F172" s="171"/>
      <c r="G172" s="171" t="s">
        <v>141</v>
      </c>
      <c r="H172" s="171"/>
      <c r="I172" s="171"/>
      <c r="J172" s="176"/>
    </row>
    <row r="173" spans="1:10" x14ac:dyDescent="0.25">
      <c r="A173" s="171"/>
      <c r="B173" s="171"/>
      <c r="C173" s="171"/>
      <c r="D173" s="171"/>
      <c r="E173" s="171"/>
      <c r="F173" s="171"/>
      <c r="G173" s="171"/>
      <c r="H173" s="171" t="s">
        <v>142</v>
      </c>
      <c r="I173" s="171"/>
      <c r="J173" s="176">
        <v>9650</v>
      </c>
    </row>
    <row r="174" spans="1:10" x14ac:dyDescent="0.25">
      <c r="A174" s="171"/>
      <c r="B174" s="171"/>
      <c r="C174" s="171"/>
      <c r="D174" s="171"/>
      <c r="E174" s="171"/>
      <c r="F174" s="171"/>
      <c r="G174" s="171"/>
      <c r="H174" s="171" t="s">
        <v>143</v>
      </c>
      <c r="I174" s="171"/>
      <c r="J174" s="176">
        <v>0</v>
      </c>
    </row>
    <row r="175" spans="1:10" x14ac:dyDescent="0.25">
      <c r="A175" s="171"/>
      <c r="B175" s="171"/>
      <c r="C175" s="171"/>
      <c r="D175" s="171"/>
      <c r="E175" s="171"/>
      <c r="F175" s="171"/>
      <c r="G175" s="171"/>
      <c r="H175" s="171" t="s">
        <v>575</v>
      </c>
      <c r="I175" s="171"/>
      <c r="J175" s="176"/>
    </row>
    <row r="176" spans="1:10" ht="15.75" thickBot="1" x14ac:dyDescent="0.3">
      <c r="A176" s="171"/>
      <c r="B176" s="171"/>
      <c r="C176" s="171"/>
      <c r="D176" s="171"/>
      <c r="E176" s="171"/>
      <c r="F176" s="171"/>
      <c r="G176" s="171"/>
      <c r="H176" s="171"/>
      <c r="I176" s="171" t="s">
        <v>576</v>
      </c>
      <c r="J176" s="220">
        <v>0</v>
      </c>
    </row>
    <row r="177" spans="1:10" x14ac:dyDescent="0.25">
      <c r="A177" s="171"/>
      <c r="B177" s="171"/>
      <c r="C177" s="171"/>
      <c r="D177" s="171"/>
      <c r="E177" s="171"/>
      <c r="F177" s="171"/>
      <c r="G177" s="171"/>
      <c r="H177" s="171" t="s">
        <v>578</v>
      </c>
      <c r="I177" s="171"/>
      <c r="J177" s="176">
        <f>ROUND(SUM(J175:J176),5)</f>
        <v>0</v>
      </c>
    </row>
    <row r="178" spans="1:10" x14ac:dyDescent="0.25">
      <c r="A178" s="171"/>
      <c r="B178" s="171"/>
      <c r="C178" s="171"/>
      <c r="D178" s="171"/>
      <c r="E178" s="171"/>
      <c r="F178" s="171"/>
      <c r="G178" s="171"/>
      <c r="H178" s="171" t="s">
        <v>470</v>
      </c>
      <c r="I178" s="171"/>
      <c r="J178" s="176">
        <v>8600</v>
      </c>
    </row>
    <row r="179" spans="1:10" x14ac:dyDescent="0.25">
      <c r="A179" s="171"/>
      <c r="B179" s="171"/>
      <c r="C179" s="171"/>
      <c r="D179" s="171"/>
      <c r="E179" s="171"/>
      <c r="F179" s="171"/>
      <c r="G179" s="171"/>
      <c r="H179" s="171" t="s">
        <v>144</v>
      </c>
      <c r="I179" s="171"/>
      <c r="J179" s="176">
        <v>0</v>
      </c>
    </row>
    <row r="180" spans="1:10" x14ac:dyDescent="0.25">
      <c r="A180" s="171"/>
      <c r="B180" s="171"/>
      <c r="C180" s="171"/>
      <c r="D180" s="171"/>
      <c r="E180" s="171"/>
      <c r="F180" s="171"/>
      <c r="G180" s="171"/>
      <c r="H180" s="171" t="s">
        <v>145</v>
      </c>
      <c r="I180" s="171"/>
      <c r="J180" s="176">
        <v>0</v>
      </c>
    </row>
    <row r="181" spans="1:10" x14ac:dyDescent="0.25">
      <c r="A181" s="171"/>
      <c r="B181" s="171"/>
      <c r="C181" s="171"/>
      <c r="D181" s="171"/>
      <c r="E181" s="171"/>
      <c r="F181" s="171"/>
      <c r="G181" s="171"/>
      <c r="H181" s="171" t="s">
        <v>146</v>
      </c>
      <c r="I181" s="171"/>
      <c r="J181" s="176">
        <v>0</v>
      </c>
    </row>
    <row r="182" spans="1:10" x14ac:dyDescent="0.25">
      <c r="A182" s="171"/>
      <c r="B182" s="171"/>
      <c r="C182" s="171"/>
      <c r="D182" s="171"/>
      <c r="E182" s="171"/>
      <c r="F182" s="171"/>
      <c r="G182" s="171"/>
      <c r="H182" s="171" t="s">
        <v>484</v>
      </c>
      <c r="I182" s="171"/>
      <c r="J182" s="176">
        <v>0</v>
      </c>
    </row>
    <row r="183" spans="1:10" ht="15.75" thickBot="1" x14ac:dyDescent="0.3">
      <c r="A183" s="171"/>
      <c r="B183" s="171"/>
      <c r="C183" s="171"/>
      <c r="D183" s="171"/>
      <c r="E183" s="171"/>
      <c r="F183" s="171"/>
      <c r="G183" s="171"/>
      <c r="H183" s="171" t="s">
        <v>147</v>
      </c>
      <c r="I183" s="171"/>
      <c r="J183" s="220">
        <v>0</v>
      </c>
    </row>
    <row r="184" spans="1:10" x14ac:dyDescent="0.25">
      <c r="A184" s="171"/>
      <c r="B184" s="171"/>
      <c r="C184" s="171"/>
      <c r="D184" s="171"/>
      <c r="E184" s="171"/>
      <c r="F184" s="171"/>
      <c r="G184" s="171" t="s">
        <v>148</v>
      </c>
      <c r="H184" s="171"/>
      <c r="I184" s="171"/>
      <c r="J184" s="176">
        <f>ROUND(SUM(J172:J174)+SUM(J177:J183),5)</f>
        <v>18250</v>
      </c>
    </row>
    <row r="185" spans="1:10" x14ac:dyDescent="0.25">
      <c r="A185" s="171"/>
      <c r="B185" s="171"/>
      <c r="C185" s="171"/>
      <c r="D185" s="171"/>
      <c r="E185" s="171"/>
      <c r="F185" s="171"/>
      <c r="G185" s="171" t="s">
        <v>149</v>
      </c>
      <c r="H185" s="171"/>
      <c r="I185" s="171"/>
      <c r="J185" s="176"/>
    </row>
    <row r="186" spans="1:10" x14ac:dyDescent="0.25">
      <c r="A186" s="171"/>
      <c r="B186" s="171"/>
      <c r="C186" s="171"/>
      <c r="D186" s="171"/>
      <c r="E186" s="171"/>
      <c r="F186" s="171"/>
      <c r="G186" s="171"/>
      <c r="H186" s="171" t="s">
        <v>584</v>
      </c>
      <c r="I186" s="171"/>
      <c r="J186" s="176">
        <v>0</v>
      </c>
    </row>
    <row r="187" spans="1:10" x14ac:dyDescent="0.25">
      <c r="A187" s="171"/>
      <c r="B187" s="171"/>
      <c r="C187" s="171"/>
      <c r="D187" s="171"/>
      <c r="E187" s="171"/>
      <c r="F187" s="171"/>
      <c r="G187" s="171"/>
      <c r="H187" s="171" t="s">
        <v>150</v>
      </c>
      <c r="I187" s="171"/>
      <c r="J187" s="176">
        <v>0</v>
      </c>
    </row>
    <row r="188" spans="1:10" x14ac:dyDescent="0.25">
      <c r="A188" s="171"/>
      <c r="B188" s="171"/>
      <c r="C188" s="171"/>
      <c r="D188" s="171"/>
      <c r="E188" s="171"/>
      <c r="F188" s="171"/>
      <c r="G188" s="171"/>
      <c r="H188" s="171" t="s">
        <v>472</v>
      </c>
      <c r="I188" s="171"/>
      <c r="J188" s="176">
        <v>0</v>
      </c>
    </row>
    <row r="189" spans="1:10" ht="15.75" thickBot="1" x14ac:dyDescent="0.3">
      <c r="A189" s="171"/>
      <c r="B189" s="171"/>
      <c r="C189" s="171"/>
      <c r="D189" s="171"/>
      <c r="E189" s="171"/>
      <c r="F189" s="171"/>
      <c r="G189" s="171"/>
      <c r="H189" s="171" t="s">
        <v>585</v>
      </c>
      <c r="I189" s="171"/>
      <c r="J189" s="220">
        <v>0</v>
      </c>
    </row>
    <row r="190" spans="1:10" x14ac:dyDescent="0.25">
      <c r="A190" s="171"/>
      <c r="B190" s="171"/>
      <c r="C190" s="171"/>
      <c r="D190" s="171"/>
      <c r="E190" s="171"/>
      <c r="F190" s="171"/>
      <c r="G190" s="171" t="s">
        <v>153</v>
      </c>
      <c r="H190" s="171"/>
      <c r="I190" s="171"/>
      <c r="J190" s="176">
        <f>ROUND(SUM(J185:J189),5)</f>
        <v>0</v>
      </c>
    </row>
    <row r="191" spans="1:10" x14ac:dyDescent="0.25">
      <c r="A191" s="171"/>
      <c r="B191" s="171"/>
      <c r="C191" s="171"/>
      <c r="D191" s="171"/>
      <c r="E191" s="171"/>
      <c r="F191" s="171"/>
      <c r="G191" s="171" t="s">
        <v>154</v>
      </c>
      <c r="H191" s="171"/>
      <c r="I191" s="171"/>
      <c r="J191" s="176"/>
    </row>
    <row r="192" spans="1:10" x14ac:dyDescent="0.25">
      <c r="A192" s="171"/>
      <c r="B192" s="171"/>
      <c r="C192" s="171"/>
      <c r="D192" s="171"/>
      <c r="E192" s="171"/>
      <c r="F192" s="171"/>
      <c r="G192" s="171"/>
      <c r="H192" s="171" t="s">
        <v>155</v>
      </c>
      <c r="I192" s="171"/>
      <c r="J192" s="176">
        <v>0</v>
      </c>
    </row>
    <row r="193" spans="1:10" x14ac:dyDescent="0.25">
      <c r="A193" s="171"/>
      <c r="B193" s="171"/>
      <c r="C193" s="171"/>
      <c r="D193" s="171"/>
      <c r="E193" s="171"/>
      <c r="F193" s="171"/>
      <c r="G193" s="171"/>
      <c r="H193" s="171" t="s">
        <v>156</v>
      </c>
      <c r="I193" s="171"/>
      <c r="J193" s="176">
        <v>0</v>
      </c>
    </row>
    <row r="194" spans="1:10" x14ac:dyDescent="0.25">
      <c r="A194" s="171"/>
      <c r="B194" s="171"/>
      <c r="C194" s="171"/>
      <c r="D194" s="171"/>
      <c r="E194" s="171"/>
      <c r="F194" s="171"/>
      <c r="G194" s="171"/>
      <c r="H194" s="171" t="s">
        <v>157</v>
      </c>
      <c r="I194" s="171"/>
      <c r="J194" s="176">
        <v>0</v>
      </c>
    </row>
    <row r="195" spans="1:10" x14ac:dyDescent="0.25">
      <c r="A195" s="171"/>
      <c r="B195" s="171"/>
      <c r="C195" s="171"/>
      <c r="D195" s="171"/>
      <c r="E195" s="171"/>
      <c r="F195" s="171"/>
      <c r="G195" s="171"/>
      <c r="H195" s="171" t="s">
        <v>158</v>
      </c>
      <c r="I195" s="171"/>
      <c r="J195" s="176">
        <v>0</v>
      </c>
    </row>
    <row r="196" spans="1:10" ht="15.75" thickBot="1" x14ac:dyDescent="0.3">
      <c r="A196" s="171"/>
      <c r="B196" s="171"/>
      <c r="C196" s="171"/>
      <c r="D196" s="171"/>
      <c r="E196" s="171"/>
      <c r="F196" s="171"/>
      <c r="G196" s="171"/>
      <c r="H196" s="171" t="s">
        <v>587</v>
      </c>
      <c r="I196" s="171"/>
      <c r="J196" s="220">
        <v>0</v>
      </c>
    </row>
    <row r="197" spans="1:10" x14ac:dyDescent="0.25">
      <c r="A197" s="171"/>
      <c r="B197" s="171"/>
      <c r="C197" s="171"/>
      <c r="D197" s="171"/>
      <c r="E197" s="171"/>
      <c r="F197" s="171"/>
      <c r="G197" s="171" t="s">
        <v>159</v>
      </c>
      <c r="H197" s="171"/>
      <c r="I197" s="171"/>
      <c r="J197" s="176">
        <f>ROUND(SUM(J191:J196),5)</f>
        <v>0</v>
      </c>
    </row>
    <row r="198" spans="1:10" x14ac:dyDescent="0.25">
      <c r="A198" s="171"/>
      <c r="B198" s="171"/>
      <c r="C198" s="171"/>
      <c r="D198" s="171"/>
      <c r="E198" s="171"/>
      <c r="F198" s="171"/>
      <c r="G198" s="171" t="s">
        <v>160</v>
      </c>
      <c r="H198" s="171"/>
      <c r="I198" s="171"/>
      <c r="J198" s="176"/>
    </row>
    <row r="199" spans="1:10" x14ac:dyDescent="0.25">
      <c r="A199" s="171"/>
      <c r="B199" s="171"/>
      <c r="C199" s="171"/>
      <c r="D199" s="171"/>
      <c r="E199" s="171"/>
      <c r="F199" s="171"/>
      <c r="G199" s="171"/>
      <c r="H199" s="171" t="s">
        <v>161</v>
      </c>
      <c r="I199" s="171"/>
      <c r="J199" s="176">
        <v>0</v>
      </c>
    </row>
    <row r="200" spans="1:10" x14ac:dyDescent="0.25">
      <c r="A200" s="171"/>
      <c r="B200" s="171"/>
      <c r="C200" s="171"/>
      <c r="D200" s="171"/>
      <c r="E200" s="171"/>
      <c r="F200" s="171"/>
      <c r="G200" s="171"/>
      <c r="H200" s="171" t="s">
        <v>693</v>
      </c>
      <c r="I200" s="171"/>
      <c r="J200" s="176">
        <v>228000</v>
      </c>
    </row>
    <row r="201" spans="1:10" x14ac:dyDescent="0.25">
      <c r="A201" s="171"/>
      <c r="B201" s="171"/>
      <c r="C201" s="171"/>
      <c r="D201" s="171"/>
      <c r="E201" s="171"/>
      <c r="F201" s="171"/>
      <c r="G201" s="171"/>
      <c r="H201" s="171" t="s">
        <v>728</v>
      </c>
      <c r="I201" s="171"/>
      <c r="J201" s="176">
        <v>22128</v>
      </c>
    </row>
    <row r="202" spans="1:10" x14ac:dyDescent="0.25">
      <c r="A202" s="171"/>
      <c r="B202" s="171"/>
      <c r="C202" s="171"/>
      <c r="D202" s="171"/>
      <c r="E202" s="171"/>
      <c r="F202" s="171"/>
      <c r="G202" s="171"/>
      <c r="H202" s="171" t="s">
        <v>162</v>
      </c>
      <c r="I202" s="171"/>
      <c r="J202" s="176">
        <v>0</v>
      </c>
    </row>
    <row r="203" spans="1:10" x14ac:dyDescent="0.25">
      <c r="A203" s="171"/>
      <c r="B203" s="171"/>
      <c r="C203" s="171"/>
      <c r="D203" s="171"/>
      <c r="E203" s="171"/>
      <c r="F203" s="171"/>
      <c r="G203" s="171"/>
      <c r="H203" s="171" t="s">
        <v>758</v>
      </c>
      <c r="I203" s="171"/>
      <c r="J203" s="176">
        <v>1000</v>
      </c>
    </row>
    <row r="204" spans="1:10" x14ac:dyDescent="0.25">
      <c r="A204" s="171"/>
      <c r="B204" s="171"/>
      <c r="C204" s="171"/>
      <c r="D204" s="171"/>
      <c r="E204" s="171"/>
      <c r="F204" s="171"/>
      <c r="G204" s="171"/>
      <c r="H204" s="171" t="s">
        <v>485</v>
      </c>
      <c r="I204" s="171"/>
      <c r="J204" s="176"/>
    </row>
    <row r="205" spans="1:10" x14ac:dyDescent="0.25">
      <c r="A205" s="171"/>
      <c r="B205" s="171"/>
      <c r="C205" s="171"/>
      <c r="D205" s="171"/>
      <c r="E205" s="171"/>
      <c r="F205" s="171"/>
      <c r="G205" s="171"/>
      <c r="H205" s="171"/>
      <c r="I205" s="171" t="s">
        <v>486</v>
      </c>
      <c r="J205" s="176">
        <v>1000</v>
      </c>
    </row>
    <row r="206" spans="1:10" x14ac:dyDescent="0.25">
      <c r="A206" s="171"/>
      <c r="B206" s="171"/>
      <c r="C206" s="171"/>
      <c r="D206" s="171"/>
      <c r="E206" s="171"/>
      <c r="F206" s="171"/>
      <c r="G206" s="171"/>
      <c r="H206" s="171"/>
      <c r="I206" s="171" t="s">
        <v>487</v>
      </c>
      <c r="J206" s="176">
        <v>11000</v>
      </c>
    </row>
    <row r="207" spans="1:10" ht="15.75" thickBot="1" x14ac:dyDescent="0.3">
      <c r="A207" s="171"/>
      <c r="B207" s="171"/>
      <c r="C207" s="171"/>
      <c r="D207" s="171"/>
      <c r="E207" s="171"/>
      <c r="F207" s="171"/>
      <c r="G207" s="171"/>
      <c r="H207" s="171"/>
      <c r="I207" s="171" t="s">
        <v>749</v>
      </c>
      <c r="J207" s="8">
        <v>800</v>
      </c>
    </row>
    <row r="208" spans="1:10" ht="15.75" thickBot="1" x14ac:dyDescent="0.3">
      <c r="A208" s="171"/>
      <c r="B208" s="171"/>
      <c r="C208" s="171"/>
      <c r="D208" s="171"/>
      <c r="E208" s="171"/>
      <c r="F208" s="171"/>
      <c r="G208" s="171"/>
      <c r="H208" s="171" t="s">
        <v>489</v>
      </c>
      <c r="I208" s="171"/>
      <c r="J208" s="10">
        <f>ROUND(SUM(J204:J207),5)</f>
        <v>12800</v>
      </c>
    </row>
    <row r="209" spans="1:10" x14ac:dyDescent="0.25">
      <c r="A209" s="171"/>
      <c r="B209" s="171"/>
      <c r="C209" s="171"/>
      <c r="D209" s="171"/>
      <c r="E209" s="171"/>
      <c r="F209" s="171"/>
      <c r="G209" s="171" t="s">
        <v>163</v>
      </c>
      <c r="H209" s="171"/>
      <c r="I209" s="171"/>
      <c r="J209" s="176">
        <f>ROUND(SUM(J198:J203)+J208,5)</f>
        <v>263928</v>
      </c>
    </row>
    <row r="210" spans="1:10" x14ac:dyDescent="0.25">
      <c r="A210" s="171"/>
      <c r="B210" s="171"/>
      <c r="C210" s="171"/>
      <c r="D210" s="171"/>
      <c r="E210" s="171"/>
      <c r="F210" s="171"/>
      <c r="G210" s="171" t="s">
        <v>591</v>
      </c>
      <c r="H210" s="171"/>
      <c r="I210" s="171"/>
      <c r="J210" s="176"/>
    </row>
    <row r="211" spans="1:10" x14ac:dyDescent="0.25">
      <c r="A211" s="171"/>
      <c r="B211" s="171"/>
      <c r="C211" s="171"/>
      <c r="D211" s="171"/>
      <c r="E211" s="171"/>
      <c r="F211" s="171"/>
      <c r="G211" s="171"/>
      <c r="H211" s="171" t="s">
        <v>592</v>
      </c>
      <c r="I211" s="171"/>
      <c r="J211" s="176">
        <v>121483.15</v>
      </c>
    </row>
    <row r="212" spans="1:10" x14ac:dyDescent="0.25">
      <c r="A212" s="171"/>
      <c r="B212" s="171"/>
      <c r="C212" s="171"/>
      <c r="D212" s="171"/>
      <c r="E212" s="171"/>
      <c r="F212" s="171"/>
      <c r="G212" s="171"/>
      <c r="H212" s="171" t="s">
        <v>629</v>
      </c>
      <c r="I212" s="171"/>
      <c r="J212" s="176">
        <v>60292.3</v>
      </c>
    </row>
    <row r="213" spans="1:10" x14ac:dyDescent="0.25">
      <c r="A213" s="171"/>
      <c r="B213" s="171"/>
      <c r="C213" s="171"/>
      <c r="D213" s="171"/>
      <c r="E213" s="171"/>
      <c r="F213" s="171"/>
      <c r="G213" s="171"/>
      <c r="H213" s="171" t="s">
        <v>630</v>
      </c>
      <c r="I213" s="171"/>
      <c r="J213" s="176">
        <v>147858.84</v>
      </c>
    </row>
    <row r="214" spans="1:10" ht="15.75" thickBot="1" x14ac:dyDescent="0.3">
      <c r="A214" s="171"/>
      <c r="B214" s="171"/>
      <c r="C214" s="171"/>
      <c r="D214" s="171"/>
      <c r="E214" s="171"/>
      <c r="F214" s="171"/>
      <c r="G214" s="171"/>
      <c r="H214" s="171" t="s">
        <v>631</v>
      </c>
      <c r="I214" s="171"/>
      <c r="J214" s="220">
        <v>50334.42</v>
      </c>
    </row>
    <row r="215" spans="1:10" x14ac:dyDescent="0.25">
      <c r="A215" s="171"/>
      <c r="B215" s="171"/>
      <c r="C215" s="171"/>
      <c r="D215" s="171"/>
      <c r="E215" s="171"/>
      <c r="F215" s="171"/>
      <c r="G215" s="171" t="s">
        <v>593</v>
      </c>
      <c r="H215" s="171"/>
      <c r="I215" s="171"/>
      <c r="J215" s="176">
        <f>ROUND(SUM(J210:J214),5)</f>
        <v>379968.71</v>
      </c>
    </row>
    <row r="216" spans="1:10" x14ac:dyDescent="0.25">
      <c r="A216" s="171"/>
      <c r="B216" s="171"/>
      <c r="C216" s="171"/>
      <c r="D216" s="171"/>
      <c r="E216" s="171"/>
      <c r="F216" s="171"/>
      <c r="G216" s="171" t="s">
        <v>164</v>
      </c>
      <c r="H216" s="171"/>
      <c r="I216" s="171"/>
      <c r="J216" s="176"/>
    </row>
    <row r="217" spans="1:10" ht="15.75" thickBot="1" x14ac:dyDescent="0.3">
      <c r="A217" s="171"/>
      <c r="B217" s="171"/>
      <c r="C217" s="171"/>
      <c r="D217" s="171"/>
      <c r="E217" s="171"/>
      <c r="F217" s="171"/>
      <c r="G217" s="171"/>
      <c r="H217" s="171" t="s">
        <v>165</v>
      </c>
      <c r="I217" s="171"/>
      <c r="J217" s="220">
        <v>2750</v>
      </c>
    </row>
    <row r="218" spans="1:10" x14ac:dyDescent="0.25">
      <c r="A218" s="171"/>
      <c r="B218" s="171"/>
      <c r="C218" s="171"/>
      <c r="D218" s="171"/>
      <c r="E218" s="171"/>
      <c r="F218" s="171"/>
      <c r="G218" s="171" t="s">
        <v>166</v>
      </c>
      <c r="H218" s="171"/>
      <c r="I218" s="171"/>
      <c r="J218" s="176">
        <f>ROUND(SUM(J216:J217),5)</f>
        <v>2750</v>
      </c>
    </row>
    <row r="219" spans="1:10" x14ac:dyDescent="0.25">
      <c r="A219" s="171"/>
      <c r="B219" s="171"/>
      <c r="C219" s="171"/>
      <c r="D219" s="171"/>
      <c r="E219" s="171"/>
      <c r="F219" s="171"/>
      <c r="G219" s="171" t="s">
        <v>167</v>
      </c>
      <c r="H219" s="171"/>
      <c r="I219" s="171"/>
      <c r="J219" s="176"/>
    </row>
    <row r="220" spans="1:10" x14ac:dyDescent="0.25">
      <c r="A220" s="171"/>
      <c r="B220" s="171"/>
      <c r="C220" s="171"/>
      <c r="D220" s="171"/>
      <c r="E220" s="171"/>
      <c r="F220" s="171"/>
      <c r="G220" s="171"/>
      <c r="H220" s="171" t="s">
        <v>168</v>
      </c>
      <c r="I220" s="171"/>
      <c r="J220" s="176">
        <v>39790.1</v>
      </c>
    </row>
    <row r="221" spans="1:10" x14ac:dyDescent="0.25">
      <c r="A221" s="171"/>
      <c r="B221" s="171"/>
      <c r="C221" s="171"/>
      <c r="D221" s="171"/>
      <c r="E221" s="171"/>
      <c r="F221" s="171"/>
      <c r="G221" s="171"/>
      <c r="H221" s="171" t="s">
        <v>169</v>
      </c>
      <c r="I221" s="171"/>
      <c r="J221" s="176">
        <f>(1668799.85+29981+26650)/2</f>
        <v>862715.42500000005</v>
      </c>
    </row>
    <row r="222" spans="1:10" x14ac:dyDescent="0.25">
      <c r="A222" s="171"/>
      <c r="B222" s="171"/>
      <c r="C222" s="171"/>
      <c r="D222" s="171"/>
      <c r="E222" s="171"/>
      <c r="F222" s="171"/>
      <c r="G222" s="171"/>
      <c r="H222" s="171" t="s">
        <v>170</v>
      </c>
      <c r="I222" s="171"/>
      <c r="J222" s="176">
        <v>10000</v>
      </c>
    </row>
    <row r="223" spans="1:10" ht="15.75" thickBot="1" x14ac:dyDescent="0.3">
      <c r="A223" s="171"/>
      <c r="B223" s="171"/>
      <c r="C223" s="171"/>
      <c r="D223" s="171"/>
      <c r="E223" s="171"/>
      <c r="F223" s="171"/>
      <c r="G223" s="171"/>
      <c r="H223" s="171" t="s">
        <v>171</v>
      </c>
      <c r="I223" s="171"/>
      <c r="J223" s="220">
        <v>818907.87</v>
      </c>
    </row>
    <row r="224" spans="1:10" x14ac:dyDescent="0.25">
      <c r="A224" s="171"/>
      <c r="B224" s="171"/>
      <c r="C224" s="171"/>
      <c r="D224" s="171"/>
      <c r="E224" s="171"/>
      <c r="F224" s="171"/>
      <c r="G224" s="171" t="s">
        <v>172</v>
      </c>
      <c r="H224" s="171"/>
      <c r="I224" s="171"/>
      <c r="J224" s="176">
        <f>ROUND(SUM(J219:J223),5)</f>
        <v>1731413.395</v>
      </c>
    </row>
    <row r="225" spans="1:10" ht="15.75" thickBot="1" x14ac:dyDescent="0.3">
      <c r="A225" s="171"/>
      <c r="B225" s="171"/>
      <c r="C225" s="171"/>
      <c r="D225" s="171"/>
      <c r="E225" s="171"/>
      <c r="F225" s="171"/>
      <c r="G225" s="171" t="s">
        <v>734</v>
      </c>
      <c r="H225" s="171"/>
      <c r="I225" s="171"/>
      <c r="J225" s="8">
        <v>4320</v>
      </c>
    </row>
    <row r="226" spans="1:10" ht="15.75" thickBot="1" x14ac:dyDescent="0.3">
      <c r="A226" s="171"/>
      <c r="B226" s="171"/>
      <c r="C226" s="171"/>
      <c r="D226" s="171"/>
      <c r="E226" s="171"/>
      <c r="F226" s="171" t="s">
        <v>173</v>
      </c>
      <c r="G226" s="171"/>
      <c r="H226" s="171"/>
      <c r="I226" s="171"/>
      <c r="J226" s="11">
        <f>ROUND(J166+J171+J184+J190+J197+J209+J215+J218+SUM(J224:J225),5)</f>
        <v>2930630.105</v>
      </c>
    </row>
    <row r="227" spans="1:10" ht="15.75" thickBot="1" x14ac:dyDescent="0.3">
      <c r="A227" s="171"/>
      <c r="B227" s="171"/>
      <c r="C227" s="171"/>
      <c r="D227" s="171"/>
      <c r="E227" s="171" t="s">
        <v>174</v>
      </c>
      <c r="F227" s="171"/>
      <c r="G227" s="171"/>
      <c r="H227" s="171"/>
      <c r="I227" s="171"/>
      <c r="J227" s="11">
        <f>ROUND(J46+J92+J132+J143+J162+J165+J226,5)</f>
        <v>5123441.3949999996</v>
      </c>
    </row>
    <row r="228" spans="1:10" ht="15.75" thickBot="1" x14ac:dyDescent="0.3">
      <c r="A228" s="171"/>
      <c r="B228" s="171"/>
      <c r="C228" s="171"/>
      <c r="D228" s="171" t="s">
        <v>175</v>
      </c>
      <c r="E228" s="171"/>
      <c r="F228" s="171"/>
      <c r="G228" s="171"/>
      <c r="H228" s="171"/>
      <c r="I228" s="171"/>
      <c r="J228" s="10">
        <f>ROUND(J45+J227,5)</f>
        <v>5123441.3949999996</v>
      </c>
    </row>
    <row r="229" spans="1:10" x14ac:dyDescent="0.25">
      <c r="A229" s="171"/>
      <c r="B229" s="171" t="s">
        <v>176</v>
      </c>
      <c r="C229" s="171"/>
      <c r="D229" s="171"/>
      <c r="E229" s="171"/>
      <c r="F229" s="171"/>
      <c r="G229" s="171"/>
      <c r="H229" s="171"/>
      <c r="I229" s="171"/>
      <c r="J229" s="176">
        <f>ROUND(J2+J44-J228,5)</f>
        <v>-1792410.855</v>
      </c>
    </row>
    <row r="230" spans="1:10" x14ac:dyDescent="0.25">
      <c r="A230" s="171"/>
      <c r="B230" s="171" t="s">
        <v>632</v>
      </c>
      <c r="C230" s="171"/>
      <c r="D230" s="171"/>
      <c r="E230" s="171"/>
      <c r="F230" s="171"/>
      <c r="G230" s="171"/>
      <c r="H230" s="171"/>
      <c r="I230" s="171"/>
      <c r="J230" s="176"/>
    </row>
    <row r="231" spans="1:10" x14ac:dyDescent="0.25">
      <c r="A231" s="171"/>
      <c r="B231" s="171"/>
      <c r="C231" s="171" t="s">
        <v>633</v>
      </c>
      <c r="D231" s="171"/>
      <c r="E231" s="171"/>
      <c r="F231" s="171"/>
      <c r="G231" s="171"/>
      <c r="H231" s="171"/>
      <c r="I231" s="171"/>
      <c r="J231" s="176"/>
    </row>
    <row r="232" spans="1:10" x14ac:dyDescent="0.25">
      <c r="A232" s="171"/>
      <c r="B232" s="171"/>
      <c r="C232" s="171"/>
      <c r="D232" s="171" t="s">
        <v>634</v>
      </c>
      <c r="E232" s="171"/>
      <c r="F232" s="171"/>
      <c r="G232" s="171"/>
      <c r="H232" s="171"/>
      <c r="I232" s="171"/>
      <c r="J232" s="176"/>
    </row>
    <row r="233" spans="1:10" ht="15.75" thickBot="1" x14ac:dyDescent="0.3">
      <c r="A233" s="171"/>
      <c r="B233" s="171"/>
      <c r="C233" s="171"/>
      <c r="D233" s="171"/>
      <c r="E233" s="171" t="s">
        <v>759</v>
      </c>
      <c r="F233" s="171"/>
      <c r="G233" s="171"/>
      <c r="H233" s="171"/>
      <c r="I233" s="171"/>
      <c r="J233" s="8">
        <v>-11139450</v>
      </c>
    </row>
    <row r="234" spans="1:10" ht="15.75" thickBot="1" x14ac:dyDescent="0.3">
      <c r="A234" s="171"/>
      <c r="B234" s="171"/>
      <c r="C234" s="171"/>
      <c r="D234" s="171" t="s">
        <v>637</v>
      </c>
      <c r="E234" s="171"/>
      <c r="F234" s="171"/>
      <c r="G234" s="171"/>
      <c r="H234" s="171"/>
      <c r="I234" s="171"/>
      <c r="J234" s="11">
        <f>ROUND(SUM(J232:J233),5)</f>
        <v>-11139450</v>
      </c>
    </row>
    <row r="235" spans="1:10" ht="15.75" thickBot="1" x14ac:dyDescent="0.3">
      <c r="A235" s="171"/>
      <c r="B235" s="171"/>
      <c r="C235" s="171" t="s">
        <v>638</v>
      </c>
      <c r="D235" s="171"/>
      <c r="E235" s="171"/>
      <c r="F235" s="171"/>
      <c r="G235" s="171"/>
      <c r="H235" s="171"/>
      <c r="I235" s="171"/>
      <c r="J235" s="11">
        <f>ROUND(J231+J234,5)</f>
        <v>-11139450</v>
      </c>
    </row>
    <row r="236" spans="1:10" ht="15.75" thickBot="1" x14ac:dyDescent="0.3">
      <c r="A236" s="171"/>
      <c r="B236" s="171" t="s">
        <v>642</v>
      </c>
      <c r="C236" s="171"/>
      <c r="D236" s="171"/>
      <c r="E236" s="171"/>
      <c r="F236" s="171"/>
      <c r="G236" s="171"/>
      <c r="H236" s="171"/>
      <c r="I236" s="171"/>
      <c r="J236" s="11">
        <f>ROUND(J230+J235,5)</f>
        <v>-11139450</v>
      </c>
    </row>
    <row r="237" spans="1:10" s="156" customFormat="1" ht="12" thickBot="1" x14ac:dyDescent="0.25">
      <c r="A237" s="171" t="s">
        <v>177</v>
      </c>
      <c r="B237" s="171"/>
      <c r="C237" s="171"/>
      <c r="D237" s="171"/>
      <c r="E237" s="171"/>
      <c r="F237" s="171"/>
      <c r="G237" s="171"/>
      <c r="H237" s="171"/>
      <c r="I237" s="171"/>
      <c r="J237" s="12">
        <f>ROUND(J229+J236,5)</f>
        <v>-12931860.855</v>
      </c>
    </row>
    <row r="238" spans="1:10" ht="15.75" thickTop="1" x14ac:dyDescent="0.25"/>
  </sheetData>
  <pageMargins left="0.7" right="0.7" top="0.75" bottom="0.75" header="0.25" footer="0.3"/>
  <pageSetup orientation="portrait" r:id="rId1"/>
  <headerFooter>
    <oddHeader>&amp;L&amp;"Arial,Bold"&amp;8 2:00 AM
&amp;"Arial,Bold"&amp;8 11/04/16
&amp;"Arial,Bold"&amp;8 Accrual Basis&amp;C&amp;"Arial,Bold"&amp;12 Tropical Fish International (Pvt) Limited
&amp;"Arial,Bold"&amp;14 Profit &amp;&amp; Loss
&amp;"Arial,Bold"&amp;10 September 30 through October 27, 2016</oddHeader>
    <oddFooter>&amp;R&amp;"Arial,Bold"&amp;8 Page &amp;P of &amp;N</oddFooter>
  </headerFooter>
  <drawing r:id="rId2"/>
  <legacyDrawing r:id="rId3"/>
  <controls>
    <mc:AlternateContent xmlns:mc="http://schemas.openxmlformats.org/markup-compatibility/2006">
      <mc:Choice Requires="x14">
        <control shapeId="356353"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356353" r:id="rId4" name="FILTER"/>
      </mc:Fallback>
    </mc:AlternateContent>
    <mc:AlternateContent xmlns:mc="http://schemas.openxmlformats.org/markup-compatibility/2006">
      <mc:Choice Requires="x14">
        <control shapeId="356354"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356354" r:id="rId6" name="HEADER"/>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P236"/>
  <sheetViews>
    <sheetView workbookViewId="0">
      <pane xSplit="9" ySplit="1" topLeftCell="J209" activePane="bottomRight" state="frozenSplit"/>
      <selection pane="topRight" activeCell="J1" sqref="J1"/>
      <selection pane="bottomLeft" activeCell="A2" sqref="A2"/>
      <selection pane="bottomRight" activeCell="J216" sqref="J216"/>
    </sheetView>
  </sheetViews>
  <sheetFormatPr defaultRowHeight="15" x14ac:dyDescent="0.25"/>
  <cols>
    <col min="1" max="8" width="3" style="159" customWidth="1"/>
    <col min="9" max="9" width="38.140625" style="159" customWidth="1"/>
    <col min="10" max="10" width="15.5703125" style="5" bestFit="1" customWidth="1"/>
    <col min="11" max="13" width="9.140625" style="154"/>
    <col min="14" max="14" width="27.85546875" style="154" customWidth="1"/>
    <col min="15" max="15" width="37.140625" style="154" customWidth="1"/>
    <col min="16" max="16" width="13.28515625" style="154" bestFit="1" customWidth="1"/>
    <col min="17" max="16384" width="9.140625" style="154"/>
  </cols>
  <sheetData>
    <row r="1" spans="1:16" s="158" customFormat="1" ht="15.75" thickBot="1" x14ac:dyDescent="0.3">
      <c r="A1" s="157"/>
      <c r="B1" s="157"/>
      <c r="C1" s="157"/>
      <c r="D1" s="157"/>
      <c r="E1" s="157"/>
      <c r="F1" s="157"/>
      <c r="G1" s="157"/>
      <c r="H1" s="157"/>
      <c r="I1" s="157"/>
      <c r="J1" s="178" t="s">
        <v>744</v>
      </c>
      <c r="N1" s="108" t="s">
        <v>381</v>
      </c>
      <c r="O1" s="200" t="s">
        <v>380</v>
      </c>
    </row>
    <row r="2" spans="1:16" ht="15.75" thickTop="1" x14ac:dyDescent="0.25">
      <c r="A2" s="171"/>
      <c r="B2" s="171" t="s">
        <v>20</v>
      </c>
      <c r="C2" s="171"/>
      <c r="D2" s="171"/>
      <c r="E2" s="171"/>
      <c r="F2" s="171"/>
      <c r="G2" s="171"/>
      <c r="H2" s="171"/>
      <c r="I2" s="171"/>
      <c r="J2" s="176"/>
      <c r="N2" s="46" t="s">
        <v>269</v>
      </c>
      <c r="O2" s="184">
        <f>J68</f>
        <v>400725</v>
      </c>
    </row>
    <row r="3" spans="1:16" x14ac:dyDescent="0.25">
      <c r="A3" s="171"/>
      <c r="B3" s="171"/>
      <c r="C3" s="171"/>
      <c r="D3" s="171" t="s">
        <v>21</v>
      </c>
      <c r="E3" s="171"/>
      <c r="F3" s="171"/>
      <c r="G3" s="171"/>
      <c r="H3" s="171"/>
      <c r="I3" s="171"/>
      <c r="J3" s="176"/>
      <c r="N3" s="46" t="s">
        <v>270</v>
      </c>
      <c r="O3" s="184">
        <f>J115</f>
        <v>73125</v>
      </c>
    </row>
    <row r="4" spans="1:16" x14ac:dyDescent="0.25">
      <c r="A4" s="171"/>
      <c r="B4" s="171"/>
      <c r="C4" s="171"/>
      <c r="D4" s="171"/>
      <c r="E4" s="171" t="s">
        <v>22</v>
      </c>
      <c r="F4" s="171"/>
      <c r="G4" s="171"/>
      <c r="H4" s="171"/>
      <c r="I4" s="171"/>
      <c r="J4" s="176"/>
      <c r="N4" s="46" t="s">
        <v>597</v>
      </c>
      <c r="O4" s="184">
        <f>J156</f>
        <v>87000</v>
      </c>
    </row>
    <row r="5" spans="1:16" x14ac:dyDescent="0.25">
      <c r="A5" s="171"/>
      <c r="B5" s="171"/>
      <c r="C5" s="171"/>
      <c r="D5" s="171"/>
      <c r="E5" s="171"/>
      <c r="F5" s="171" t="s">
        <v>23</v>
      </c>
      <c r="G5" s="171"/>
      <c r="H5" s="171"/>
      <c r="I5" s="171"/>
      <c r="J5" s="176">
        <v>11608804.529999999</v>
      </c>
      <c r="N5" s="119" t="s">
        <v>606</v>
      </c>
      <c r="O5" s="184"/>
    </row>
    <row r="6" spans="1:16" x14ac:dyDescent="0.25">
      <c r="A6" s="171"/>
      <c r="B6" s="171"/>
      <c r="C6" s="171"/>
      <c r="D6" s="171"/>
      <c r="E6" s="171"/>
      <c r="F6" s="171" t="s">
        <v>26</v>
      </c>
      <c r="G6" s="171"/>
      <c r="H6" s="171"/>
      <c r="I6" s="171"/>
      <c r="J6" s="176">
        <v>985804.17</v>
      </c>
      <c r="N6" s="67" t="s">
        <v>598</v>
      </c>
      <c r="O6" s="184">
        <f>J172</f>
        <v>380000</v>
      </c>
    </row>
    <row r="7" spans="1:16" x14ac:dyDescent="0.25">
      <c r="A7" s="171"/>
      <c r="B7" s="171"/>
      <c r="C7" s="171"/>
      <c r="D7" s="171"/>
      <c r="E7" s="171"/>
      <c r="F7" s="171" t="s">
        <v>27</v>
      </c>
      <c r="G7" s="171"/>
      <c r="H7" s="171"/>
      <c r="I7" s="171"/>
      <c r="J7" s="176">
        <v>5703748.0899999999</v>
      </c>
      <c r="N7" s="106" t="s">
        <v>12</v>
      </c>
      <c r="O7" s="201">
        <f>SUM(O2:O6)</f>
        <v>940850</v>
      </c>
    </row>
    <row r="8" spans="1:16" x14ac:dyDescent="0.25">
      <c r="A8" s="171"/>
      <c r="B8" s="171"/>
      <c r="C8" s="171"/>
      <c r="D8" s="171"/>
      <c r="E8" s="171"/>
      <c r="F8" s="171" t="s">
        <v>28</v>
      </c>
      <c r="G8" s="171"/>
      <c r="H8" s="171"/>
      <c r="I8" s="171"/>
      <c r="J8" s="176">
        <v>38621.51</v>
      </c>
      <c r="N8" s="46"/>
      <c r="O8" s="190"/>
    </row>
    <row r="9" spans="1:16" x14ac:dyDescent="0.25">
      <c r="A9" s="171"/>
      <c r="B9" s="171"/>
      <c r="C9" s="171"/>
      <c r="D9" s="171"/>
      <c r="E9" s="171"/>
      <c r="F9" s="171" t="s">
        <v>29</v>
      </c>
      <c r="G9" s="171"/>
      <c r="H9" s="171"/>
      <c r="I9" s="171"/>
      <c r="J9" s="176"/>
      <c r="N9" s="104"/>
      <c r="O9" s="202"/>
    </row>
    <row r="10" spans="1:16" ht="15.75" thickBot="1" x14ac:dyDescent="0.3">
      <c r="A10" s="171"/>
      <c r="B10" s="171"/>
      <c r="C10" s="171"/>
      <c r="D10" s="171"/>
      <c r="E10" s="171"/>
      <c r="F10" s="171"/>
      <c r="G10" s="171" t="s">
        <v>32</v>
      </c>
      <c r="H10" s="171"/>
      <c r="I10" s="171"/>
      <c r="J10" s="220">
        <v>36832.58</v>
      </c>
      <c r="N10" s="65" t="s">
        <v>397</v>
      </c>
      <c r="O10" s="203" t="s">
        <v>380</v>
      </c>
    </row>
    <row r="11" spans="1:16" x14ac:dyDescent="0.25">
      <c r="A11" s="171"/>
      <c r="B11" s="171"/>
      <c r="C11" s="171"/>
      <c r="D11" s="171"/>
      <c r="E11" s="171"/>
      <c r="F11" s="171" t="s">
        <v>38</v>
      </c>
      <c r="G11" s="171"/>
      <c r="H11" s="171"/>
      <c r="I11" s="171"/>
      <c r="J11" s="176">
        <f>ROUND(SUM(J9:J10),5)</f>
        <v>36832.58</v>
      </c>
      <c r="N11" s="46" t="s">
        <v>269</v>
      </c>
      <c r="O11" s="190">
        <f>J98-O2</f>
        <v>1037499.27</v>
      </c>
      <c r="P11" s="20"/>
    </row>
    <row r="12" spans="1:16" ht="30" customHeight="1" thickBot="1" x14ac:dyDescent="0.3">
      <c r="A12" s="171"/>
      <c r="B12" s="171"/>
      <c r="C12" s="171"/>
      <c r="D12" s="171"/>
      <c r="E12" s="171"/>
      <c r="F12" s="171" t="s">
        <v>618</v>
      </c>
      <c r="G12" s="171"/>
      <c r="H12" s="171"/>
      <c r="I12" s="171"/>
      <c r="J12" s="8">
        <v>57737.25</v>
      </c>
      <c r="N12" s="46" t="s">
        <v>270</v>
      </c>
      <c r="O12" s="190">
        <f>J132-O3</f>
        <v>444140.25</v>
      </c>
    </row>
    <row r="13" spans="1:16" ht="15.75" thickBot="1" x14ac:dyDescent="0.3">
      <c r="A13" s="171"/>
      <c r="B13" s="171"/>
      <c r="C13" s="171"/>
      <c r="D13" s="171"/>
      <c r="E13" s="171" t="s">
        <v>39</v>
      </c>
      <c r="F13" s="171"/>
      <c r="G13" s="171"/>
      <c r="H13" s="171"/>
      <c r="I13" s="171"/>
      <c r="J13" s="10">
        <f>ROUND(SUM(J4:J8)+SUM(J11:J12),5)</f>
        <v>18431548.129999999</v>
      </c>
      <c r="N13" s="194" t="s">
        <v>609</v>
      </c>
      <c r="O13" s="190">
        <f>J142</f>
        <v>70270</v>
      </c>
    </row>
    <row r="14" spans="1:16" ht="30" customHeight="1" x14ac:dyDescent="0.25">
      <c r="A14" s="171"/>
      <c r="B14" s="171"/>
      <c r="C14" s="171"/>
      <c r="D14" s="171" t="s">
        <v>40</v>
      </c>
      <c r="E14" s="171"/>
      <c r="F14" s="171"/>
      <c r="G14" s="171"/>
      <c r="H14" s="171"/>
      <c r="I14" s="171"/>
      <c r="J14" s="176">
        <f>ROUND(J3+J13,5)</f>
        <v>18431548.129999999</v>
      </c>
      <c r="N14" s="194" t="s">
        <v>610</v>
      </c>
      <c r="O14" s="190">
        <f>J162</f>
        <v>232319.43</v>
      </c>
    </row>
    <row r="15" spans="1:16" ht="30" customHeight="1" x14ac:dyDescent="0.25">
      <c r="A15" s="171"/>
      <c r="B15" s="171"/>
      <c r="C15" s="171"/>
      <c r="D15" s="171" t="s">
        <v>41</v>
      </c>
      <c r="E15" s="171"/>
      <c r="F15" s="171"/>
      <c r="G15" s="171"/>
      <c r="H15" s="171"/>
      <c r="I15" s="171"/>
      <c r="J15" s="176"/>
      <c r="N15" s="66" t="s">
        <v>611</v>
      </c>
      <c r="O15" s="190">
        <f>J165</f>
        <v>1127.5</v>
      </c>
    </row>
    <row r="16" spans="1:16" x14ac:dyDescent="0.25">
      <c r="A16" s="171"/>
      <c r="B16" s="171"/>
      <c r="C16" s="171"/>
      <c r="D16" s="171"/>
      <c r="E16" s="171" t="s">
        <v>619</v>
      </c>
      <c r="F16" s="171"/>
      <c r="G16" s="171"/>
      <c r="H16" s="171"/>
      <c r="I16" s="171"/>
      <c r="J16" s="176">
        <v>13978.84</v>
      </c>
      <c r="N16" s="193" t="s">
        <v>612</v>
      </c>
      <c r="O16" s="190"/>
    </row>
    <row r="17" spans="1:15" x14ac:dyDescent="0.25">
      <c r="A17" s="171"/>
      <c r="B17" s="171"/>
      <c r="C17" s="171"/>
      <c r="D17" s="171"/>
      <c r="E17" s="171" t="s">
        <v>42</v>
      </c>
      <c r="F17" s="171"/>
      <c r="G17" s="171"/>
      <c r="H17" s="171"/>
      <c r="I17" s="171"/>
      <c r="J17" s="176"/>
      <c r="N17" s="67" t="s">
        <v>383</v>
      </c>
      <c r="O17" s="184">
        <f>J183</f>
        <v>347165</v>
      </c>
    </row>
    <row r="18" spans="1:15" x14ac:dyDescent="0.25">
      <c r="A18" s="171"/>
      <c r="B18" s="171"/>
      <c r="C18" s="171"/>
      <c r="D18" s="171"/>
      <c r="E18" s="171"/>
      <c r="F18" s="171" t="s">
        <v>725</v>
      </c>
      <c r="G18" s="171"/>
      <c r="H18" s="171"/>
      <c r="I18" s="171"/>
      <c r="J18" s="176"/>
      <c r="N18" s="67" t="s">
        <v>386</v>
      </c>
      <c r="O18" s="190">
        <f>J217+J218</f>
        <v>419607.59</v>
      </c>
    </row>
    <row r="19" spans="1:15" ht="15.75" thickBot="1" x14ac:dyDescent="0.3">
      <c r="A19" s="171"/>
      <c r="B19" s="171"/>
      <c r="C19" s="171"/>
      <c r="D19" s="171"/>
      <c r="E19" s="171"/>
      <c r="F19" s="171"/>
      <c r="G19" s="171" t="s">
        <v>745</v>
      </c>
      <c r="H19" s="171"/>
      <c r="I19" s="171"/>
      <c r="J19" s="220">
        <v>14812.5</v>
      </c>
      <c r="N19" s="46"/>
      <c r="O19" s="190"/>
    </row>
    <row r="20" spans="1:15" x14ac:dyDescent="0.25">
      <c r="A20" s="171"/>
      <c r="B20" s="171"/>
      <c r="C20" s="171"/>
      <c r="D20" s="171"/>
      <c r="E20" s="171"/>
      <c r="F20" s="171" t="s">
        <v>727</v>
      </c>
      <c r="G20" s="171"/>
      <c r="H20" s="171"/>
      <c r="I20" s="171"/>
      <c r="J20" s="176">
        <f>ROUND(SUM(J18:J19),5)</f>
        <v>14812.5</v>
      </c>
      <c r="N20" s="61" t="s">
        <v>12</v>
      </c>
      <c r="O20" s="204">
        <f>SUM(O11:O18)</f>
        <v>2552129.04</v>
      </c>
    </row>
    <row r="21" spans="1:15" ht="30" customHeight="1" x14ac:dyDescent="0.25">
      <c r="A21" s="171"/>
      <c r="B21" s="171"/>
      <c r="C21" s="171"/>
      <c r="D21" s="171"/>
      <c r="E21" s="171"/>
      <c r="F21" s="171" t="s">
        <v>43</v>
      </c>
      <c r="G21" s="171"/>
      <c r="H21" s="171"/>
      <c r="I21" s="171"/>
      <c r="J21" s="176"/>
    </row>
    <row r="22" spans="1:15" x14ac:dyDescent="0.25">
      <c r="A22" s="171"/>
      <c r="B22" s="171"/>
      <c r="C22" s="171"/>
      <c r="D22" s="171"/>
      <c r="E22" s="171"/>
      <c r="F22" s="171"/>
      <c r="G22" s="171" t="s">
        <v>44</v>
      </c>
      <c r="H22" s="171"/>
      <c r="I22" s="171"/>
      <c r="J22" s="176">
        <v>4512144.2699999996</v>
      </c>
    </row>
    <row r="23" spans="1:15" x14ac:dyDescent="0.25">
      <c r="A23" s="171"/>
      <c r="B23" s="171"/>
      <c r="C23" s="171"/>
      <c r="D23" s="171"/>
      <c r="E23" s="171"/>
      <c r="F23" s="171"/>
      <c r="G23" s="171" t="s">
        <v>45</v>
      </c>
      <c r="H23" s="171"/>
      <c r="I23" s="171"/>
      <c r="J23" s="176">
        <v>401394.87</v>
      </c>
    </row>
    <row r="24" spans="1:15" ht="15.75" thickBot="1" x14ac:dyDescent="0.3">
      <c r="A24" s="171"/>
      <c r="B24" s="171"/>
      <c r="C24" s="171"/>
      <c r="D24" s="171"/>
      <c r="E24" s="171"/>
      <c r="F24" s="171"/>
      <c r="G24" s="171" t="s">
        <v>47</v>
      </c>
      <c r="H24" s="171"/>
      <c r="I24" s="171"/>
      <c r="J24" s="220">
        <v>456145.65</v>
      </c>
    </row>
    <row r="25" spans="1:15" x14ac:dyDescent="0.25">
      <c r="A25" s="171"/>
      <c r="B25" s="171"/>
      <c r="C25" s="171"/>
      <c r="D25" s="171"/>
      <c r="E25" s="171"/>
      <c r="F25" s="171" t="s">
        <v>48</v>
      </c>
      <c r="G25" s="171"/>
      <c r="H25" s="171"/>
      <c r="I25" s="171"/>
      <c r="J25" s="176">
        <f>ROUND(SUM(J21:J24),5)</f>
        <v>5369684.79</v>
      </c>
    </row>
    <row r="26" spans="1:15" ht="30" customHeight="1" x14ac:dyDescent="0.25">
      <c r="A26" s="171"/>
      <c r="B26" s="171"/>
      <c r="C26" s="171"/>
      <c r="D26" s="171"/>
      <c r="E26" s="171"/>
      <c r="F26" s="171" t="s">
        <v>49</v>
      </c>
      <c r="G26" s="171"/>
      <c r="H26" s="171"/>
      <c r="I26" s="171"/>
      <c r="J26" s="176"/>
    </row>
    <row r="27" spans="1:15" ht="15.75" thickBot="1" x14ac:dyDescent="0.3">
      <c r="A27" s="171"/>
      <c r="B27" s="171"/>
      <c r="C27" s="171"/>
      <c r="D27" s="171"/>
      <c r="E27" s="171"/>
      <c r="F27" s="171"/>
      <c r="G27" s="171" t="s">
        <v>451</v>
      </c>
      <c r="H27" s="171"/>
      <c r="I27" s="171"/>
      <c r="J27" s="220">
        <v>45540.82</v>
      </c>
    </row>
    <row r="28" spans="1:15" x14ac:dyDescent="0.25">
      <c r="A28" s="171"/>
      <c r="B28" s="171"/>
      <c r="C28" s="171"/>
      <c r="D28" s="171"/>
      <c r="E28" s="171"/>
      <c r="F28" s="171" t="s">
        <v>54</v>
      </c>
      <c r="G28" s="171"/>
      <c r="H28" s="171"/>
      <c r="I28" s="171"/>
      <c r="J28" s="176">
        <f>ROUND(SUM(J26:J27),5)</f>
        <v>45540.82</v>
      </c>
    </row>
    <row r="29" spans="1:15" ht="30" customHeight="1" x14ac:dyDescent="0.25">
      <c r="A29" s="171"/>
      <c r="B29" s="171"/>
      <c r="C29" s="171"/>
      <c r="D29" s="171"/>
      <c r="E29" s="171"/>
      <c r="F29" s="171" t="s">
        <v>55</v>
      </c>
      <c r="G29" s="171"/>
      <c r="H29" s="171"/>
      <c r="I29" s="171"/>
      <c r="J29" s="176"/>
    </row>
    <row r="30" spans="1:15" x14ac:dyDescent="0.25">
      <c r="A30" s="171"/>
      <c r="B30" s="171"/>
      <c r="C30" s="171"/>
      <c r="D30" s="171"/>
      <c r="E30" s="171"/>
      <c r="F30" s="171"/>
      <c r="G30" s="171" t="s">
        <v>56</v>
      </c>
      <c r="H30" s="171"/>
      <c r="I30" s="171"/>
      <c r="J30" s="176">
        <v>4938416.17</v>
      </c>
    </row>
    <row r="31" spans="1:15" x14ac:dyDescent="0.25">
      <c r="A31" s="171"/>
      <c r="B31" s="171"/>
      <c r="C31" s="171"/>
      <c r="D31" s="171"/>
      <c r="E31" s="171"/>
      <c r="F31" s="171"/>
      <c r="G31" s="171" t="s">
        <v>59</v>
      </c>
      <c r="H31" s="171"/>
      <c r="I31" s="171"/>
      <c r="J31" s="176">
        <v>12438</v>
      </c>
    </row>
    <row r="32" spans="1:15" ht="15.75" thickBot="1" x14ac:dyDescent="0.3">
      <c r="A32" s="171"/>
      <c r="B32" s="171"/>
      <c r="C32" s="171"/>
      <c r="D32" s="171"/>
      <c r="E32" s="171"/>
      <c r="F32" s="171"/>
      <c r="G32" s="171" t="s">
        <v>60</v>
      </c>
      <c r="H32" s="171"/>
      <c r="I32" s="171"/>
      <c r="J32" s="220">
        <v>212911.21</v>
      </c>
    </row>
    <row r="33" spans="1:10" x14ac:dyDescent="0.25">
      <c r="A33" s="171"/>
      <c r="B33" s="171"/>
      <c r="C33" s="171"/>
      <c r="D33" s="171"/>
      <c r="E33" s="171"/>
      <c r="F33" s="171" t="s">
        <v>61</v>
      </c>
      <c r="G33" s="171"/>
      <c r="H33" s="171"/>
      <c r="I33" s="171"/>
      <c r="J33" s="176">
        <f>ROUND(SUM(J29:J32),5)</f>
        <v>5163765.38</v>
      </c>
    </row>
    <row r="34" spans="1:10" ht="30" customHeight="1" x14ac:dyDescent="0.25">
      <c r="A34" s="171"/>
      <c r="B34" s="171"/>
      <c r="C34" s="171"/>
      <c r="D34" s="171"/>
      <c r="E34" s="171"/>
      <c r="F34" s="171" t="s">
        <v>62</v>
      </c>
      <c r="G34" s="171"/>
      <c r="H34" s="171"/>
      <c r="I34" s="171"/>
      <c r="J34" s="176"/>
    </row>
    <row r="35" spans="1:10" x14ac:dyDescent="0.25">
      <c r="A35" s="171"/>
      <c r="B35" s="171"/>
      <c r="C35" s="171"/>
      <c r="D35" s="171"/>
      <c r="E35" s="171"/>
      <c r="F35" s="171"/>
      <c r="G35" s="171" t="s">
        <v>63</v>
      </c>
      <c r="H35" s="171"/>
      <c r="I35" s="171"/>
      <c r="J35" s="176">
        <v>1133150.83</v>
      </c>
    </row>
    <row r="36" spans="1:10" x14ac:dyDescent="0.25">
      <c r="A36" s="171"/>
      <c r="B36" s="171"/>
      <c r="C36" s="171"/>
      <c r="D36" s="171"/>
      <c r="E36" s="171"/>
      <c r="F36" s="171"/>
      <c r="G36" s="171" t="s">
        <v>512</v>
      </c>
      <c r="H36" s="171"/>
      <c r="I36" s="171"/>
      <c r="J36" s="176">
        <v>138264.1</v>
      </c>
    </row>
    <row r="37" spans="1:10" x14ac:dyDescent="0.25">
      <c r="A37" s="171"/>
      <c r="B37" s="171"/>
      <c r="C37" s="171"/>
      <c r="D37" s="171"/>
      <c r="E37" s="171"/>
      <c r="F37" s="171"/>
      <c r="G37" s="171" t="s">
        <v>513</v>
      </c>
      <c r="H37" s="171"/>
      <c r="I37" s="171"/>
      <c r="J37" s="176">
        <v>34566.03</v>
      </c>
    </row>
    <row r="38" spans="1:10" x14ac:dyDescent="0.25">
      <c r="A38" s="171"/>
      <c r="B38" s="171"/>
      <c r="C38" s="171"/>
      <c r="D38" s="171"/>
      <c r="E38" s="171"/>
      <c r="F38" s="171"/>
      <c r="G38" s="171" t="s">
        <v>64</v>
      </c>
      <c r="H38" s="171"/>
      <c r="I38" s="171"/>
      <c r="J38" s="176">
        <v>380515.58</v>
      </c>
    </row>
    <row r="39" spans="1:10" x14ac:dyDescent="0.25">
      <c r="A39" s="171"/>
      <c r="B39" s="171"/>
      <c r="C39" s="171"/>
      <c r="D39" s="171"/>
      <c r="E39" s="171"/>
      <c r="F39" s="171"/>
      <c r="G39" s="171" t="s">
        <v>65</v>
      </c>
      <c r="H39" s="171"/>
      <c r="I39" s="171"/>
      <c r="J39" s="176">
        <v>146052.57999999999</v>
      </c>
    </row>
    <row r="40" spans="1:10" ht="15.75" thickBot="1" x14ac:dyDescent="0.3">
      <c r="A40" s="171"/>
      <c r="B40" s="171"/>
      <c r="C40" s="171"/>
      <c r="D40" s="171"/>
      <c r="E40" s="171"/>
      <c r="F40" s="171"/>
      <c r="G40" s="171" t="s">
        <v>66</v>
      </c>
      <c r="H40" s="171"/>
      <c r="I40" s="171"/>
      <c r="J40" s="220">
        <v>62878.6</v>
      </c>
    </row>
    <row r="41" spans="1:10" x14ac:dyDescent="0.25">
      <c r="A41" s="171"/>
      <c r="B41" s="171"/>
      <c r="C41" s="171"/>
      <c r="D41" s="171"/>
      <c r="E41" s="171"/>
      <c r="F41" s="171" t="s">
        <v>67</v>
      </c>
      <c r="G41" s="171"/>
      <c r="H41" s="171"/>
      <c r="I41" s="171"/>
      <c r="J41" s="176">
        <f>ROUND(SUM(J34:J40),5)</f>
        <v>1895427.72</v>
      </c>
    </row>
    <row r="42" spans="1:10" ht="30" customHeight="1" thickBot="1" x14ac:dyDescent="0.3">
      <c r="A42" s="171"/>
      <c r="B42" s="171"/>
      <c r="C42" s="171"/>
      <c r="D42" s="171"/>
      <c r="E42" s="171"/>
      <c r="F42" s="171" t="s">
        <v>624</v>
      </c>
      <c r="G42" s="171"/>
      <c r="H42" s="171"/>
      <c r="I42" s="171"/>
      <c r="J42" s="8">
        <v>13503.88</v>
      </c>
    </row>
    <row r="43" spans="1:10" ht="15.75" thickBot="1" x14ac:dyDescent="0.3">
      <c r="A43" s="171"/>
      <c r="B43" s="171"/>
      <c r="C43" s="171"/>
      <c r="D43" s="171"/>
      <c r="E43" s="171" t="s">
        <v>71</v>
      </c>
      <c r="F43" s="171"/>
      <c r="G43" s="171"/>
      <c r="H43" s="171"/>
      <c r="I43" s="171"/>
      <c r="J43" s="11">
        <f>ROUND(J17+J20+J25+J28+J33+SUM(J41:J42),5)</f>
        <v>12502735.09</v>
      </c>
    </row>
    <row r="44" spans="1:10" ht="30" customHeight="1" thickBot="1" x14ac:dyDescent="0.3">
      <c r="A44" s="171"/>
      <c r="B44" s="171"/>
      <c r="C44" s="171"/>
      <c r="D44" s="171" t="s">
        <v>72</v>
      </c>
      <c r="E44" s="171"/>
      <c r="F44" s="171"/>
      <c r="G44" s="171"/>
      <c r="H44" s="171"/>
      <c r="I44" s="171"/>
      <c r="J44" s="10">
        <f>ROUND(SUM(J15:J16)+J43,5)</f>
        <v>12516713.93</v>
      </c>
    </row>
    <row r="45" spans="1:10" ht="30" customHeight="1" x14ac:dyDescent="0.25">
      <c r="A45" s="171"/>
      <c r="B45" s="171"/>
      <c r="C45" s="171" t="s">
        <v>73</v>
      </c>
      <c r="D45" s="171"/>
      <c r="E45" s="171"/>
      <c r="F45" s="171"/>
      <c r="G45" s="171"/>
      <c r="H45" s="171"/>
      <c r="I45" s="171"/>
      <c r="J45" s="176">
        <f>ROUND(J14-J44,5)</f>
        <v>5914834.2000000002</v>
      </c>
    </row>
    <row r="46" spans="1:10" ht="30" customHeight="1" x14ac:dyDescent="0.25">
      <c r="A46" s="171"/>
      <c r="B46" s="171"/>
      <c r="C46" s="171"/>
      <c r="D46" s="171" t="s">
        <v>74</v>
      </c>
      <c r="E46" s="171"/>
      <c r="F46" s="171"/>
      <c r="G46" s="171"/>
      <c r="H46" s="171"/>
      <c r="I46" s="171"/>
      <c r="J46" s="176"/>
    </row>
    <row r="47" spans="1:10" x14ac:dyDescent="0.25">
      <c r="A47" s="171"/>
      <c r="B47" s="171"/>
      <c r="C47" s="171"/>
      <c r="D47" s="171"/>
      <c r="E47" s="171" t="s">
        <v>75</v>
      </c>
      <c r="F47" s="171"/>
      <c r="G47" s="171"/>
      <c r="H47" s="171"/>
      <c r="I47" s="171"/>
      <c r="J47" s="176"/>
    </row>
    <row r="48" spans="1:10" x14ac:dyDescent="0.25">
      <c r="A48" s="171"/>
      <c r="B48" s="171"/>
      <c r="C48" s="171"/>
      <c r="D48" s="171"/>
      <c r="E48" s="171"/>
      <c r="F48" s="171" t="s">
        <v>189</v>
      </c>
      <c r="G48" s="171"/>
      <c r="H48" s="328"/>
      <c r="I48" s="328"/>
      <c r="J48" s="176"/>
    </row>
    <row r="49" spans="1:10" x14ac:dyDescent="0.25">
      <c r="A49" s="171"/>
      <c r="B49" s="171"/>
      <c r="C49" s="171"/>
      <c r="D49" s="171"/>
      <c r="E49" s="171"/>
      <c r="F49" s="171"/>
      <c r="G49" s="171" t="s">
        <v>76</v>
      </c>
      <c r="H49" s="171"/>
      <c r="I49" s="171"/>
      <c r="J49" s="176"/>
    </row>
    <row r="50" spans="1:10" x14ac:dyDescent="0.25">
      <c r="A50" s="171"/>
      <c r="B50" s="171"/>
      <c r="C50" s="171"/>
      <c r="D50" s="171"/>
      <c r="E50" s="171"/>
      <c r="F50" s="171"/>
      <c r="G50" s="171"/>
      <c r="H50" s="171" t="s">
        <v>77</v>
      </c>
      <c r="I50" s="171"/>
      <c r="J50" s="176">
        <v>6000</v>
      </c>
    </row>
    <row r="51" spans="1:10" x14ac:dyDescent="0.25">
      <c r="A51" s="171"/>
      <c r="B51" s="171"/>
      <c r="C51" s="171"/>
      <c r="D51" s="171"/>
      <c r="E51" s="171"/>
      <c r="F51" s="171"/>
      <c r="G51" s="171"/>
      <c r="H51" s="171" t="s">
        <v>78</v>
      </c>
      <c r="I51" s="171"/>
      <c r="J51" s="176">
        <v>42373</v>
      </c>
    </row>
    <row r="52" spans="1:10" x14ac:dyDescent="0.25">
      <c r="A52" s="171"/>
      <c r="B52" s="171"/>
      <c r="C52" s="171"/>
      <c r="D52" s="171"/>
      <c r="E52" s="171"/>
      <c r="F52" s="171"/>
      <c r="G52" s="171"/>
      <c r="H52" s="171" t="s">
        <v>80</v>
      </c>
      <c r="I52" s="171"/>
      <c r="J52" s="176">
        <v>620</v>
      </c>
    </row>
    <row r="53" spans="1:10" x14ac:dyDescent="0.25">
      <c r="A53" s="171"/>
      <c r="B53" s="171"/>
      <c r="C53" s="171"/>
      <c r="D53" s="171"/>
      <c r="E53" s="171"/>
      <c r="F53" s="171"/>
      <c r="G53" s="171"/>
      <c r="H53" s="171" t="s">
        <v>453</v>
      </c>
      <c r="I53" s="171"/>
      <c r="J53" s="176">
        <v>4069.8</v>
      </c>
    </row>
    <row r="54" spans="1:10" x14ac:dyDescent="0.25">
      <c r="A54" s="171"/>
      <c r="B54" s="171"/>
      <c r="C54" s="171"/>
      <c r="D54" s="171"/>
      <c r="E54" s="171"/>
      <c r="F54" s="171"/>
      <c r="G54" s="171"/>
      <c r="H54" s="171" t="s">
        <v>81</v>
      </c>
      <c r="I54" s="171"/>
      <c r="J54" s="176"/>
    </row>
    <row r="55" spans="1:10" ht="15.75" thickBot="1" x14ac:dyDescent="0.3">
      <c r="A55" s="171"/>
      <c r="B55" s="171"/>
      <c r="C55" s="171"/>
      <c r="D55" s="171"/>
      <c r="E55" s="171"/>
      <c r="F55" s="171"/>
      <c r="G55" s="171"/>
      <c r="H55" s="171"/>
      <c r="I55" s="171" t="s">
        <v>82</v>
      </c>
      <c r="J55" s="220">
        <v>10525</v>
      </c>
    </row>
    <row r="56" spans="1:10" x14ac:dyDescent="0.25">
      <c r="A56" s="171"/>
      <c r="B56" s="171"/>
      <c r="C56" s="171"/>
      <c r="D56" s="171"/>
      <c r="E56" s="171"/>
      <c r="F56" s="171"/>
      <c r="G56" s="171"/>
      <c r="H56" s="171" t="s">
        <v>83</v>
      </c>
      <c r="I56" s="171"/>
      <c r="J56" s="176">
        <f>ROUND(SUM(J54:J55),5)</f>
        <v>10525</v>
      </c>
    </row>
    <row r="57" spans="1:10" ht="30" customHeight="1" x14ac:dyDescent="0.25">
      <c r="A57" s="171"/>
      <c r="B57" s="171"/>
      <c r="C57" s="171"/>
      <c r="D57" s="171"/>
      <c r="E57" s="171"/>
      <c r="F57" s="171"/>
      <c r="G57" s="171"/>
      <c r="H57" s="171" t="s">
        <v>190</v>
      </c>
      <c r="I57" s="171"/>
      <c r="J57" s="176">
        <v>99462</v>
      </c>
    </row>
    <row r="58" spans="1:10" x14ac:dyDescent="0.25">
      <c r="A58" s="171"/>
      <c r="B58" s="171"/>
      <c r="C58" s="171"/>
      <c r="D58" s="171"/>
      <c r="E58" s="171"/>
      <c r="F58" s="171"/>
      <c r="G58" s="171"/>
      <c r="H58" s="171" t="s">
        <v>84</v>
      </c>
      <c r="I58" s="171"/>
      <c r="J58" s="176">
        <v>53330</v>
      </c>
    </row>
    <row r="59" spans="1:10" ht="15.75" thickBot="1" x14ac:dyDescent="0.3">
      <c r="A59" s="171"/>
      <c r="B59" s="171"/>
      <c r="C59" s="171"/>
      <c r="D59" s="171"/>
      <c r="E59" s="171"/>
      <c r="F59" s="171"/>
      <c r="G59" s="171"/>
      <c r="H59" s="171" t="s">
        <v>521</v>
      </c>
      <c r="I59" s="171"/>
      <c r="J59" s="220">
        <v>25000</v>
      </c>
    </row>
    <row r="60" spans="1:10" x14ac:dyDescent="0.25">
      <c r="A60" s="171"/>
      <c r="B60" s="171"/>
      <c r="C60" s="171"/>
      <c r="D60" s="171"/>
      <c r="E60" s="171"/>
      <c r="F60" s="171"/>
      <c r="G60" s="171" t="s">
        <v>85</v>
      </c>
      <c r="H60" s="171"/>
      <c r="I60" s="171"/>
      <c r="J60" s="176">
        <f>ROUND(SUM(J49:J53)+SUM(J56:J59),5)</f>
        <v>241379.8</v>
      </c>
    </row>
    <row r="61" spans="1:10" ht="30" customHeight="1" x14ac:dyDescent="0.25">
      <c r="A61" s="171"/>
      <c r="B61" s="171"/>
      <c r="C61" s="171"/>
      <c r="D61" s="171"/>
      <c r="E61" s="171"/>
      <c r="F61" s="171"/>
      <c r="G61" s="171" t="s">
        <v>86</v>
      </c>
      <c r="H61" s="171"/>
      <c r="I61" s="171"/>
      <c r="J61" s="176"/>
    </row>
    <row r="62" spans="1:10" x14ac:dyDescent="0.25">
      <c r="A62" s="171"/>
      <c r="B62" s="171"/>
      <c r="C62" s="171"/>
      <c r="D62" s="171"/>
      <c r="E62" s="171"/>
      <c r="F62" s="171"/>
      <c r="G62" s="171"/>
      <c r="H62" s="171" t="s">
        <v>87</v>
      </c>
      <c r="I62" s="171"/>
      <c r="J62" s="176">
        <v>271500</v>
      </c>
    </row>
    <row r="63" spans="1:10" x14ac:dyDescent="0.25">
      <c r="A63" s="171"/>
      <c r="B63" s="171"/>
      <c r="C63" s="171"/>
      <c r="D63" s="171"/>
      <c r="E63" s="171"/>
      <c r="F63" s="171"/>
      <c r="G63" s="171"/>
      <c r="H63" s="171" t="s">
        <v>522</v>
      </c>
      <c r="I63" s="171"/>
      <c r="J63" s="176">
        <v>32580</v>
      </c>
    </row>
    <row r="64" spans="1:10" x14ac:dyDescent="0.25">
      <c r="A64" s="171"/>
      <c r="B64" s="171"/>
      <c r="C64" s="171"/>
      <c r="D64" s="171"/>
      <c r="E64" s="171"/>
      <c r="F64" s="171"/>
      <c r="G64" s="171"/>
      <c r="H64" s="171" t="s">
        <v>523</v>
      </c>
      <c r="I64" s="171"/>
      <c r="J64" s="176">
        <v>8145</v>
      </c>
    </row>
    <row r="65" spans="1:10" x14ac:dyDescent="0.25">
      <c r="A65" s="171"/>
      <c r="B65" s="171"/>
      <c r="C65" s="171"/>
      <c r="D65" s="171"/>
      <c r="E65" s="171"/>
      <c r="F65" s="171"/>
      <c r="G65" s="171"/>
      <c r="H65" s="171" t="s">
        <v>524</v>
      </c>
      <c r="I65" s="171"/>
      <c r="J65" s="176">
        <v>30000</v>
      </c>
    </row>
    <row r="66" spans="1:10" x14ac:dyDescent="0.25">
      <c r="A66" s="171"/>
      <c r="B66" s="171"/>
      <c r="C66" s="171"/>
      <c r="D66" s="171"/>
      <c r="E66" s="171"/>
      <c r="F66" s="171"/>
      <c r="G66" s="171"/>
      <c r="H66" s="171" t="s">
        <v>88</v>
      </c>
      <c r="I66" s="171"/>
      <c r="J66" s="176">
        <v>10500</v>
      </c>
    </row>
    <row r="67" spans="1:10" ht="15.75" thickBot="1" x14ac:dyDescent="0.3">
      <c r="A67" s="171"/>
      <c r="B67" s="171"/>
      <c r="C67" s="171"/>
      <c r="D67" s="171"/>
      <c r="E67" s="171"/>
      <c r="F67" s="171"/>
      <c r="G67" s="171"/>
      <c r="H67" s="171" t="s">
        <v>89</v>
      </c>
      <c r="I67" s="171"/>
      <c r="J67" s="220">
        <v>48000</v>
      </c>
    </row>
    <row r="68" spans="1:10" x14ac:dyDescent="0.25">
      <c r="A68" s="171"/>
      <c r="B68" s="171"/>
      <c r="C68" s="171"/>
      <c r="D68" s="171"/>
      <c r="E68" s="171"/>
      <c r="F68" s="171"/>
      <c r="G68" s="171" t="s">
        <v>91</v>
      </c>
      <c r="H68" s="171"/>
      <c r="I68" s="171"/>
      <c r="J68" s="176">
        <f>ROUND(SUM(J61:J67),5)</f>
        <v>400725</v>
      </c>
    </row>
    <row r="69" spans="1:10" ht="30" customHeight="1" x14ac:dyDescent="0.25">
      <c r="A69" s="171"/>
      <c r="B69" s="171"/>
      <c r="C69" s="171"/>
      <c r="D69" s="171"/>
      <c r="E69" s="171"/>
      <c r="F69" s="171"/>
      <c r="G69" s="171" t="s">
        <v>92</v>
      </c>
      <c r="H69" s="171"/>
      <c r="I69" s="171"/>
      <c r="J69" s="176"/>
    </row>
    <row r="70" spans="1:10" x14ac:dyDescent="0.25">
      <c r="A70" s="171"/>
      <c r="B70" s="171"/>
      <c r="C70" s="171"/>
      <c r="D70" s="171"/>
      <c r="E70" s="171"/>
      <c r="F70" s="171"/>
      <c r="G70" s="171"/>
      <c r="H70" s="171" t="s">
        <v>93</v>
      </c>
      <c r="I70" s="171"/>
      <c r="J70" s="176">
        <v>449.75</v>
      </c>
    </row>
    <row r="71" spans="1:10" x14ac:dyDescent="0.25">
      <c r="A71" s="171"/>
      <c r="B71" s="171"/>
      <c r="C71" s="171"/>
      <c r="D71" s="171"/>
      <c r="E71" s="171"/>
      <c r="F71" s="171"/>
      <c r="G71" s="171"/>
      <c r="H71" s="171" t="s">
        <v>525</v>
      </c>
      <c r="I71" s="171"/>
      <c r="J71" s="176">
        <v>6700.27</v>
      </c>
    </row>
    <row r="72" spans="1:10" x14ac:dyDescent="0.25">
      <c r="A72" s="171"/>
      <c r="B72" s="171"/>
      <c r="C72" s="171"/>
      <c r="D72" s="171"/>
      <c r="E72" s="171"/>
      <c r="F72" s="171"/>
      <c r="G72" s="171"/>
      <c r="H72" s="171" t="s">
        <v>740</v>
      </c>
      <c r="I72" s="171"/>
      <c r="J72" s="176">
        <v>24644.61</v>
      </c>
    </row>
    <row r="73" spans="1:10" x14ac:dyDescent="0.25">
      <c r="A73" s="171"/>
      <c r="B73" s="171"/>
      <c r="C73" s="171"/>
      <c r="D73" s="171"/>
      <c r="E73" s="171"/>
      <c r="F73" s="171"/>
      <c r="G73" s="171"/>
      <c r="H73" s="171" t="s">
        <v>95</v>
      </c>
      <c r="I73" s="171"/>
      <c r="J73" s="176">
        <v>-3890.46</v>
      </c>
    </row>
    <row r="74" spans="1:10" ht="15.75" thickBot="1" x14ac:dyDescent="0.3">
      <c r="A74" s="171"/>
      <c r="B74" s="171"/>
      <c r="C74" s="171"/>
      <c r="D74" s="171"/>
      <c r="E74" s="171"/>
      <c r="F74" s="171"/>
      <c r="G74" s="171"/>
      <c r="H74" s="171" t="s">
        <v>526</v>
      </c>
      <c r="I74" s="171"/>
      <c r="J74" s="220">
        <v>43301.88</v>
      </c>
    </row>
    <row r="75" spans="1:10" x14ac:dyDescent="0.25">
      <c r="A75" s="171"/>
      <c r="B75" s="171"/>
      <c r="C75" s="171"/>
      <c r="D75" s="171"/>
      <c r="E75" s="171"/>
      <c r="F75" s="171"/>
      <c r="G75" s="171" t="s">
        <v>96</v>
      </c>
      <c r="H75" s="171"/>
      <c r="I75" s="171"/>
      <c r="J75" s="176">
        <f>ROUND(SUM(J69:J74),5)</f>
        <v>71206.05</v>
      </c>
    </row>
    <row r="76" spans="1:10" ht="30" customHeight="1" x14ac:dyDescent="0.25">
      <c r="A76" s="171"/>
      <c r="B76" s="171"/>
      <c r="C76" s="171"/>
      <c r="D76" s="171"/>
      <c r="E76" s="171"/>
      <c r="F76" s="171"/>
      <c r="G76" s="171" t="s">
        <v>97</v>
      </c>
      <c r="H76" s="171"/>
      <c r="I76" s="171"/>
      <c r="J76" s="176"/>
    </row>
    <row r="77" spans="1:10" x14ac:dyDescent="0.25">
      <c r="A77" s="171"/>
      <c r="B77" s="171"/>
      <c r="C77" s="171"/>
      <c r="D77" s="171"/>
      <c r="E77" s="171"/>
      <c r="F77" s="171"/>
      <c r="G77" s="171"/>
      <c r="H77" s="171" t="s">
        <v>98</v>
      </c>
      <c r="I77" s="171"/>
      <c r="J77" s="176">
        <v>8964</v>
      </c>
    </row>
    <row r="78" spans="1:10" x14ac:dyDescent="0.25">
      <c r="A78" s="171"/>
      <c r="B78" s="171"/>
      <c r="C78" s="171"/>
      <c r="D78" s="171"/>
      <c r="E78" s="171"/>
      <c r="F78" s="171"/>
      <c r="G78" s="171"/>
      <c r="H78" s="171" t="s">
        <v>625</v>
      </c>
      <c r="I78" s="171"/>
      <c r="J78" s="176">
        <v>18815</v>
      </c>
    </row>
    <row r="79" spans="1:10" x14ac:dyDescent="0.25">
      <c r="A79" s="171"/>
      <c r="B79" s="171"/>
      <c r="C79" s="171"/>
      <c r="D79" s="171"/>
      <c r="E79" s="171"/>
      <c r="F79" s="171"/>
      <c r="G79" s="171"/>
      <c r="H79" s="171" t="s">
        <v>99</v>
      </c>
      <c r="I79" s="171"/>
      <c r="J79" s="176">
        <v>2000</v>
      </c>
    </row>
    <row r="80" spans="1:10" x14ac:dyDescent="0.25">
      <c r="A80" s="171"/>
      <c r="B80" s="171"/>
      <c r="C80" s="171"/>
      <c r="D80" s="171"/>
      <c r="E80" s="171"/>
      <c r="F80" s="171"/>
      <c r="G80" s="171"/>
      <c r="H80" s="171" t="s">
        <v>100</v>
      </c>
      <c r="I80" s="171"/>
      <c r="J80" s="176">
        <v>58500</v>
      </c>
    </row>
    <row r="81" spans="1:10" ht="15.75" thickBot="1" x14ac:dyDescent="0.3">
      <c r="A81" s="171"/>
      <c r="B81" s="171"/>
      <c r="C81" s="171"/>
      <c r="D81" s="171"/>
      <c r="E81" s="171"/>
      <c r="F81" s="171"/>
      <c r="G81" s="171"/>
      <c r="H81" s="171" t="s">
        <v>527</v>
      </c>
      <c r="I81" s="171"/>
      <c r="J81" s="220">
        <v>13000</v>
      </c>
    </row>
    <row r="82" spans="1:10" x14ac:dyDescent="0.25">
      <c r="A82" s="171"/>
      <c r="B82" s="171"/>
      <c r="C82" s="171"/>
      <c r="D82" s="171"/>
      <c r="E82" s="171"/>
      <c r="F82" s="171"/>
      <c r="G82" s="171" t="s">
        <v>102</v>
      </c>
      <c r="H82" s="171"/>
      <c r="I82" s="171"/>
      <c r="J82" s="176">
        <f>ROUND(SUM(J76:J81),5)</f>
        <v>101279</v>
      </c>
    </row>
    <row r="83" spans="1:10" ht="30" customHeight="1" x14ac:dyDescent="0.25">
      <c r="A83" s="171"/>
      <c r="B83" s="171"/>
      <c r="C83" s="171"/>
      <c r="D83" s="171"/>
      <c r="E83" s="171"/>
      <c r="F83" s="171"/>
      <c r="G83" s="171" t="s">
        <v>103</v>
      </c>
      <c r="H83" s="171"/>
      <c r="I83" s="171"/>
      <c r="J83" s="176"/>
    </row>
    <row r="84" spans="1:10" x14ac:dyDescent="0.25">
      <c r="A84" s="171"/>
      <c r="B84" s="171"/>
      <c r="C84" s="171"/>
      <c r="D84" s="171"/>
      <c r="E84" s="171"/>
      <c r="F84" s="171"/>
      <c r="G84" s="171"/>
      <c r="H84" s="171" t="s">
        <v>104</v>
      </c>
      <c r="I84" s="171"/>
      <c r="J84" s="176">
        <v>70393</v>
      </c>
    </row>
    <row r="85" spans="1:10" x14ac:dyDescent="0.25">
      <c r="A85" s="171"/>
      <c r="B85" s="171"/>
      <c r="C85" s="171"/>
      <c r="D85" s="171"/>
      <c r="E85" s="171"/>
      <c r="F85" s="171"/>
      <c r="G85" s="171"/>
      <c r="H85" s="171" t="s">
        <v>105</v>
      </c>
      <c r="I85" s="171"/>
      <c r="J85" s="176">
        <v>23305</v>
      </c>
    </row>
    <row r="86" spans="1:10" x14ac:dyDescent="0.25">
      <c r="A86" s="171"/>
      <c r="B86" s="171"/>
      <c r="C86" s="171"/>
      <c r="D86" s="171"/>
      <c r="E86" s="171"/>
      <c r="F86" s="171"/>
      <c r="G86" s="171"/>
      <c r="H86" s="171" t="s">
        <v>106</v>
      </c>
      <c r="I86" s="171"/>
      <c r="J86" s="176">
        <v>890</v>
      </c>
    </row>
    <row r="87" spans="1:10" x14ac:dyDescent="0.25">
      <c r="A87" s="171"/>
      <c r="B87" s="171"/>
      <c r="C87" s="171"/>
      <c r="D87" s="171"/>
      <c r="E87" s="171"/>
      <c r="F87" s="171"/>
      <c r="G87" s="171"/>
      <c r="H87" s="171" t="s">
        <v>528</v>
      </c>
      <c r="I87" s="171"/>
      <c r="J87" s="176">
        <v>143450.54</v>
      </c>
    </row>
    <row r="88" spans="1:10" x14ac:dyDescent="0.25">
      <c r="A88" s="171"/>
      <c r="B88" s="171"/>
      <c r="C88" s="171"/>
      <c r="D88" s="171"/>
      <c r="E88" s="171"/>
      <c r="F88" s="171"/>
      <c r="G88" s="171"/>
      <c r="H88" s="171" t="s">
        <v>529</v>
      </c>
      <c r="I88" s="171"/>
      <c r="J88" s="176">
        <v>121221.75</v>
      </c>
    </row>
    <row r="89" spans="1:10" ht="15.75" thickBot="1" x14ac:dyDescent="0.3">
      <c r="A89" s="171"/>
      <c r="B89" s="171"/>
      <c r="C89" s="171"/>
      <c r="D89" s="171"/>
      <c r="E89" s="171"/>
      <c r="F89" s="171"/>
      <c r="G89" s="171"/>
      <c r="H89" s="171" t="s">
        <v>530</v>
      </c>
      <c r="I89" s="171"/>
      <c r="J89" s="220">
        <v>73570.69</v>
      </c>
    </row>
    <row r="90" spans="1:10" x14ac:dyDescent="0.25">
      <c r="A90" s="171"/>
      <c r="B90" s="171"/>
      <c r="C90" s="171"/>
      <c r="D90" s="171"/>
      <c r="E90" s="171"/>
      <c r="F90" s="171"/>
      <c r="G90" s="171"/>
      <c r="H90" s="171" t="s">
        <v>455</v>
      </c>
      <c r="I90" s="171"/>
      <c r="J90" s="176">
        <v>144381</v>
      </c>
    </row>
    <row r="91" spans="1:10" x14ac:dyDescent="0.25">
      <c r="A91" s="171"/>
      <c r="B91" s="171"/>
      <c r="C91" s="171"/>
      <c r="D91" s="171"/>
      <c r="E91" s="171"/>
      <c r="F91" s="171"/>
      <c r="G91" s="171"/>
      <c r="H91" s="171" t="s">
        <v>107</v>
      </c>
      <c r="I91" s="171"/>
      <c r="J91" s="176">
        <v>6480</v>
      </c>
    </row>
    <row r="92" spans="1:10" ht="15.75" thickBot="1" x14ac:dyDescent="0.3">
      <c r="A92" s="171"/>
      <c r="B92" s="171"/>
      <c r="C92" s="171"/>
      <c r="D92" s="171"/>
      <c r="E92" s="171"/>
      <c r="F92" s="171"/>
      <c r="G92" s="171"/>
      <c r="H92" s="171" t="s">
        <v>475</v>
      </c>
      <c r="I92" s="171"/>
      <c r="J92" s="220">
        <v>120</v>
      </c>
    </row>
    <row r="93" spans="1:10" x14ac:dyDescent="0.25">
      <c r="A93" s="171"/>
      <c r="B93" s="171"/>
      <c r="C93" s="171"/>
      <c r="D93" s="171"/>
      <c r="E93" s="171"/>
      <c r="F93" s="171"/>
      <c r="G93" s="171" t="s">
        <v>108</v>
      </c>
      <c r="H93" s="171"/>
      <c r="I93" s="171"/>
      <c r="J93" s="176">
        <f>ROUND(SUM(J83:J92),5)</f>
        <v>583811.98</v>
      </c>
    </row>
    <row r="94" spans="1:10" ht="30" customHeight="1" x14ac:dyDescent="0.25">
      <c r="A94" s="171"/>
      <c r="B94" s="171"/>
      <c r="C94" s="171"/>
      <c r="D94" s="171"/>
      <c r="E94" s="171"/>
      <c r="F94" s="171"/>
      <c r="G94" s="171" t="s">
        <v>456</v>
      </c>
      <c r="H94" s="171"/>
      <c r="I94" s="171"/>
      <c r="J94" s="176"/>
    </row>
    <row r="95" spans="1:10" x14ac:dyDescent="0.25">
      <c r="A95" s="171"/>
      <c r="B95" s="171"/>
      <c r="C95" s="171"/>
      <c r="D95" s="171"/>
      <c r="E95" s="171"/>
      <c r="F95" s="171"/>
      <c r="G95" s="171"/>
      <c r="H95" s="171" t="s">
        <v>626</v>
      </c>
      <c r="I95" s="171"/>
      <c r="J95" s="176">
        <v>19022.439999999999</v>
      </c>
    </row>
    <row r="96" spans="1:10" ht="15.75" thickBot="1" x14ac:dyDescent="0.3">
      <c r="A96" s="171"/>
      <c r="B96" s="171"/>
      <c r="C96" s="171"/>
      <c r="D96" s="171"/>
      <c r="E96" s="171"/>
      <c r="F96" s="171"/>
      <c r="G96" s="171"/>
      <c r="H96" s="171" t="s">
        <v>746</v>
      </c>
      <c r="I96" s="171"/>
      <c r="J96" s="8">
        <v>20800</v>
      </c>
    </row>
    <row r="97" spans="1:10" ht="15.75" thickBot="1" x14ac:dyDescent="0.3">
      <c r="A97" s="171"/>
      <c r="B97" s="171"/>
      <c r="C97" s="171"/>
      <c r="D97" s="171"/>
      <c r="E97" s="171"/>
      <c r="F97" s="171"/>
      <c r="G97" s="171" t="s">
        <v>458</v>
      </c>
      <c r="H97" s="171"/>
      <c r="I97" s="171"/>
      <c r="J97" s="10">
        <f>ROUND(SUM(J94:J96),5)</f>
        <v>39822.44</v>
      </c>
    </row>
    <row r="98" spans="1:10" ht="30" customHeight="1" x14ac:dyDescent="0.25">
      <c r="A98" s="171"/>
      <c r="B98" s="171"/>
      <c r="C98" s="171"/>
      <c r="D98" s="171"/>
      <c r="E98" s="171"/>
      <c r="F98" s="171" t="s">
        <v>191</v>
      </c>
      <c r="G98" s="171"/>
      <c r="H98" s="171"/>
      <c r="I98" s="171"/>
      <c r="J98" s="176">
        <f>ROUND(J48+J60+J68+J75+J82+J93+J97,5)</f>
        <v>1438224.27</v>
      </c>
    </row>
    <row r="99" spans="1:10" ht="30" customHeight="1" x14ac:dyDescent="0.25">
      <c r="A99" s="171"/>
      <c r="B99" s="171"/>
      <c r="C99" s="171"/>
      <c r="D99" s="171"/>
      <c r="E99" s="171"/>
      <c r="F99" s="171" t="s">
        <v>109</v>
      </c>
      <c r="G99" s="171"/>
      <c r="H99" s="171"/>
      <c r="I99" s="171"/>
      <c r="J99" s="176"/>
    </row>
    <row r="100" spans="1:10" x14ac:dyDescent="0.25">
      <c r="A100" s="171"/>
      <c r="B100" s="171"/>
      <c r="C100" s="171"/>
      <c r="D100" s="171"/>
      <c r="E100" s="171"/>
      <c r="F100" s="171"/>
      <c r="G100" s="171" t="s">
        <v>110</v>
      </c>
      <c r="H100" s="171"/>
      <c r="I100" s="171"/>
      <c r="J100" s="176"/>
    </row>
    <row r="101" spans="1:10" x14ac:dyDescent="0.25">
      <c r="A101" s="171"/>
      <c r="B101" s="171"/>
      <c r="C101" s="171"/>
      <c r="D101" s="171"/>
      <c r="E101" s="171"/>
      <c r="F101" s="171"/>
      <c r="G101" s="171"/>
      <c r="H101" s="171" t="s">
        <v>112</v>
      </c>
      <c r="I101" s="171"/>
      <c r="J101" s="176">
        <v>68871.199999999997</v>
      </c>
    </row>
    <row r="102" spans="1:10" x14ac:dyDescent="0.25">
      <c r="A102" s="171"/>
      <c r="B102" s="171"/>
      <c r="C102" s="171"/>
      <c r="D102" s="171"/>
      <c r="E102" s="171"/>
      <c r="F102" s="171"/>
      <c r="G102" s="171"/>
      <c r="H102" s="171" t="s">
        <v>481</v>
      </c>
      <c r="I102" s="171"/>
      <c r="J102" s="176">
        <v>27750</v>
      </c>
    </row>
    <row r="103" spans="1:10" x14ac:dyDescent="0.25">
      <c r="A103" s="171"/>
      <c r="B103" s="171"/>
      <c r="C103" s="171"/>
      <c r="D103" s="171"/>
      <c r="E103" s="171"/>
      <c r="F103" s="171"/>
      <c r="G103" s="171"/>
      <c r="H103" s="171" t="s">
        <v>113</v>
      </c>
      <c r="I103" s="171"/>
      <c r="J103" s="176">
        <v>68544</v>
      </c>
    </row>
    <row r="104" spans="1:10" x14ac:dyDescent="0.25">
      <c r="A104" s="171"/>
      <c r="B104" s="171"/>
      <c r="C104" s="171"/>
      <c r="D104" s="171"/>
      <c r="E104" s="171"/>
      <c r="F104" s="171"/>
      <c r="G104" s="171"/>
      <c r="H104" s="171" t="s">
        <v>532</v>
      </c>
      <c r="I104" s="171"/>
      <c r="J104" s="176">
        <v>58605</v>
      </c>
    </row>
    <row r="105" spans="1:10" x14ac:dyDescent="0.25">
      <c r="A105" s="171"/>
      <c r="B105" s="171"/>
      <c r="C105" s="171"/>
      <c r="D105" s="171"/>
      <c r="E105" s="171"/>
      <c r="F105" s="171"/>
      <c r="G105" s="171"/>
      <c r="H105" s="171" t="s">
        <v>114</v>
      </c>
      <c r="I105" s="171"/>
      <c r="J105" s="176">
        <v>5338.41</v>
      </c>
    </row>
    <row r="106" spans="1:10" x14ac:dyDescent="0.25">
      <c r="A106" s="171"/>
      <c r="B106" s="171"/>
      <c r="C106" s="171"/>
      <c r="D106" s="171"/>
      <c r="E106" s="171"/>
      <c r="F106" s="171"/>
      <c r="G106" s="171"/>
      <c r="H106" s="171" t="s">
        <v>459</v>
      </c>
      <c r="I106" s="171"/>
      <c r="J106" s="176">
        <v>10281.6</v>
      </c>
    </row>
    <row r="107" spans="1:10" x14ac:dyDescent="0.25">
      <c r="A107" s="171"/>
      <c r="B107" s="171"/>
      <c r="C107" s="171"/>
      <c r="D107" s="171"/>
      <c r="E107" s="171"/>
      <c r="F107" s="171"/>
      <c r="G107" s="171"/>
      <c r="H107" s="171" t="s">
        <v>115</v>
      </c>
      <c r="I107" s="171"/>
      <c r="J107" s="176">
        <v>70656</v>
      </c>
    </row>
    <row r="108" spans="1:10" ht="15.75" thickBot="1" x14ac:dyDescent="0.3">
      <c r="A108" s="171"/>
      <c r="B108" s="171"/>
      <c r="C108" s="171"/>
      <c r="D108" s="171"/>
      <c r="E108" s="171"/>
      <c r="F108" s="171"/>
      <c r="G108" s="171"/>
      <c r="H108" s="171" t="s">
        <v>535</v>
      </c>
      <c r="I108" s="171"/>
      <c r="J108" s="220">
        <v>55065</v>
      </c>
    </row>
    <row r="109" spans="1:10" x14ac:dyDescent="0.25">
      <c r="A109" s="171"/>
      <c r="B109" s="171"/>
      <c r="C109" s="171"/>
      <c r="D109" s="171"/>
      <c r="E109" s="171"/>
      <c r="F109" s="171"/>
      <c r="G109" s="171" t="s">
        <v>116</v>
      </c>
      <c r="H109" s="171"/>
      <c r="I109" s="171"/>
      <c r="J109" s="176">
        <f>ROUND(SUM(J100:J108),5)</f>
        <v>365111.21</v>
      </c>
    </row>
    <row r="110" spans="1:10" ht="30" customHeight="1" x14ac:dyDescent="0.25">
      <c r="A110" s="171"/>
      <c r="B110" s="171"/>
      <c r="C110" s="171"/>
      <c r="D110" s="171"/>
      <c r="E110" s="171"/>
      <c r="F110" s="171"/>
      <c r="G110" s="171" t="s">
        <v>117</v>
      </c>
      <c r="H110" s="171"/>
      <c r="I110" s="171"/>
      <c r="J110" s="176"/>
    </row>
    <row r="111" spans="1:10" x14ac:dyDescent="0.25">
      <c r="A111" s="171"/>
      <c r="B111" s="171"/>
      <c r="C111" s="171"/>
      <c r="D111" s="171"/>
      <c r="E111" s="171"/>
      <c r="F111" s="171"/>
      <c r="G111" s="171"/>
      <c r="H111" s="171" t="s">
        <v>118</v>
      </c>
      <c r="I111" s="171"/>
      <c r="J111" s="176">
        <v>37500</v>
      </c>
    </row>
    <row r="112" spans="1:10" x14ac:dyDescent="0.25">
      <c r="A112" s="171"/>
      <c r="B112" s="171"/>
      <c r="C112" s="171"/>
      <c r="D112" s="171"/>
      <c r="E112" s="171"/>
      <c r="F112" s="171"/>
      <c r="G112" s="171"/>
      <c r="H112" s="171" t="s">
        <v>536</v>
      </c>
      <c r="I112" s="171"/>
      <c r="J112" s="176">
        <v>4500</v>
      </c>
    </row>
    <row r="113" spans="1:10" x14ac:dyDescent="0.25">
      <c r="A113" s="171"/>
      <c r="B113" s="171"/>
      <c r="C113" s="171"/>
      <c r="D113" s="171"/>
      <c r="E113" s="171"/>
      <c r="F113" s="171"/>
      <c r="G113" s="171"/>
      <c r="H113" s="171" t="s">
        <v>537</v>
      </c>
      <c r="I113" s="171"/>
      <c r="J113" s="176">
        <v>1125</v>
      </c>
    </row>
    <row r="114" spans="1:10" ht="15.75" thickBot="1" x14ac:dyDescent="0.3">
      <c r="A114" s="171"/>
      <c r="B114" s="171"/>
      <c r="C114" s="171"/>
      <c r="D114" s="171"/>
      <c r="E114" s="171"/>
      <c r="F114" s="171"/>
      <c r="G114" s="171"/>
      <c r="H114" s="171" t="s">
        <v>119</v>
      </c>
      <c r="I114" s="171"/>
      <c r="J114" s="220">
        <v>30000</v>
      </c>
    </row>
    <row r="115" spans="1:10" x14ac:dyDescent="0.25">
      <c r="A115" s="171"/>
      <c r="B115" s="171"/>
      <c r="C115" s="171"/>
      <c r="D115" s="171"/>
      <c r="E115" s="171"/>
      <c r="F115" s="171"/>
      <c r="G115" s="171" t="s">
        <v>120</v>
      </c>
      <c r="H115" s="171"/>
      <c r="I115" s="171"/>
      <c r="J115" s="176">
        <f>ROUND(SUM(J110:J114),5)</f>
        <v>73125</v>
      </c>
    </row>
    <row r="116" spans="1:10" ht="30" customHeight="1" x14ac:dyDescent="0.25">
      <c r="A116" s="171"/>
      <c r="B116" s="171"/>
      <c r="C116" s="171"/>
      <c r="D116" s="171"/>
      <c r="E116" s="171"/>
      <c r="F116" s="171"/>
      <c r="G116" s="171" t="s">
        <v>121</v>
      </c>
      <c r="H116" s="171"/>
      <c r="I116" s="171"/>
      <c r="J116" s="176"/>
    </row>
    <row r="117" spans="1:10" x14ac:dyDescent="0.25">
      <c r="A117" s="171"/>
      <c r="B117" s="171"/>
      <c r="C117" s="171"/>
      <c r="D117" s="171"/>
      <c r="E117" s="171"/>
      <c r="F117" s="171"/>
      <c r="G117" s="171"/>
      <c r="H117" s="171" t="s">
        <v>538</v>
      </c>
      <c r="I117" s="171"/>
      <c r="J117" s="176">
        <v>-2455.4499999999998</v>
      </c>
    </row>
    <row r="118" spans="1:10" ht="15.75" thickBot="1" x14ac:dyDescent="0.3">
      <c r="A118" s="171"/>
      <c r="B118" s="171"/>
      <c r="C118" s="171"/>
      <c r="D118" s="171"/>
      <c r="E118" s="171"/>
      <c r="F118" s="171"/>
      <c r="G118" s="171"/>
      <c r="H118" s="171" t="s">
        <v>460</v>
      </c>
      <c r="I118" s="171"/>
      <c r="J118" s="220">
        <v>7154.49</v>
      </c>
    </row>
    <row r="119" spans="1:10" x14ac:dyDescent="0.25">
      <c r="A119" s="171"/>
      <c r="B119" s="171"/>
      <c r="C119" s="171"/>
      <c r="D119" s="171"/>
      <c r="E119" s="171"/>
      <c r="F119" s="171"/>
      <c r="G119" s="171" t="s">
        <v>122</v>
      </c>
      <c r="H119" s="171"/>
      <c r="I119" s="171"/>
      <c r="J119" s="176">
        <f>ROUND(SUM(J116:J118),5)</f>
        <v>4699.04</v>
      </c>
    </row>
    <row r="120" spans="1:10" ht="30" customHeight="1" x14ac:dyDescent="0.25">
      <c r="A120" s="171"/>
      <c r="B120" s="171"/>
      <c r="C120" s="171"/>
      <c r="D120" s="171"/>
      <c r="E120" s="171"/>
      <c r="F120" s="171"/>
      <c r="G120" s="171" t="s">
        <v>123</v>
      </c>
      <c r="H120" s="171"/>
      <c r="I120" s="171"/>
      <c r="J120" s="176"/>
    </row>
    <row r="121" spans="1:10" ht="15.75" thickBot="1" x14ac:dyDescent="0.3">
      <c r="A121" s="171"/>
      <c r="B121" s="171"/>
      <c r="C121" s="171"/>
      <c r="D121" s="171"/>
      <c r="E121" s="171"/>
      <c r="F121" s="171"/>
      <c r="G121" s="171"/>
      <c r="H121" s="171" t="s">
        <v>462</v>
      </c>
      <c r="I121" s="171"/>
      <c r="J121" s="220">
        <v>2850</v>
      </c>
    </row>
    <row r="122" spans="1:10" x14ac:dyDescent="0.25">
      <c r="A122" s="171"/>
      <c r="B122" s="171"/>
      <c r="C122" s="171"/>
      <c r="D122" s="171"/>
      <c r="E122" s="171"/>
      <c r="F122" s="171"/>
      <c r="G122" s="171" t="s">
        <v>125</v>
      </c>
      <c r="H122" s="171"/>
      <c r="I122" s="171"/>
      <c r="J122" s="176">
        <f>ROUND(SUM(J120:J121),5)</f>
        <v>2850</v>
      </c>
    </row>
    <row r="123" spans="1:10" ht="30" customHeight="1" x14ac:dyDescent="0.25">
      <c r="A123" s="171"/>
      <c r="B123" s="171"/>
      <c r="C123" s="171"/>
      <c r="D123" s="171"/>
      <c r="E123" s="171"/>
      <c r="F123" s="171"/>
      <c r="G123" s="171" t="s">
        <v>126</v>
      </c>
      <c r="H123" s="171"/>
      <c r="I123" s="171"/>
      <c r="J123" s="176"/>
    </row>
    <row r="124" spans="1:10" x14ac:dyDescent="0.25">
      <c r="A124" s="171"/>
      <c r="B124" s="171"/>
      <c r="C124" s="171"/>
      <c r="D124" s="171"/>
      <c r="E124" s="171"/>
      <c r="F124" s="171"/>
      <c r="G124" s="171"/>
      <c r="H124" s="171" t="s">
        <v>127</v>
      </c>
      <c r="I124" s="171"/>
      <c r="J124" s="176">
        <v>12354</v>
      </c>
    </row>
    <row r="125" spans="1:10" x14ac:dyDescent="0.25">
      <c r="A125" s="171"/>
      <c r="B125" s="171"/>
      <c r="C125" s="171"/>
      <c r="D125" s="171"/>
      <c r="E125" s="171"/>
      <c r="F125" s="171"/>
      <c r="G125" s="171"/>
      <c r="H125" s="171" t="s">
        <v>128</v>
      </c>
      <c r="I125" s="171"/>
      <c r="J125" s="176">
        <v>47412</v>
      </c>
    </row>
    <row r="126" spans="1:10" ht="15.75" thickBot="1" x14ac:dyDescent="0.3">
      <c r="A126" s="171"/>
      <c r="B126" s="171"/>
      <c r="C126" s="171"/>
      <c r="D126" s="171"/>
      <c r="E126" s="171"/>
      <c r="F126" s="171"/>
      <c r="G126" s="171"/>
      <c r="H126" s="171" t="s">
        <v>129</v>
      </c>
      <c r="I126" s="171"/>
      <c r="J126" s="220">
        <v>9504</v>
      </c>
    </row>
    <row r="127" spans="1:10" x14ac:dyDescent="0.25">
      <c r="A127" s="171"/>
      <c r="B127" s="171"/>
      <c r="C127" s="171"/>
      <c r="D127" s="171"/>
      <c r="E127" s="171"/>
      <c r="F127" s="171"/>
      <c r="G127" s="171" t="s">
        <v>130</v>
      </c>
      <c r="H127" s="171"/>
      <c r="I127" s="171"/>
      <c r="J127" s="176">
        <f>ROUND(SUM(J123:J126),5)</f>
        <v>69270</v>
      </c>
    </row>
    <row r="128" spans="1:10" ht="30" customHeight="1" x14ac:dyDescent="0.25">
      <c r="A128" s="171"/>
      <c r="B128" s="171"/>
      <c r="C128" s="171"/>
      <c r="D128" s="171"/>
      <c r="E128" s="171"/>
      <c r="F128" s="171"/>
      <c r="G128" s="171" t="s">
        <v>131</v>
      </c>
      <c r="H128" s="171"/>
      <c r="I128" s="171"/>
      <c r="J128" s="176"/>
    </row>
    <row r="129" spans="1:10" ht="15.75" thickBot="1" x14ac:dyDescent="0.3">
      <c r="A129" s="171"/>
      <c r="B129" s="171"/>
      <c r="C129" s="171"/>
      <c r="D129" s="171"/>
      <c r="E129" s="171"/>
      <c r="F129" s="171"/>
      <c r="G129" s="171"/>
      <c r="H129" s="171" t="s">
        <v>132</v>
      </c>
      <c r="I129" s="171"/>
      <c r="J129" s="220">
        <v>500</v>
      </c>
    </row>
    <row r="130" spans="1:10" x14ac:dyDescent="0.25">
      <c r="A130" s="171"/>
      <c r="B130" s="171"/>
      <c r="C130" s="171"/>
      <c r="D130" s="171"/>
      <c r="E130" s="171"/>
      <c r="F130" s="171"/>
      <c r="G130" s="171" t="s">
        <v>133</v>
      </c>
      <c r="H130" s="171"/>
      <c r="I130" s="171"/>
      <c r="J130" s="176">
        <f>ROUND(SUM(J128:J129),5)</f>
        <v>500</v>
      </c>
    </row>
    <row r="131" spans="1:10" ht="30" customHeight="1" thickBot="1" x14ac:dyDescent="0.3">
      <c r="A131" s="171"/>
      <c r="B131" s="171"/>
      <c r="C131" s="171"/>
      <c r="D131" s="171"/>
      <c r="E131" s="171"/>
      <c r="F131" s="171"/>
      <c r="G131" s="171" t="s">
        <v>681</v>
      </c>
      <c r="H131" s="171"/>
      <c r="I131" s="171"/>
      <c r="J131" s="220">
        <v>1710</v>
      </c>
    </row>
    <row r="132" spans="1:10" x14ac:dyDescent="0.25">
      <c r="A132" s="171"/>
      <c r="B132" s="171"/>
      <c r="C132" s="171"/>
      <c r="D132" s="171"/>
      <c r="E132" s="171"/>
      <c r="F132" s="171" t="s">
        <v>134</v>
      </c>
      <c r="G132" s="171"/>
      <c r="H132" s="171"/>
      <c r="I132" s="171"/>
      <c r="J132" s="176">
        <f>ROUND(J99+J109+J115+J119+J122+J127+SUM(J130:J131),5)</f>
        <v>517265.25</v>
      </c>
    </row>
    <row r="133" spans="1:10" ht="30" customHeight="1" x14ac:dyDescent="0.25">
      <c r="A133" s="171"/>
      <c r="B133" s="171"/>
      <c r="C133" s="171"/>
      <c r="D133" s="171"/>
      <c r="E133" s="171"/>
      <c r="F133" s="171" t="s">
        <v>135</v>
      </c>
      <c r="G133" s="171"/>
      <c r="H133" s="171"/>
      <c r="I133" s="171"/>
      <c r="J133" s="176"/>
    </row>
    <row r="134" spans="1:10" x14ac:dyDescent="0.25">
      <c r="A134" s="171"/>
      <c r="B134" s="171"/>
      <c r="C134" s="171"/>
      <c r="D134" s="171"/>
      <c r="E134" s="171"/>
      <c r="F134" s="171"/>
      <c r="G134" s="171" t="s">
        <v>192</v>
      </c>
      <c r="H134" s="171"/>
      <c r="I134" s="171"/>
      <c r="J134" s="176"/>
    </row>
    <row r="135" spans="1:10" x14ac:dyDescent="0.25">
      <c r="A135" s="171"/>
      <c r="B135" s="171"/>
      <c r="C135" s="171"/>
      <c r="D135" s="171"/>
      <c r="E135" s="171"/>
      <c r="F135" s="171"/>
      <c r="G135" s="171"/>
      <c r="H135" s="171" t="s">
        <v>193</v>
      </c>
      <c r="I135" s="171"/>
      <c r="J135" s="176">
        <v>8300</v>
      </c>
    </row>
    <row r="136" spans="1:10" ht="15.75" thickBot="1" x14ac:dyDescent="0.3">
      <c r="A136" s="171"/>
      <c r="B136" s="171"/>
      <c r="C136" s="171"/>
      <c r="D136" s="171"/>
      <c r="E136" s="171"/>
      <c r="F136" s="171"/>
      <c r="G136" s="171"/>
      <c r="H136" s="171" t="s">
        <v>544</v>
      </c>
      <c r="I136" s="171"/>
      <c r="J136" s="220">
        <v>14369</v>
      </c>
    </row>
    <row r="137" spans="1:10" x14ac:dyDescent="0.25">
      <c r="A137" s="171"/>
      <c r="B137" s="171"/>
      <c r="C137" s="171"/>
      <c r="D137" s="171"/>
      <c r="E137" s="171"/>
      <c r="F137" s="171"/>
      <c r="G137" s="171" t="s">
        <v>194</v>
      </c>
      <c r="H137" s="171"/>
      <c r="I137" s="171"/>
      <c r="J137" s="176">
        <f>ROUND(SUM(J134:J136),5)</f>
        <v>22669</v>
      </c>
    </row>
    <row r="138" spans="1:10" ht="30" customHeight="1" x14ac:dyDescent="0.25">
      <c r="A138" s="171"/>
      <c r="B138" s="171"/>
      <c r="C138" s="171"/>
      <c r="D138" s="171"/>
      <c r="E138" s="171"/>
      <c r="F138" s="171"/>
      <c r="G138" s="171" t="s">
        <v>195</v>
      </c>
      <c r="H138" s="171"/>
      <c r="I138" s="171"/>
      <c r="J138" s="176"/>
    </row>
    <row r="139" spans="1:10" x14ac:dyDescent="0.25">
      <c r="A139" s="171"/>
      <c r="B139" s="171"/>
      <c r="C139" s="171"/>
      <c r="D139" s="171"/>
      <c r="E139" s="171"/>
      <c r="F139" s="171"/>
      <c r="G139" s="171"/>
      <c r="H139" s="171" t="s">
        <v>136</v>
      </c>
      <c r="I139" s="171"/>
      <c r="J139" s="176">
        <v>2400</v>
      </c>
    </row>
    <row r="140" spans="1:10" ht="15.75" thickBot="1" x14ac:dyDescent="0.3">
      <c r="A140" s="171"/>
      <c r="B140" s="171"/>
      <c r="C140" s="171"/>
      <c r="D140" s="171"/>
      <c r="E140" s="171"/>
      <c r="F140" s="171"/>
      <c r="G140" s="171"/>
      <c r="H140" s="171" t="s">
        <v>137</v>
      </c>
      <c r="I140" s="171"/>
      <c r="J140" s="8">
        <v>45201</v>
      </c>
    </row>
    <row r="141" spans="1:10" ht="15.75" thickBot="1" x14ac:dyDescent="0.3">
      <c r="A141" s="171"/>
      <c r="B141" s="171"/>
      <c r="C141" s="171"/>
      <c r="D141" s="171"/>
      <c r="E141" s="171"/>
      <c r="F141" s="171"/>
      <c r="G141" s="171" t="s">
        <v>196</v>
      </c>
      <c r="H141" s="171"/>
      <c r="I141" s="171"/>
      <c r="J141" s="10">
        <f>ROUND(SUM(J138:J140),5)</f>
        <v>47601</v>
      </c>
    </row>
    <row r="142" spans="1:10" ht="30" customHeight="1" x14ac:dyDescent="0.25">
      <c r="A142" s="171"/>
      <c r="B142" s="171"/>
      <c r="C142" s="171"/>
      <c r="D142" s="171"/>
      <c r="E142" s="171"/>
      <c r="F142" s="171" t="s">
        <v>138</v>
      </c>
      <c r="G142" s="171"/>
      <c r="H142" s="171"/>
      <c r="I142" s="171"/>
      <c r="J142" s="176">
        <f>ROUND(J133+J137+J141,5)</f>
        <v>70270</v>
      </c>
    </row>
    <row r="143" spans="1:10" ht="30" customHeight="1" x14ac:dyDescent="0.25">
      <c r="A143" s="171"/>
      <c r="B143" s="171"/>
      <c r="C143" s="171"/>
      <c r="D143" s="171"/>
      <c r="E143" s="171"/>
      <c r="F143" s="171" t="s">
        <v>206</v>
      </c>
      <c r="G143" s="171"/>
      <c r="H143" s="171"/>
      <c r="I143" s="171"/>
      <c r="J143" s="176"/>
    </row>
    <row r="144" spans="1:10" x14ac:dyDescent="0.25">
      <c r="A144" s="171"/>
      <c r="B144" s="171"/>
      <c r="C144" s="171"/>
      <c r="D144" s="171"/>
      <c r="E144" s="171"/>
      <c r="F144" s="171"/>
      <c r="G144" s="171" t="s">
        <v>184</v>
      </c>
      <c r="H144" s="171"/>
      <c r="I144" s="171"/>
      <c r="J144" s="176"/>
    </row>
    <row r="145" spans="1:10" x14ac:dyDescent="0.25">
      <c r="A145" s="171"/>
      <c r="B145" s="171"/>
      <c r="C145" s="171"/>
      <c r="D145" s="171"/>
      <c r="E145" s="171"/>
      <c r="F145" s="171"/>
      <c r="G145" s="171"/>
      <c r="H145" s="171" t="s">
        <v>464</v>
      </c>
      <c r="I145" s="171"/>
      <c r="J145" s="176">
        <v>60078</v>
      </c>
    </row>
    <row r="146" spans="1:10" x14ac:dyDescent="0.25">
      <c r="A146" s="171"/>
      <c r="B146" s="171"/>
      <c r="C146" s="171"/>
      <c r="D146" s="171"/>
      <c r="E146" s="171"/>
      <c r="F146" s="171"/>
      <c r="G146" s="171"/>
      <c r="H146" s="171" t="s">
        <v>185</v>
      </c>
      <c r="I146" s="171"/>
      <c r="J146" s="176"/>
    </row>
    <row r="147" spans="1:10" x14ac:dyDescent="0.25">
      <c r="A147" s="171"/>
      <c r="B147" s="171"/>
      <c r="C147" s="171"/>
      <c r="D147" s="171"/>
      <c r="E147" s="171"/>
      <c r="F147" s="171"/>
      <c r="G147" s="171"/>
      <c r="H147" s="171"/>
      <c r="I147" s="171" t="s">
        <v>262</v>
      </c>
      <c r="J147" s="176">
        <v>37997</v>
      </c>
    </row>
    <row r="148" spans="1:10" ht="15.75" thickBot="1" x14ac:dyDescent="0.3">
      <c r="A148" s="171"/>
      <c r="B148" s="171"/>
      <c r="C148" s="171"/>
      <c r="D148" s="171"/>
      <c r="E148" s="171"/>
      <c r="F148" s="171"/>
      <c r="G148" s="171"/>
      <c r="H148" s="171"/>
      <c r="I148" s="171" t="s">
        <v>552</v>
      </c>
      <c r="J148" s="220">
        <v>590</v>
      </c>
    </row>
    <row r="149" spans="1:10" x14ac:dyDescent="0.25">
      <c r="A149" s="171"/>
      <c r="B149" s="171"/>
      <c r="C149" s="171"/>
      <c r="D149" s="171"/>
      <c r="E149" s="171"/>
      <c r="F149" s="171"/>
      <c r="G149" s="171"/>
      <c r="H149" s="171" t="s">
        <v>263</v>
      </c>
      <c r="I149" s="171"/>
      <c r="J149" s="176">
        <f>ROUND(SUM(J146:J148),5)</f>
        <v>38587</v>
      </c>
    </row>
    <row r="150" spans="1:10" ht="30" customHeight="1" thickBot="1" x14ac:dyDescent="0.3">
      <c r="A150" s="171"/>
      <c r="B150" s="171"/>
      <c r="C150" s="171"/>
      <c r="D150" s="171"/>
      <c r="E150" s="171"/>
      <c r="F150" s="171"/>
      <c r="G150" s="171"/>
      <c r="H150" s="171" t="s">
        <v>553</v>
      </c>
      <c r="I150" s="171"/>
      <c r="J150" s="220">
        <v>-470.57</v>
      </c>
    </row>
    <row r="151" spans="1:10" x14ac:dyDescent="0.25">
      <c r="A151" s="171"/>
      <c r="B151" s="171"/>
      <c r="C151" s="171"/>
      <c r="D151" s="171"/>
      <c r="E151" s="171"/>
      <c r="F151" s="171"/>
      <c r="G151" s="171" t="s">
        <v>186</v>
      </c>
      <c r="H151" s="171"/>
      <c r="I151" s="171"/>
      <c r="J151" s="176">
        <f>ROUND(SUM(J144:J145)+SUM(J149:J150),5)</f>
        <v>98194.43</v>
      </c>
    </row>
    <row r="152" spans="1:10" ht="30" customHeight="1" x14ac:dyDescent="0.25">
      <c r="A152" s="171"/>
      <c r="B152" s="171"/>
      <c r="C152" s="171"/>
      <c r="D152" s="171"/>
      <c r="E152" s="171"/>
      <c r="F152" s="171"/>
      <c r="G152" s="171" t="s">
        <v>207</v>
      </c>
      <c r="H152" s="171"/>
      <c r="I152" s="171"/>
      <c r="J152" s="176"/>
    </row>
    <row r="153" spans="1:10" x14ac:dyDescent="0.25">
      <c r="A153" s="171"/>
      <c r="B153" s="171"/>
      <c r="C153" s="171"/>
      <c r="D153" s="171"/>
      <c r="E153" s="171"/>
      <c r="F153" s="171"/>
      <c r="G153" s="171"/>
      <c r="H153" s="171" t="s">
        <v>211</v>
      </c>
      <c r="I153" s="171"/>
      <c r="J153" s="176">
        <v>81000</v>
      </c>
    </row>
    <row r="154" spans="1:10" x14ac:dyDescent="0.25">
      <c r="A154" s="171"/>
      <c r="B154" s="171"/>
      <c r="C154" s="171"/>
      <c r="D154" s="171"/>
      <c r="E154" s="171"/>
      <c r="F154" s="171"/>
      <c r="G154" s="171"/>
      <c r="H154" s="171" t="s">
        <v>554</v>
      </c>
      <c r="I154" s="171"/>
      <c r="J154" s="176">
        <v>4800</v>
      </c>
    </row>
    <row r="155" spans="1:10" ht="15.75" thickBot="1" x14ac:dyDescent="0.3">
      <c r="A155" s="171"/>
      <c r="B155" s="171"/>
      <c r="C155" s="171"/>
      <c r="D155" s="171"/>
      <c r="E155" s="171"/>
      <c r="F155" s="171"/>
      <c r="G155" s="171"/>
      <c r="H155" s="171" t="s">
        <v>555</v>
      </c>
      <c r="I155" s="171"/>
      <c r="J155" s="220">
        <v>1200</v>
      </c>
    </row>
    <row r="156" spans="1:10" x14ac:dyDescent="0.25">
      <c r="A156" s="171"/>
      <c r="B156" s="171"/>
      <c r="C156" s="171"/>
      <c r="D156" s="171"/>
      <c r="E156" s="171"/>
      <c r="F156" s="171"/>
      <c r="G156" s="171" t="s">
        <v>208</v>
      </c>
      <c r="H156" s="171"/>
      <c r="I156" s="171"/>
      <c r="J156" s="176">
        <f>ROUND(SUM(J152:J155),5)</f>
        <v>87000</v>
      </c>
    </row>
    <row r="157" spans="1:10" ht="30" customHeight="1" x14ac:dyDescent="0.25">
      <c r="A157" s="171"/>
      <c r="B157" s="171"/>
      <c r="C157" s="171"/>
      <c r="D157" s="171"/>
      <c r="E157" s="171"/>
      <c r="F157" s="171"/>
      <c r="G157" s="171" t="s">
        <v>187</v>
      </c>
      <c r="H157" s="171"/>
      <c r="I157" s="171"/>
      <c r="J157" s="176"/>
    </row>
    <row r="158" spans="1:10" x14ac:dyDescent="0.25">
      <c r="A158" s="171"/>
      <c r="B158" s="171"/>
      <c r="C158" s="171"/>
      <c r="D158" s="171"/>
      <c r="E158" s="171"/>
      <c r="F158" s="171"/>
      <c r="G158" s="171"/>
      <c r="H158" s="171" t="s">
        <v>651</v>
      </c>
      <c r="I158" s="171"/>
      <c r="J158" s="176">
        <v>450</v>
      </c>
    </row>
    <row r="159" spans="1:10" x14ac:dyDescent="0.25">
      <c r="A159" s="171"/>
      <c r="B159" s="171"/>
      <c r="C159" s="171"/>
      <c r="D159" s="171"/>
      <c r="E159" s="171"/>
      <c r="F159" s="171"/>
      <c r="G159" s="171"/>
      <c r="H159" s="171" t="s">
        <v>556</v>
      </c>
      <c r="I159" s="171"/>
      <c r="J159" s="176">
        <v>1675</v>
      </c>
    </row>
    <row r="160" spans="1:10" ht="15.75" thickBot="1" x14ac:dyDescent="0.3">
      <c r="A160" s="171"/>
      <c r="B160" s="171"/>
      <c r="C160" s="171"/>
      <c r="D160" s="171"/>
      <c r="E160" s="171"/>
      <c r="F160" s="171"/>
      <c r="G160" s="171"/>
      <c r="H160" s="171" t="s">
        <v>209</v>
      </c>
      <c r="I160" s="171"/>
      <c r="J160" s="8">
        <v>45000</v>
      </c>
    </row>
    <row r="161" spans="1:10" ht="15.75" thickBot="1" x14ac:dyDescent="0.3">
      <c r="A161" s="171"/>
      <c r="B161" s="171"/>
      <c r="C161" s="171"/>
      <c r="D161" s="171"/>
      <c r="E161" s="171"/>
      <c r="F161" s="171"/>
      <c r="G161" s="171" t="s">
        <v>188</v>
      </c>
      <c r="H161" s="171"/>
      <c r="I161" s="171"/>
      <c r="J161" s="10">
        <f>ROUND(SUM(J157:J160),5)</f>
        <v>47125</v>
      </c>
    </row>
    <row r="162" spans="1:10" ht="30" customHeight="1" x14ac:dyDescent="0.25">
      <c r="A162" s="171"/>
      <c r="B162" s="171"/>
      <c r="C162" s="171"/>
      <c r="D162" s="171"/>
      <c r="E162" s="171"/>
      <c r="F162" s="322" t="s">
        <v>210</v>
      </c>
      <c r="G162" s="322"/>
      <c r="H162" s="322"/>
      <c r="I162" s="322"/>
      <c r="J162" s="323">
        <f>ROUND(J143+J151+J156+J161,5)</f>
        <v>232319.43</v>
      </c>
    </row>
    <row r="163" spans="1:10" ht="30" customHeight="1" x14ac:dyDescent="0.25">
      <c r="A163" s="171"/>
      <c r="B163" s="171"/>
      <c r="C163" s="171"/>
      <c r="D163" s="171"/>
      <c r="E163" s="171"/>
      <c r="F163" s="171" t="s">
        <v>465</v>
      </c>
      <c r="G163" s="171"/>
      <c r="H163" s="171"/>
      <c r="I163" s="171"/>
      <c r="J163" s="176"/>
    </row>
    <row r="164" spans="1:10" ht="15.75" thickBot="1" x14ac:dyDescent="0.3">
      <c r="A164" s="171"/>
      <c r="B164" s="171"/>
      <c r="C164" s="171"/>
      <c r="D164" s="171"/>
      <c r="E164" s="171"/>
      <c r="F164" s="171"/>
      <c r="G164" s="171" t="s">
        <v>483</v>
      </c>
      <c r="H164" s="171"/>
      <c r="I164" s="171"/>
      <c r="J164" s="220">
        <v>1127.5</v>
      </c>
    </row>
    <row r="165" spans="1:10" x14ac:dyDescent="0.25">
      <c r="A165" s="171"/>
      <c r="B165" s="171"/>
      <c r="C165" s="171"/>
      <c r="D165" s="171"/>
      <c r="E165" s="171"/>
      <c r="F165" s="171" t="s">
        <v>467</v>
      </c>
      <c r="G165" s="171"/>
      <c r="H165" s="171"/>
      <c r="I165" s="171"/>
      <c r="J165" s="176">
        <f>ROUND(SUM(J163:J164),5)</f>
        <v>1127.5</v>
      </c>
    </row>
    <row r="166" spans="1:10" ht="30" customHeight="1" x14ac:dyDescent="0.25">
      <c r="A166" s="171"/>
      <c r="B166" s="171"/>
      <c r="C166" s="171"/>
      <c r="D166" s="171"/>
      <c r="E166" s="171"/>
      <c r="F166" s="171" t="s">
        <v>139</v>
      </c>
      <c r="G166" s="171"/>
      <c r="H166" s="171"/>
      <c r="I166" s="171"/>
      <c r="J166" s="176"/>
    </row>
    <row r="167" spans="1:10" x14ac:dyDescent="0.25">
      <c r="A167" s="171"/>
      <c r="B167" s="171"/>
      <c r="C167" s="171"/>
      <c r="D167" s="171"/>
      <c r="E167" s="171"/>
      <c r="F167" s="171"/>
      <c r="G167" s="171" t="s">
        <v>468</v>
      </c>
      <c r="H167" s="171"/>
      <c r="I167" s="171"/>
      <c r="J167" s="176"/>
    </row>
    <row r="168" spans="1:10" x14ac:dyDescent="0.25">
      <c r="A168" s="171"/>
      <c r="B168" s="171"/>
      <c r="C168" s="171"/>
      <c r="D168" s="171"/>
      <c r="E168" s="171"/>
      <c r="F168" s="171"/>
      <c r="G168" s="171"/>
      <c r="H168" s="171" t="s">
        <v>747</v>
      </c>
      <c r="I168" s="171"/>
      <c r="J168" s="176">
        <v>0</v>
      </c>
    </row>
    <row r="169" spans="1:10" x14ac:dyDescent="0.25">
      <c r="A169" s="171"/>
      <c r="B169" s="171"/>
      <c r="C169" s="171"/>
      <c r="D169" s="171"/>
      <c r="E169" s="171"/>
      <c r="F169" s="171"/>
      <c r="G169" s="171"/>
      <c r="H169" s="171" t="s">
        <v>649</v>
      </c>
      <c r="I169" s="171"/>
      <c r="J169" s="176">
        <v>24000</v>
      </c>
    </row>
    <row r="170" spans="1:10" x14ac:dyDescent="0.25">
      <c r="A170" s="171"/>
      <c r="B170" s="171"/>
      <c r="C170" s="171"/>
      <c r="D170" s="171"/>
      <c r="E170" s="171"/>
      <c r="F170" s="171"/>
      <c r="G170" s="171"/>
      <c r="H170" s="171" t="s">
        <v>650</v>
      </c>
      <c r="I170" s="171"/>
      <c r="J170" s="176">
        <v>6000</v>
      </c>
    </row>
    <row r="171" spans="1:10" ht="15.75" thickBot="1" x14ac:dyDescent="0.3">
      <c r="A171" s="171"/>
      <c r="B171" s="171"/>
      <c r="C171" s="171"/>
      <c r="D171" s="171"/>
      <c r="E171" s="171"/>
      <c r="F171" s="171"/>
      <c r="G171" s="171"/>
      <c r="H171" s="171" t="s">
        <v>140</v>
      </c>
      <c r="I171" s="171"/>
      <c r="J171" s="220">
        <v>350000</v>
      </c>
    </row>
    <row r="172" spans="1:10" x14ac:dyDescent="0.25">
      <c r="A172" s="171"/>
      <c r="B172" s="171"/>
      <c r="C172" s="171"/>
      <c r="D172" s="171"/>
      <c r="E172" s="171"/>
      <c r="F172" s="171"/>
      <c r="G172" s="171" t="s">
        <v>469</v>
      </c>
      <c r="H172" s="171"/>
      <c r="I172" s="171"/>
      <c r="J172" s="176">
        <f>ROUND(SUM(J167:J171),5)</f>
        <v>380000</v>
      </c>
    </row>
    <row r="173" spans="1:10" ht="30" customHeight="1" x14ac:dyDescent="0.25">
      <c r="A173" s="171"/>
      <c r="B173" s="171"/>
      <c r="C173" s="171"/>
      <c r="D173" s="171"/>
      <c r="E173" s="171"/>
      <c r="F173" s="171"/>
      <c r="G173" s="171" t="s">
        <v>141</v>
      </c>
      <c r="H173" s="171"/>
      <c r="I173" s="171"/>
      <c r="J173" s="176"/>
    </row>
    <row r="174" spans="1:10" x14ac:dyDescent="0.25">
      <c r="A174" s="171"/>
      <c r="B174" s="171"/>
      <c r="C174" s="171"/>
      <c r="D174" s="171"/>
      <c r="E174" s="171"/>
      <c r="F174" s="171"/>
      <c r="G174" s="171"/>
      <c r="H174" s="171" t="s">
        <v>142</v>
      </c>
      <c r="I174" s="171"/>
      <c r="J174" s="176">
        <v>244373</v>
      </c>
    </row>
    <row r="175" spans="1:10" x14ac:dyDescent="0.25">
      <c r="A175" s="171"/>
      <c r="B175" s="171"/>
      <c r="C175" s="171"/>
      <c r="D175" s="171"/>
      <c r="E175" s="171"/>
      <c r="F175" s="171"/>
      <c r="G175" s="171"/>
      <c r="H175" s="171" t="s">
        <v>143</v>
      </c>
      <c r="I175" s="171"/>
      <c r="J175" s="176"/>
    </row>
    <row r="176" spans="1:10" x14ac:dyDescent="0.25">
      <c r="A176" s="171"/>
      <c r="B176" s="171"/>
      <c r="C176" s="171"/>
      <c r="D176" s="171"/>
      <c r="E176" s="171"/>
      <c r="F176" s="171"/>
      <c r="G176" s="171"/>
      <c r="H176" s="171" t="s">
        <v>470</v>
      </c>
      <c r="I176" s="171"/>
      <c r="J176" s="176">
        <v>8600</v>
      </c>
    </row>
    <row r="177" spans="1:10" x14ac:dyDescent="0.25">
      <c r="A177" s="171"/>
      <c r="B177" s="171"/>
      <c r="C177" s="171"/>
      <c r="D177" s="171"/>
      <c r="E177" s="171"/>
      <c r="F177" s="171"/>
      <c r="G177" s="171"/>
      <c r="H177" s="171" t="s">
        <v>580</v>
      </c>
      <c r="I177" s="171"/>
      <c r="J177" s="176">
        <v>5550</v>
      </c>
    </row>
    <row r="178" spans="1:10" x14ac:dyDescent="0.25">
      <c r="A178" s="171"/>
      <c r="B178" s="171"/>
      <c r="C178" s="171"/>
      <c r="D178" s="171"/>
      <c r="E178" s="171"/>
      <c r="F178" s="171"/>
      <c r="G178" s="171"/>
      <c r="H178" s="171" t="s">
        <v>144</v>
      </c>
      <c r="I178" s="171"/>
      <c r="J178" s="176"/>
    </row>
    <row r="179" spans="1:10" x14ac:dyDescent="0.25">
      <c r="A179" s="171"/>
      <c r="B179" s="171"/>
      <c r="C179" s="171"/>
      <c r="D179" s="171"/>
      <c r="E179" s="171"/>
      <c r="F179" s="171"/>
      <c r="G179" s="171"/>
      <c r="H179" s="171" t="s">
        <v>145</v>
      </c>
      <c r="I179" s="171"/>
      <c r="J179" s="176"/>
    </row>
    <row r="180" spans="1:10" x14ac:dyDescent="0.25">
      <c r="A180" s="171"/>
      <c r="B180" s="171"/>
      <c r="C180" s="171"/>
      <c r="D180" s="171"/>
      <c r="E180" s="171"/>
      <c r="F180" s="171"/>
      <c r="G180" s="171"/>
      <c r="H180" s="171" t="s">
        <v>146</v>
      </c>
      <c r="I180" s="171"/>
      <c r="J180" s="176"/>
    </row>
    <row r="181" spans="1:10" x14ac:dyDescent="0.25">
      <c r="A181" s="171"/>
      <c r="B181" s="171"/>
      <c r="C181" s="171"/>
      <c r="D181" s="171"/>
      <c r="E181" s="171"/>
      <c r="F181" s="171"/>
      <c r="G181" s="171"/>
      <c r="H181" s="171" t="s">
        <v>582</v>
      </c>
      <c r="I181" s="171"/>
      <c r="J181" s="176">
        <v>88642</v>
      </c>
    </row>
    <row r="182" spans="1:10" ht="15.75" thickBot="1" x14ac:dyDescent="0.3">
      <c r="A182" s="171"/>
      <c r="B182" s="171"/>
      <c r="C182" s="171"/>
      <c r="D182" s="171"/>
      <c r="E182" s="171"/>
      <c r="F182" s="171"/>
      <c r="G182" s="171"/>
      <c r="H182" s="171" t="s">
        <v>147</v>
      </c>
      <c r="I182" s="171"/>
      <c r="J182" s="220"/>
    </row>
    <row r="183" spans="1:10" x14ac:dyDescent="0.25">
      <c r="A183" s="171"/>
      <c r="B183" s="171"/>
      <c r="C183" s="171"/>
      <c r="D183" s="171"/>
      <c r="E183" s="171"/>
      <c r="F183" s="171"/>
      <c r="G183" s="171" t="s">
        <v>148</v>
      </c>
      <c r="H183" s="171"/>
      <c r="I183" s="171"/>
      <c r="J183" s="176">
        <f>ROUND(SUM(J173:J182),5)</f>
        <v>347165</v>
      </c>
    </row>
    <row r="184" spans="1:10" ht="30" customHeight="1" x14ac:dyDescent="0.25">
      <c r="A184" s="171"/>
      <c r="B184" s="171"/>
      <c r="C184" s="171"/>
      <c r="D184" s="171"/>
      <c r="E184" s="171"/>
      <c r="F184" s="171"/>
      <c r="G184" s="171" t="s">
        <v>149</v>
      </c>
      <c r="H184" s="171"/>
      <c r="I184" s="171"/>
      <c r="J184" s="176"/>
    </row>
    <row r="185" spans="1:10" x14ac:dyDescent="0.25">
      <c r="A185" s="171"/>
      <c r="B185" s="171"/>
      <c r="C185" s="171"/>
      <c r="D185" s="171"/>
      <c r="E185" s="171"/>
      <c r="F185" s="171"/>
      <c r="G185" s="171"/>
      <c r="H185" s="171" t="s">
        <v>584</v>
      </c>
      <c r="I185" s="171"/>
      <c r="J185" s="176">
        <v>20721.82</v>
      </c>
    </row>
    <row r="186" spans="1:10" x14ac:dyDescent="0.25">
      <c r="A186" s="171"/>
      <c r="B186" s="171"/>
      <c r="C186" s="171"/>
      <c r="D186" s="171"/>
      <c r="E186" s="171"/>
      <c r="F186" s="171"/>
      <c r="G186" s="171"/>
      <c r="H186" s="171" t="s">
        <v>150</v>
      </c>
      <c r="I186" s="171"/>
      <c r="J186" s="176">
        <v>22278.36</v>
      </c>
    </row>
    <row r="187" spans="1:10" x14ac:dyDescent="0.25">
      <c r="A187" s="171"/>
      <c r="B187" s="171"/>
      <c r="C187" s="171"/>
      <c r="D187" s="171"/>
      <c r="E187" s="171"/>
      <c r="F187" s="171"/>
      <c r="G187" s="171"/>
      <c r="H187" s="171" t="s">
        <v>151</v>
      </c>
      <c r="I187" s="171"/>
      <c r="J187" s="176">
        <v>6453.7</v>
      </c>
    </row>
    <row r="188" spans="1:10" x14ac:dyDescent="0.25">
      <c r="A188" s="171"/>
      <c r="B188" s="171"/>
      <c r="C188" s="171"/>
      <c r="D188" s="171"/>
      <c r="E188" s="171"/>
      <c r="F188" s="171"/>
      <c r="G188" s="171"/>
      <c r="H188" s="171" t="s">
        <v>152</v>
      </c>
      <c r="I188" s="171"/>
      <c r="J188" s="176">
        <v>33691.19</v>
      </c>
    </row>
    <row r="189" spans="1:10" x14ac:dyDescent="0.25">
      <c r="A189" s="171"/>
      <c r="B189" s="171"/>
      <c r="C189" s="171"/>
      <c r="D189" s="171"/>
      <c r="E189" s="171"/>
      <c r="F189" s="171"/>
      <c r="G189" s="171"/>
      <c r="H189" s="171" t="s">
        <v>472</v>
      </c>
      <c r="I189" s="171"/>
      <c r="J189" s="176">
        <v>3655.73</v>
      </c>
    </row>
    <row r="190" spans="1:10" ht="15.75" thickBot="1" x14ac:dyDescent="0.3">
      <c r="A190" s="171"/>
      <c r="B190" s="171"/>
      <c r="C190" s="171"/>
      <c r="D190" s="171"/>
      <c r="E190" s="171"/>
      <c r="F190" s="171"/>
      <c r="G190" s="171"/>
      <c r="H190" s="171" t="s">
        <v>585</v>
      </c>
      <c r="I190" s="171"/>
      <c r="J190" s="220">
        <v>3655.73</v>
      </c>
    </row>
    <row r="191" spans="1:10" x14ac:dyDescent="0.25">
      <c r="A191" s="171"/>
      <c r="B191" s="171"/>
      <c r="C191" s="171"/>
      <c r="D191" s="171"/>
      <c r="E191" s="171"/>
      <c r="F191" s="171"/>
      <c r="G191" s="171" t="s">
        <v>153</v>
      </c>
      <c r="H191" s="171"/>
      <c r="I191" s="171"/>
      <c r="J191" s="176">
        <f>ROUND(SUM(J184:J190),5)</f>
        <v>90456.53</v>
      </c>
    </row>
    <row r="192" spans="1:10" ht="30" customHeight="1" x14ac:dyDescent="0.25">
      <c r="A192" s="171"/>
      <c r="B192" s="171"/>
      <c r="C192" s="171"/>
      <c r="D192" s="171"/>
      <c r="E192" s="171"/>
      <c r="F192" s="171"/>
      <c r="G192" s="171" t="s">
        <v>154</v>
      </c>
      <c r="H192" s="171"/>
      <c r="I192" s="171"/>
      <c r="J192" s="176"/>
    </row>
    <row r="193" spans="1:10" x14ac:dyDescent="0.25">
      <c r="A193" s="171"/>
      <c r="B193" s="171"/>
      <c r="C193" s="171"/>
      <c r="D193" s="171"/>
      <c r="E193" s="171"/>
      <c r="F193" s="171"/>
      <c r="G193" s="171"/>
      <c r="H193" s="171" t="s">
        <v>155</v>
      </c>
      <c r="I193" s="171"/>
      <c r="J193" s="176"/>
    </row>
    <row r="194" spans="1:10" x14ac:dyDescent="0.25">
      <c r="A194" s="171"/>
      <c r="B194" s="171"/>
      <c r="C194" s="171"/>
      <c r="D194" s="171"/>
      <c r="E194" s="171"/>
      <c r="F194" s="171"/>
      <c r="G194" s="171"/>
      <c r="H194" s="171" t="s">
        <v>156</v>
      </c>
      <c r="I194" s="171"/>
      <c r="J194" s="176"/>
    </row>
    <row r="195" spans="1:10" x14ac:dyDescent="0.25">
      <c r="A195" s="171"/>
      <c r="B195" s="171"/>
      <c r="C195" s="171"/>
      <c r="D195" s="171"/>
      <c r="E195" s="171"/>
      <c r="F195" s="171"/>
      <c r="G195" s="171"/>
      <c r="H195" s="171" t="s">
        <v>157</v>
      </c>
      <c r="I195" s="171"/>
      <c r="J195" s="176"/>
    </row>
    <row r="196" spans="1:10" x14ac:dyDescent="0.25">
      <c r="A196" s="171"/>
      <c r="B196" s="171"/>
      <c r="C196" s="171"/>
      <c r="D196" s="171"/>
      <c r="E196" s="171"/>
      <c r="F196" s="171"/>
      <c r="G196" s="171"/>
      <c r="H196" s="171" t="s">
        <v>158</v>
      </c>
      <c r="I196" s="171"/>
      <c r="J196" s="176"/>
    </row>
    <row r="197" spans="1:10" ht="15.75" thickBot="1" x14ac:dyDescent="0.3">
      <c r="A197" s="171"/>
      <c r="B197" s="171"/>
      <c r="C197" s="171"/>
      <c r="D197" s="171"/>
      <c r="E197" s="171"/>
      <c r="F197" s="171"/>
      <c r="G197" s="171"/>
      <c r="H197" s="171" t="s">
        <v>587</v>
      </c>
      <c r="I197" s="171"/>
      <c r="J197" s="220"/>
    </row>
    <row r="198" spans="1:10" x14ac:dyDescent="0.25">
      <c r="A198" s="171"/>
      <c r="B198" s="171"/>
      <c r="C198" s="171"/>
      <c r="D198" s="171"/>
      <c r="E198" s="171"/>
      <c r="F198" s="171"/>
      <c r="G198" s="171" t="s">
        <v>159</v>
      </c>
      <c r="H198" s="171"/>
      <c r="I198" s="171"/>
      <c r="J198" s="176">
        <f>ROUND(SUM(J192:J197),5)</f>
        <v>0</v>
      </c>
    </row>
    <row r="199" spans="1:10" ht="30" customHeight="1" x14ac:dyDescent="0.25">
      <c r="A199" s="171"/>
      <c r="B199" s="171"/>
      <c r="C199" s="171"/>
      <c r="D199" s="171"/>
      <c r="E199" s="171"/>
      <c r="F199" s="171"/>
      <c r="G199" s="171" t="s">
        <v>160</v>
      </c>
      <c r="H199" s="171"/>
      <c r="I199" s="171"/>
      <c r="J199" s="176"/>
    </row>
    <row r="200" spans="1:10" x14ac:dyDescent="0.25">
      <c r="A200" s="171"/>
      <c r="B200" s="171"/>
      <c r="C200" s="171"/>
      <c r="D200" s="171"/>
      <c r="E200" s="171"/>
      <c r="F200" s="171"/>
      <c r="G200" s="171"/>
      <c r="H200" s="171" t="s">
        <v>161</v>
      </c>
      <c r="I200" s="171"/>
      <c r="J200" s="176">
        <v>83963</v>
      </c>
    </row>
    <row r="201" spans="1:10" x14ac:dyDescent="0.25">
      <c r="A201" s="171"/>
      <c r="B201" s="171"/>
      <c r="C201" s="171"/>
      <c r="D201" s="171"/>
      <c r="E201" s="171"/>
      <c r="F201" s="171"/>
      <c r="G201" s="171"/>
      <c r="H201" s="171" t="s">
        <v>693</v>
      </c>
      <c r="I201" s="171"/>
      <c r="J201" s="176">
        <v>449400</v>
      </c>
    </row>
    <row r="202" spans="1:10" x14ac:dyDescent="0.25">
      <c r="A202" s="171"/>
      <c r="B202" s="171"/>
      <c r="C202" s="171"/>
      <c r="D202" s="171"/>
      <c r="E202" s="171"/>
      <c r="F202" s="171"/>
      <c r="G202" s="171"/>
      <c r="H202" s="171" t="s">
        <v>162</v>
      </c>
      <c r="I202" s="171"/>
      <c r="J202" s="176">
        <v>71942</v>
      </c>
    </row>
    <row r="203" spans="1:10" x14ac:dyDescent="0.25">
      <c r="A203" s="171"/>
      <c r="B203" s="171"/>
      <c r="C203" s="171"/>
      <c r="D203" s="171"/>
      <c r="E203" s="171"/>
      <c r="F203" s="171"/>
      <c r="G203" s="171"/>
      <c r="H203" s="171" t="s">
        <v>748</v>
      </c>
      <c r="I203" s="171"/>
      <c r="J203" s="176">
        <v>10250</v>
      </c>
    </row>
    <row r="204" spans="1:10" x14ac:dyDescent="0.25">
      <c r="A204" s="171"/>
      <c r="B204" s="171"/>
      <c r="C204" s="171"/>
      <c r="D204" s="171"/>
      <c r="E204" s="171"/>
      <c r="F204" s="171"/>
      <c r="G204" s="171"/>
      <c r="H204" s="171" t="s">
        <v>485</v>
      </c>
      <c r="I204" s="171"/>
      <c r="J204" s="176"/>
    </row>
    <row r="205" spans="1:10" x14ac:dyDescent="0.25">
      <c r="A205" s="171"/>
      <c r="B205" s="171"/>
      <c r="C205" s="171"/>
      <c r="D205" s="171"/>
      <c r="E205" s="171"/>
      <c r="F205" s="171"/>
      <c r="G205" s="171"/>
      <c r="H205" s="171"/>
      <c r="I205" s="171" t="s">
        <v>486</v>
      </c>
      <c r="J205" s="176">
        <v>1000</v>
      </c>
    </row>
    <row r="206" spans="1:10" x14ac:dyDescent="0.25">
      <c r="A206" s="171"/>
      <c r="B206" s="171"/>
      <c r="C206" s="171"/>
      <c r="D206" s="171"/>
      <c r="E206" s="171"/>
      <c r="F206" s="171"/>
      <c r="G206" s="171"/>
      <c r="H206" s="171"/>
      <c r="I206" s="171" t="s">
        <v>487</v>
      </c>
      <c r="J206" s="176">
        <v>12000</v>
      </c>
    </row>
    <row r="207" spans="1:10" x14ac:dyDescent="0.25">
      <c r="A207" s="171"/>
      <c r="B207" s="171"/>
      <c r="C207" s="171"/>
      <c r="D207" s="171"/>
      <c r="E207" s="171"/>
      <c r="F207" s="171"/>
      <c r="G207" s="171"/>
      <c r="H207" s="171"/>
      <c r="I207" s="171" t="s">
        <v>749</v>
      </c>
      <c r="J207" s="176">
        <v>850</v>
      </c>
    </row>
    <row r="208" spans="1:10" ht="15.75" thickBot="1" x14ac:dyDescent="0.3">
      <c r="A208" s="171"/>
      <c r="B208" s="171"/>
      <c r="C208" s="171"/>
      <c r="D208" s="171"/>
      <c r="E208" s="171"/>
      <c r="F208" s="171"/>
      <c r="G208" s="171"/>
      <c r="H208" s="171"/>
      <c r="I208" s="171" t="s">
        <v>590</v>
      </c>
      <c r="J208" s="8">
        <v>3000</v>
      </c>
    </row>
    <row r="209" spans="1:10" ht="15.75" thickBot="1" x14ac:dyDescent="0.3">
      <c r="A209" s="171"/>
      <c r="B209" s="171"/>
      <c r="C209" s="171"/>
      <c r="D209" s="171"/>
      <c r="E209" s="171"/>
      <c r="F209" s="171"/>
      <c r="G209" s="171"/>
      <c r="H209" s="171" t="s">
        <v>489</v>
      </c>
      <c r="I209" s="171"/>
      <c r="J209" s="10">
        <f>ROUND(SUM(J204:J208),5)</f>
        <v>16850</v>
      </c>
    </row>
    <row r="210" spans="1:10" ht="30" customHeight="1" x14ac:dyDescent="0.25">
      <c r="A210" s="171"/>
      <c r="B210" s="171"/>
      <c r="C210" s="171"/>
      <c r="D210" s="171"/>
      <c r="E210" s="171"/>
      <c r="F210" s="171"/>
      <c r="G210" s="171" t="s">
        <v>163</v>
      </c>
      <c r="H210" s="171"/>
      <c r="I210" s="171"/>
      <c r="J210" s="176">
        <f>ROUND(SUM(J199:J203)+J209,5)</f>
        <v>632405</v>
      </c>
    </row>
    <row r="211" spans="1:10" ht="30" customHeight="1" x14ac:dyDescent="0.25">
      <c r="A211" s="171"/>
      <c r="B211" s="171"/>
      <c r="C211" s="171"/>
      <c r="D211" s="171"/>
      <c r="E211" s="171"/>
      <c r="F211" s="171"/>
      <c r="G211" s="171" t="s">
        <v>167</v>
      </c>
      <c r="H211" s="171"/>
      <c r="I211" s="171"/>
      <c r="J211" s="176"/>
    </row>
    <row r="212" spans="1:10" x14ac:dyDescent="0.25">
      <c r="A212" s="171"/>
      <c r="B212" s="171"/>
      <c r="C212" s="171"/>
      <c r="D212" s="171"/>
      <c r="E212" s="171"/>
      <c r="F212" s="171"/>
      <c r="G212" s="171"/>
      <c r="H212" s="171" t="s">
        <v>168</v>
      </c>
      <c r="I212" s="171"/>
      <c r="J212" s="176">
        <v>22761.5</v>
      </c>
    </row>
    <row r="213" spans="1:10" x14ac:dyDescent="0.25">
      <c r="A213" s="171"/>
      <c r="B213" s="171"/>
      <c r="C213" s="171"/>
      <c r="D213" s="171"/>
      <c r="E213" s="171"/>
      <c r="F213" s="171"/>
      <c r="G213" s="171"/>
      <c r="H213" s="171" t="s">
        <v>473</v>
      </c>
      <c r="I213" s="171"/>
      <c r="J213" s="176">
        <v>119491.17</v>
      </c>
    </row>
    <row r="214" spans="1:10" x14ac:dyDescent="0.25">
      <c r="A214" s="171"/>
      <c r="B214" s="171"/>
      <c r="C214" s="171"/>
      <c r="D214" s="171"/>
      <c r="E214" s="171"/>
      <c r="F214" s="171"/>
      <c r="G214" s="171"/>
      <c r="H214" s="171" t="s">
        <v>169</v>
      </c>
      <c r="I214" s="171"/>
      <c r="J214" s="176">
        <v>257797.31</v>
      </c>
    </row>
    <row r="215" spans="1:10" x14ac:dyDescent="0.25">
      <c r="A215" s="171"/>
      <c r="B215" s="171"/>
      <c r="C215" s="171"/>
      <c r="D215" s="171"/>
      <c r="E215" s="171"/>
      <c r="F215" s="171"/>
      <c r="G215" s="171"/>
      <c r="H215" s="171" t="s">
        <v>490</v>
      </c>
      <c r="I215" s="171"/>
      <c r="J215" s="176">
        <v>8057.61</v>
      </c>
    </row>
    <row r="216" spans="1:10" ht="15.75" thickBot="1" x14ac:dyDescent="0.3">
      <c r="A216" s="171"/>
      <c r="B216" s="171"/>
      <c r="C216" s="171"/>
      <c r="D216" s="171"/>
      <c r="E216" s="171"/>
      <c r="F216" s="171"/>
      <c r="G216" s="171"/>
      <c r="H216" s="171" t="s">
        <v>170</v>
      </c>
      <c r="I216" s="171"/>
      <c r="J216" s="220">
        <v>10000</v>
      </c>
    </row>
    <row r="217" spans="1:10" x14ac:dyDescent="0.25">
      <c r="A217" s="171"/>
      <c r="B217" s="171"/>
      <c r="C217" s="171"/>
      <c r="D217" s="171"/>
      <c r="E217" s="171"/>
      <c r="F217" s="171"/>
      <c r="G217" s="171" t="s">
        <v>172</v>
      </c>
      <c r="H217" s="171"/>
      <c r="I217" s="171"/>
      <c r="J217" s="176">
        <f>ROUND(SUM(J211:J216),5)</f>
        <v>418107.59</v>
      </c>
    </row>
    <row r="218" spans="1:10" ht="30" customHeight="1" thickBot="1" x14ac:dyDescent="0.3">
      <c r="A218" s="171"/>
      <c r="B218" s="171"/>
      <c r="C218" s="171"/>
      <c r="D218" s="171"/>
      <c r="E218" s="171"/>
      <c r="F218" s="171"/>
      <c r="G218" s="171" t="s">
        <v>734</v>
      </c>
      <c r="H218" s="171"/>
      <c r="I218" s="171"/>
      <c r="J218" s="8">
        <v>1500</v>
      </c>
    </row>
    <row r="219" spans="1:10" ht="15.75" thickBot="1" x14ac:dyDescent="0.3">
      <c r="A219" s="171"/>
      <c r="B219" s="171"/>
      <c r="C219" s="171"/>
      <c r="D219" s="171"/>
      <c r="E219" s="171"/>
      <c r="F219" s="171" t="s">
        <v>173</v>
      </c>
      <c r="G219" s="171"/>
      <c r="H219" s="171"/>
      <c r="I219" s="171"/>
      <c r="J219" s="11">
        <f>ROUND(J166+J172+J183+J191+J198+J210+SUM(J217:J218),5)</f>
        <v>1869634.12</v>
      </c>
    </row>
    <row r="220" spans="1:10" ht="30" customHeight="1" thickBot="1" x14ac:dyDescent="0.3">
      <c r="A220" s="171"/>
      <c r="B220" s="171"/>
      <c r="C220" s="171"/>
      <c r="D220" s="171"/>
      <c r="E220" s="171" t="s">
        <v>174</v>
      </c>
      <c r="F220" s="171"/>
      <c r="G220" s="171"/>
      <c r="H220" s="171"/>
      <c r="I220" s="171"/>
      <c r="J220" s="11">
        <f>ROUND(J47+J98+J132+J142+J162+J165+J219,5)</f>
        <v>4128840.57</v>
      </c>
    </row>
    <row r="221" spans="1:10" ht="30" customHeight="1" thickBot="1" x14ac:dyDescent="0.3">
      <c r="A221" s="171"/>
      <c r="B221" s="171"/>
      <c r="C221" s="171"/>
      <c r="D221" s="171" t="s">
        <v>175</v>
      </c>
      <c r="E221" s="171"/>
      <c r="F221" s="171"/>
      <c r="G221" s="171"/>
      <c r="H221" s="171"/>
      <c r="I221" s="171"/>
      <c r="J221" s="10">
        <f>ROUND(J46+J220,5)</f>
        <v>4128840.57</v>
      </c>
    </row>
    <row r="222" spans="1:10" ht="30" customHeight="1" x14ac:dyDescent="0.25">
      <c r="A222" s="171"/>
      <c r="B222" s="171" t="s">
        <v>176</v>
      </c>
      <c r="C222" s="171"/>
      <c r="D222" s="171"/>
      <c r="E222" s="171"/>
      <c r="F222" s="171"/>
      <c r="G222" s="171"/>
      <c r="H222" s="171"/>
      <c r="I222" s="171"/>
      <c r="J222" s="176">
        <f>ROUND(J2+J45-J221,5)</f>
        <v>1785993.63</v>
      </c>
    </row>
    <row r="223" spans="1:10" ht="30" customHeight="1" x14ac:dyDescent="0.25">
      <c r="A223" s="171"/>
      <c r="B223" s="171" t="s">
        <v>632</v>
      </c>
      <c r="C223" s="171"/>
      <c r="D223" s="171"/>
      <c r="E223" s="171"/>
      <c r="F223" s="171"/>
      <c r="G223" s="171"/>
      <c r="H223" s="171"/>
      <c r="I223" s="171"/>
      <c r="J223" s="176"/>
    </row>
    <row r="224" spans="1:10" x14ac:dyDescent="0.25">
      <c r="A224" s="171"/>
      <c r="B224" s="171"/>
      <c r="C224" s="171" t="s">
        <v>633</v>
      </c>
      <c r="D224" s="171"/>
      <c r="E224" s="171"/>
      <c r="F224" s="171"/>
      <c r="G224" s="171"/>
      <c r="H224" s="171"/>
      <c r="I224" s="171"/>
      <c r="J224" s="176"/>
    </row>
    <row r="225" spans="1:10" x14ac:dyDescent="0.25">
      <c r="A225" s="171"/>
      <c r="B225" s="171"/>
      <c r="C225" s="171"/>
      <c r="D225" s="171" t="s">
        <v>634</v>
      </c>
      <c r="E225" s="171"/>
      <c r="F225" s="171"/>
      <c r="G225" s="171"/>
      <c r="H225" s="171"/>
      <c r="I225" s="171"/>
      <c r="J225" s="176"/>
    </row>
    <row r="226" spans="1:10" x14ac:dyDescent="0.25">
      <c r="A226" s="171"/>
      <c r="B226" s="171"/>
      <c r="C226" s="171"/>
      <c r="D226" s="171"/>
      <c r="E226" s="171" t="s">
        <v>635</v>
      </c>
      <c r="F226" s="171"/>
      <c r="G226" s="171"/>
      <c r="H226" s="171"/>
      <c r="I226" s="171"/>
      <c r="J226" s="176">
        <v>5000</v>
      </c>
    </row>
    <row r="227" spans="1:10" x14ac:dyDescent="0.25">
      <c r="A227" s="171"/>
      <c r="B227" s="171"/>
      <c r="C227" s="171"/>
      <c r="D227" s="171"/>
      <c r="E227" s="171" t="s">
        <v>658</v>
      </c>
      <c r="F227" s="171"/>
      <c r="G227" s="171"/>
      <c r="H227" s="171"/>
      <c r="I227" s="171"/>
      <c r="J227" s="176">
        <v>17275</v>
      </c>
    </row>
    <row r="228" spans="1:10" ht="15.75" thickBot="1" x14ac:dyDescent="0.3">
      <c r="A228" s="171"/>
      <c r="B228" s="171"/>
      <c r="C228" s="171"/>
      <c r="D228" s="171"/>
      <c r="E228" s="171" t="s">
        <v>750</v>
      </c>
      <c r="F228" s="171"/>
      <c r="G228" s="171"/>
      <c r="H228" s="171"/>
      <c r="I228" s="171"/>
      <c r="J228" s="8">
        <v>220</v>
      </c>
    </row>
    <row r="229" spans="1:10" ht="15.75" thickBot="1" x14ac:dyDescent="0.3">
      <c r="A229" s="171"/>
      <c r="B229" s="171"/>
      <c r="C229" s="171"/>
      <c r="D229" s="171" t="s">
        <v>637</v>
      </c>
      <c r="E229" s="171"/>
      <c r="F229" s="171"/>
      <c r="G229" s="171"/>
      <c r="H229" s="171"/>
      <c r="I229" s="171"/>
      <c r="J229" s="10">
        <f>ROUND(SUM(J225:J228),5)</f>
        <v>22495</v>
      </c>
    </row>
    <row r="230" spans="1:10" ht="30" customHeight="1" x14ac:dyDescent="0.25">
      <c r="A230" s="171"/>
      <c r="B230" s="171"/>
      <c r="C230" s="171" t="s">
        <v>638</v>
      </c>
      <c r="D230" s="171"/>
      <c r="E230" s="171"/>
      <c r="F230" s="171"/>
      <c r="G230" s="171"/>
      <c r="H230" s="171"/>
      <c r="I230" s="171"/>
      <c r="J230" s="176">
        <f>ROUND(J224+J229,5)</f>
        <v>22495</v>
      </c>
    </row>
    <row r="231" spans="1:10" ht="30" customHeight="1" x14ac:dyDescent="0.25">
      <c r="A231" s="171"/>
      <c r="B231" s="171"/>
      <c r="C231" s="171" t="s">
        <v>639</v>
      </c>
      <c r="D231" s="171"/>
      <c r="E231" s="171"/>
      <c r="F231" s="171"/>
      <c r="G231" s="171"/>
      <c r="H231" s="171"/>
      <c r="I231" s="171"/>
      <c r="J231" s="176"/>
    </row>
    <row r="232" spans="1:10" ht="15.75" thickBot="1" x14ac:dyDescent="0.3">
      <c r="A232" s="171"/>
      <c r="B232" s="171"/>
      <c r="C232" s="171"/>
      <c r="D232" s="171" t="s">
        <v>640</v>
      </c>
      <c r="E232" s="171"/>
      <c r="F232" s="171"/>
      <c r="G232" s="171"/>
      <c r="H232" s="171"/>
      <c r="I232" s="171"/>
      <c r="J232" s="8">
        <v>0</v>
      </c>
    </row>
    <row r="233" spans="1:10" ht="15.75" thickBot="1" x14ac:dyDescent="0.3">
      <c r="A233" s="171"/>
      <c r="B233" s="171"/>
      <c r="C233" s="171" t="s">
        <v>641</v>
      </c>
      <c r="D233" s="171"/>
      <c r="E233" s="171"/>
      <c r="F233" s="171"/>
      <c r="G233" s="171"/>
      <c r="H233" s="171"/>
      <c r="I233" s="171"/>
      <c r="J233" s="11">
        <f>ROUND(SUM(J231:J232),5)</f>
        <v>0</v>
      </c>
    </row>
    <row r="234" spans="1:10" ht="30" customHeight="1" thickBot="1" x14ac:dyDescent="0.3">
      <c r="A234" s="171"/>
      <c r="B234" s="171" t="s">
        <v>642</v>
      </c>
      <c r="C234" s="171"/>
      <c r="D234" s="171"/>
      <c r="E234" s="171"/>
      <c r="F234" s="171"/>
      <c r="G234" s="171"/>
      <c r="H234" s="171"/>
      <c r="I234" s="171"/>
      <c r="J234" s="11">
        <f>ROUND(J223+J230-J233,5)</f>
        <v>22495</v>
      </c>
    </row>
    <row r="235" spans="1:10" s="156" customFormat="1" ht="30" customHeight="1" thickBot="1" x14ac:dyDescent="0.25">
      <c r="A235" s="171" t="s">
        <v>177</v>
      </c>
      <c r="B235" s="171"/>
      <c r="C235" s="171"/>
      <c r="D235" s="171"/>
      <c r="E235" s="171"/>
      <c r="F235" s="171"/>
      <c r="G235" s="171"/>
      <c r="H235" s="171"/>
      <c r="I235" s="171"/>
      <c r="J235" s="12">
        <f>ROUND(J222+J234,5)</f>
        <v>1808488.63</v>
      </c>
    </row>
    <row r="236" spans="1:10" ht="15.75" thickTop="1" x14ac:dyDescent="0.25"/>
  </sheetData>
  <pageMargins left="0.7" right="0.7" top="0.75" bottom="0.75" header="0.25" footer="0.3"/>
  <pageSetup orientation="portrait" r:id="rId1"/>
  <headerFooter>
    <oddHeader>&amp;L&amp;"Arial,Bold"&amp;8 4:21 AM
&amp;"Arial,Bold"&amp;8 10/10/16
&amp;"Arial,Bold"&amp;8 Accrual Basis&amp;C&amp;"Arial,Bold"&amp;12 Tropical Fish International (Pvt) Limited
&amp;"Arial,Bold"&amp;14 Profit &amp;&amp; Loss
&amp;"Arial,Bold"&amp;10 August 26 through September 29, 2016</oddHeader>
    <oddFooter>&amp;R&amp;"Arial,Bold"&amp;8 Page &amp;P of &amp;N</oddFooter>
  </headerFooter>
  <drawing r:id="rId2"/>
  <legacyDrawing r:id="rId3"/>
  <controls>
    <mc:AlternateContent xmlns:mc="http://schemas.openxmlformats.org/markup-compatibility/2006">
      <mc:Choice Requires="x14">
        <control shapeId="335874"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335874" r:id="rId4" name="HEADER"/>
      </mc:Fallback>
    </mc:AlternateContent>
    <mc:AlternateContent xmlns:mc="http://schemas.openxmlformats.org/markup-compatibility/2006">
      <mc:Choice Requires="x14">
        <control shapeId="335873"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335873" r:id="rId6" name="FILTER"/>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tint="0.39997558519241921"/>
  </sheetPr>
  <dimension ref="A1:T234"/>
  <sheetViews>
    <sheetView workbookViewId="0">
      <pane xSplit="9" ySplit="1" topLeftCell="J11" activePane="bottomRight" state="frozenSplit"/>
      <selection pane="topRight" activeCell="J1" sqref="J1"/>
      <selection pane="bottomLeft" activeCell="A2" sqref="A2"/>
      <selection pane="bottomRight" activeCell="T17" sqref="T17"/>
    </sheetView>
  </sheetViews>
  <sheetFormatPr defaultRowHeight="15" x14ac:dyDescent="0.25"/>
  <cols>
    <col min="1" max="8" width="3" style="159" customWidth="1"/>
    <col min="9" max="9" width="38.140625" style="159" customWidth="1"/>
    <col min="10" max="10" width="15.5703125" style="5" bestFit="1" customWidth="1"/>
    <col min="11" max="11" width="0.5703125" style="167" customWidth="1"/>
    <col min="12" max="12" width="24.28515625" style="167" hidden="1" customWidth="1"/>
    <col min="13" max="13" width="1.5703125" style="167" hidden="1" customWidth="1"/>
    <col min="14" max="14" width="6.42578125" style="167" hidden="1" customWidth="1"/>
    <col min="15" max="15" width="11.140625" style="167" hidden="1" customWidth="1"/>
    <col min="16" max="16" width="10.5703125" style="167" bestFit="1" customWidth="1"/>
    <col min="17" max="18" width="9.140625" style="167" bestFit="1" customWidth="1"/>
    <col min="19" max="19" width="27.7109375" style="167" bestFit="1" customWidth="1"/>
    <col min="20" max="20" width="16.140625" style="167" customWidth="1"/>
    <col min="21" max="16384" width="9.140625" style="154"/>
  </cols>
  <sheetData>
    <row r="1" spans="1:20" s="158" customFormat="1" ht="15.75" thickBot="1" x14ac:dyDescent="0.3">
      <c r="A1" s="157"/>
      <c r="B1" s="157"/>
      <c r="C1" s="157"/>
      <c r="D1" s="157"/>
      <c r="E1" s="157"/>
      <c r="F1" s="157"/>
      <c r="G1" s="157"/>
      <c r="H1" s="157"/>
      <c r="I1" s="157"/>
      <c r="J1" s="178" t="s">
        <v>744</v>
      </c>
      <c r="K1" s="205"/>
      <c r="L1" s="205"/>
      <c r="M1" s="205"/>
      <c r="N1" s="205"/>
      <c r="O1" s="205"/>
      <c r="P1" s="205"/>
      <c r="Q1" s="205"/>
      <c r="R1" s="205"/>
      <c r="S1" s="108" t="s">
        <v>381</v>
      </c>
      <c r="T1" s="200" t="s">
        <v>380</v>
      </c>
    </row>
    <row r="2" spans="1:20" ht="15.75" thickTop="1" x14ac:dyDescent="0.25">
      <c r="A2" s="171"/>
      <c r="B2" s="171" t="s">
        <v>20</v>
      </c>
      <c r="C2" s="171"/>
      <c r="D2" s="171"/>
      <c r="E2" s="171"/>
      <c r="F2" s="171"/>
      <c r="G2" s="171"/>
      <c r="H2" s="171"/>
      <c r="I2" s="171"/>
      <c r="J2" s="176"/>
      <c r="S2" s="46" t="s">
        <v>269</v>
      </c>
      <c r="T2" s="184">
        <f>J68</f>
        <v>400725</v>
      </c>
    </row>
    <row r="3" spans="1:20" x14ac:dyDescent="0.25">
      <c r="A3" s="171"/>
      <c r="B3" s="171"/>
      <c r="C3" s="171"/>
      <c r="D3" s="171" t="s">
        <v>21</v>
      </c>
      <c r="E3" s="171"/>
      <c r="F3" s="171"/>
      <c r="G3" s="171"/>
      <c r="H3" s="171"/>
      <c r="I3" s="171"/>
      <c r="J3" s="176"/>
      <c r="S3" s="46" t="s">
        <v>270</v>
      </c>
      <c r="T3" s="184">
        <f>J113</f>
        <v>76333.33</v>
      </c>
    </row>
    <row r="4" spans="1:20" x14ac:dyDescent="0.25">
      <c r="A4" s="171"/>
      <c r="B4" s="171"/>
      <c r="C4" s="171"/>
      <c r="D4" s="171"/>
      <c r="E4" s="171" t="s">
        <v>22</v>
      </c>
      <c r="F4" s="171"/>
      <c r="G4" s="171"/>
      <c r="H4" s="171"/>
      <c r="I4" s="171"/>
      <c r="J4" s="176"/>
      <c r="S4" s="46" t="s">
        <v>597</v>
      </c>
      <c r="T4" s="184">
        <f>J154</f>
        <v>87000</v>
      </c>
    </row>
    <row r="5" spans="1:20" x14ac:dyDescent="0.25">
      <c r="A5" s="171"/>
      <c r="B5" s="171"/>
      <c r="C5" s="171"/>
      <c r="D5" s="171"/>
      <c r="E5" s="171"/>
      <c r="F5" s="171" t="s">
        <v>23</v>
      </c>
      <c r="G5" s="171"/>
      <c r="H5" s="171"/>
      <c r="I5" s="171"/>
      <c r="J5" s="176">
        <f>9417505.46+2204932</f>
        <v>11622437.460000001</v>
      </c>
      <c r="L5" s="167">
        <f>[2]INVOICE!$O$137</f>
        <v>2204931.8401500001</v>
      </c>
      <c r="O5" s="167">
        <f>J5+L5</f>
        <v>13827369.300150001</v>
      </c>
      <c r="S5" s="119" t="s">
        <v>606</v>
      </c>
      <c r="T5" s="184"/>
    </row>
    <row r="6" spans="1:20" x14ac:dyDescent="0.25">
      <c r="A6" s="171"/>
      <c r="B6" s="171"/>
      <c r="C6" s="171"/>
      <c r="D6" s="171"/>
      <c r="E6" s="171"/>
      <c r="F6" s="171" t="s">
        <v>26</v>
      </c>
      <c r="G6" s="171"/>
      <c r="H6" s="171"/>
      <c r="I6" s="171"/>
      <c r="J6" s="176">
        <f>783910.72+201893</f>
        <v>985803.72</v>
      </c>
      <c r="L6" s="167">
        <f>[2]INVOICE!$O$139</f>
        <v>201893.44500000001</v>
      </c>
      <c r="O6" s="167">
        <f t="shared" ref="O6:O13" si="0">J6+L6</f>
        <v>1187697.165</v>
      </c>
      <c r="S6" s="67" t="s">
        <v>598</v>
      </c>
      <c r="T6" s="184">
        <f>J170</f>
        <v>380000</v>
      </c>
    </row>
    <row r="7" spans="1:20" x14ac:dyDescent="0.25">
      <c r="A7" s="171"/>
      <c r="B7" s="171"/>
      <c r="C7" s="171"/>
      <c r="D7" s="171"/>
      <c r="E7" s="171"/>
      <c r="F7" s="171" t="s">
        <v>27</v>
      </c>
      <c r="G7" s="171"/>
      <c r="H7" s="171"/>
      <c r="I7" s="171"/>
      <c r="J7" s="176">
        <f>4615298.02+1088450</f>
        <v>5703748.0199999996</v>
      </c>
      <c r="L7" s="167">
        <f>[2]INVOICE!$O$140</f>
        <v>1088449.9840499996</v>
      </c>
      <c r="O7" s="167">
        <f t="shared" si="0"/>
        <v>6792198.0040499996</v>
      </c>
      <c r="S7" s="106" t="s">
        <v>12</v>
      </c>
      <c r="T7" s="201">
        <f>SUM(T2:T6)</f>
        <v>944058.33000000007</v>
      </c>
    </row>
    <row r="8" spans="1:20" x14ac:dyDescent="0.25">
      <c r="A8" s="171"/>
      <c r="B8" s="171"/>
      <c r="C8" s="171"/>
      <c r="D8" s="171"/>
      <c r="E8" s="171"/>
      <c r="F8" s="171" t="s">
        <v>28</v>
      </c>
      <c r="G8" s="171"/>
      <c r="H8" s="171"/>
      <c r="I8" s="171"/>
      <c r="J8" s="176">
        <f>33081.65+5540</f>
        <v>38621.65</v>
      </c>
      <c r="L8" s="167">
        <f>[2]INVOICE!$O$141</f>
        <v>5539.8603448275862</v>
      </c>
      <c r="O8" s="167">
        <f t="shared" si="0"/>
        <v>44161.510344827591</v>
      </c>
      <c r="S8" s="46"/>
      <c r="T8" s="190"/>
    </row>
    <row r="9" spans="1:20" x14ac:dyDescent="0.25">
      <c r="A9" s="171"/>
      <c r="B9" s="171"/>
      <c r="C9" s="171"/>
      <c r="D9" s="171"/>
      <c r="E9" s="171"/>
      <c r="F9" s="171" t="s">
        <v>29</v>
      </c>
      <c r="G9" s="171"/>
      <c r="H9" s="171"/>
      <c r="I9" s="171"/>
      <c r="J9" s="176"/>
      <c r="O9" s="167">
        <f t="shared" si="0"/>
        <v>0</v>
      </c>
      <c r="S9" s="104"/>
      <c r="T9" s="202"/>
    </row>
    <row r="10" spans="1:20" ht="15.75" thickBot="1" x14ac:dyDescent="0.3">
      <c r="A10" s="171"/>
      <c r="B10" s="171"/>
      <c r="C10" s="171"/>
      <c r="D10" s="171"/>
      <c r="E10" s="171"/>
      <c r="F10" s="171"/>
      <c r="G10" s="171" t="s">
        <v>32</v>
      </c>
      <c r="H10" s="171"/>
      <c r="I10" s="171"/>
      <c r="J10" s="220">
        <v>27197.67</v>
      </c>
      <c r="O10" s="167">
        <f t="shared" si="0"/>
        <v>27197.67</v>
      </c>
      <c r="S10" s="65" t="s">
        <v>397</v>
      </c>
      <c r="T10" s="203" t="s">
        <v>380</v>
      </c>
    </row>
    <row r="11" spans="1:20" x14ac:dyDescent="0.25">
      <c r="A11" s="171"/>
      <c r="B11" s="171"/>
      <c r="C11" s="171"/>
      <c r="D11" s="171"/>
      <c r="E11" s="171"/>
      <c r="F11" s="171" t="s">
        <v>38</v>
      </c>
      <c r="G11" s="171"/>
      <c r="H11" s="171"/>
      <c r="I11" s="171"/>
      <c r="J11" s="176">
        <f>ROUND(SUM(J9:J10),5)</f>
        <v>27197.67</v>
      </c>
      <c r="O11" s="167">
        <f t="shared" si="0"/>
        <v>27197.67</v>
      </c>
      <c r="S11" s="46" t="s">
        <v>269</v>
      </c>
      <c r="T11" s="190">
        <f>J95-T2</f>
        <v>699256.29</v>
      </c>
    </row>
    <row r="12" spans="1:20" ht="30" customHeight="1" thickBot="1" x14ac:dyDescent="0.3">
      <c r="A12" s="171"/>
      <c r="B12" s="171"/>
      <c r="C12" s="171"/>
      <c r="D12" s="171"/>
      <c r="E12" s="171"/>
      <c r="F12" s="171" t="s">
        <v>618</v>
      </c>
      <c r="G12" s="171"/>
      <c r="H12" s="171"/>
      <c r="I12" s="171"/>
      <c r="J12" s="8">
        <v>53739.360000000001</v>
      </c>
      <c r="O12" s="167">
        <f t="shared" si="0"/>
        <v>53739.360000000001</v>
      </c>
      <c r="S12" s="46" t="s">
        <v>270</v>
      </c>
      <c r="T12" s="190">
        <f>J130-T3</f>
        <v>415500.25</v>
      </c>
    </row>
    <row r="13" spans="1:20" ht="15.75" thickBot="1" x14ac:dyDescent="0.3">
      <c r="A13" s="171"/>
      <c r="B13" s="171"/>
      <c r="C13" s="171"/>
      <c r="D13" s="171"/>
      <c r="E13" s="171" t="s">
        <v>39</v>
      </c>
      <c r="F13" s="171"/>
      <c r="G13" s="171"/>
      <c r="H13" s="171"/>
      <c r="I13" s="171"/>
      <c r="J13" s="10">
        <f>ROUND(SUM(J4:J8)+SUM(J11:J12),5)</f>
        <v>18431547.879999999</v>
      </c>
      <c r="O13" s="167">
        <f t="shared" si="0"/>
        <v>18431547.879999999</v>
      </c>
      <c r="S13" s="194" t="s">
        <v>609</v>
      </c>
      <c r="T13" s="190">
        <f>J140</f>
        <v>70270</v>
      </c>
    </row>
    <row r="14" spans="1:20" ht="30" customHeight="1" x14ac:dyDescent="0.25">
      <c r="A14" s="171"/>
      <c r="B14" s="171"/>
      <c r="C14" s="171"/>
      <c r="D14" s="171" t="s">
        <v>40</v>
      </c>
      <c r="E14" s="171"/>
      <c r="F14" s="171"/>
      <c r="G14" s="171"/>
      <c r="H14" s="171"/>
      <c r="I14" s="171"/>
      <c r="J14" s="176">
        <f>ROUND(J3+J13,5)</f>
        <v>18431547.879999999</v>
      </c>
      <c r="S14" s="194" t="s">
        <v>610</v>
      </c>
      <c r="T14" s="190">
        <f>J160-T4</f>
        <v>145319.43</v>
      </c>
    </row>
    <row r="15" spans="1:20" ht="30" customHeight="1" x14ac:dyDescent="0.25">
      <c r="A15" s="171"/>
      <c r="B15" s="171"/>
      <c r="C15" s="171"/>
      <c r="D15" s="171" t="s">
        <v>41</v>
      </c>
      <c r="E15" s="171"/>
      <c r="F15" s="171"/>
      <c r="G15" s="171"/>
      <c r="H15" s="171"/>
      <c r="I15" s="171"/>
      <c r="J15" s="176"/>
      <c r="S15" s="66" t="s">
        <v>611</v>
      </c>
      <c r="T15" s="190">
        <f>J162</f>
        <v>1127.5</v>
      </c>
    </row>
    <row r="16" spans="1:20" x14ac:dyDescent="0.25">
      <c r="A16" s="171"/>
      <c r="B16" s="171"/>
      <c r="C16" s="171"/>
      <c r="D16" s="171"/>
      <c r="E16" s="171" t="s">
        <v>619</v>
      </c>
      <c r="F16" s="171"/>
      <c r="G16" s="171"/>
      <c r="H16" s="171"/>
      <c r="I16" s="171"/>
      <c r="J16" s="176">
        <v>10509.17</v>
      </c>
      <c r="S16" s="193" t="s">
        <v>612</v>
      </c>
      <c r="T16" s="190"/>
    </row>
    <row r="17" spans="1:20" x14ac:dyDescent="0.25">
      <c r="A17" s="171"/>
      <c r="B17" s="171"/>
      <c r="C17" s="171"/>
      <c r="D17" s="171"/>
      <c r="E17" s="171" t="s">
        <v>42</v>
      </c>
      <c r="F17" s="171"/>
      <c r="G17" s="171"/>
      <c r="H17" s="171"/>
      <c r="I17" s="171"/>
      <c r="J17" s="176"/>
      <c r="S17" s="67" t="s">
        <v>383</v>
      </c>
      <c r="T17" s="184">
        <f>J181</f>
        <v>661139.04</v>
      </c>
    </row>
    <row r="18" spans="1:20" x14ac:dyDescent="0.25">
      <c r="A18" s="171"/>
      <c r="B18" s="171"/>
      <c r="C18" s="171"/>
      <c r="D18" s="171"/>
      <c r="E18" s="171"/>
      <c r="F18" s="171" t="s">
        <v>725</v>
      </c>
      <c r="G18" s="171"/>
      <c r="H18" s="171"/>
      <c r="I18" s="171"/>
      <c r="J18" s="176"/>
      <c r="S18" s="67" t="s">
        <v>386</v>
      </c>
      <c r="T18" s="190">
        <f>J215+J216</f>
        <v>362438.84</v>
      </c>
    </row>
    <row r="19" spans="1:20" ht="15.75" thickBot="1" x14ac:dyDescent="0.3">
      <c r="A19" s="171"/>
      <c r="B19" s="171"/>
      <c r="C19" s="171"/>
      <c r="D19" s="171"/>
      <c r="E19" s="171"/>
      <c r="F19" s="171"/>
      <c r="G19" s="171" t="s">
        <v>745</v>
      </c>
      <c r="H19" s="171"/>
      <c r="I19" s="171"/>
      <c r="J19" s="220">
        <v>14812.5</v>
      </c>
      <c r="S19" s="46"/>
      <c r="T19" s="190"/>
    </row>
    <row r="20" spans="1:20" x14ac:dyDescent="0.25">
      <c r="A20" s="171"/>
      <c r="B20" s="171"/>
      <c r="C20" s="171"/>
      <c r="D20" s="171"/>
      <c r="E20" s="171"/>
      <c r="F20" s="171" t="s">
        <v>727</v>
      </c>
      <c r="G20" s="171"/>
      <c r="H20" s="171"/>
      <c r="I20" s="171"/>
      <c r="J20" s="176">
        <f>ROUND(SUM(J18:J19),5)</f>
        <v>14812.5</v>
      </c>
      <c r="S20" s="61" t="s">
        <v>12</v>
      </c>
      <c r="T20" s="204">
        <f>SUM(T11:T18)</f>
        <v>2355051.35</v>
      </c>
    </row>
    <row r="21" spans="1:20" ht="30" customHeight="1" x14ac:dyDescent="0.25">
      <c r="A21" s="171"/>
      <c r="B21" s="171"/>
      <c r="C21" s="171"/>
      <c r="D21" s="171"/>
      <c r="E21" s="171"/>
      <c r="F21" s="171" t="s">
        <v>43</v>
      </c>
      <c r="G21" s="171"/>
      <c r="H21" s="171"/>
      <c r="I21" s="171"/>
      <c r="J21" s="176"/>
    </row>
    <row r="22" spans="1:20" x14ac:dyDescent="0.25">
      <c r="A22" s="171"/>
      <c r="B22" s="171"/>
      <c r="C22" s="171"/>
      <c r="D22" s="171"/>
      <c r="E22" s="171"/>
      <c r="F22" s="171"/>
      <c r="G22" s="171" t="s">
        <v>44</v>
      </c>
      <c r="H22" s="171"/>
      <c r="I22" s="171"/>
      <c r="J22" s="176">
        <v>3862751.73</v>
      </c>
    </row>
    <row r="23" spans="1:20" x14ac:dyDescent="0.25">
      <c r="A23" s="171"/>
      <c r="B23" s="171"/>
      <c r="C23" s="171"/>
      <c r="D23" s="171"/>
      <c r="E23" s="171"/>
      <c r="F23" s="171"/>
      <c r="G23" s="171" t="s">
        <v>45</v>
      </c>
      <c r="H23" s="171"/>
      <c r="I23" s="171"/>
      <c r="J23" s="176">
        <v>400894.87</v>
      </c>
    </row>
    <row r="24" spans="1:20" ht="15.75" thickBot="1" x14ac:dyDescent="0.3">
      <c r="A24" s="171"/>
      <c r="B24" s="171"/>
      <c r="C24" s="171"/>
      <c r="D24" s="171"/>
      <c r="E24" s="171"/>
      <c r="F24" s="171"/>
      <c r="G24" s="171" t="s">
        <v>47</v>
      </c>
      <c r="H24" s="171"/>
      <c r="I24" s="171"/>
      <c r="J24" s="220">
        <v>456145.65</v>
      </c>
    </row>
    <row r="25" spans="1:20" x14ac:dyDescent="0.25">
      <c r="A25" s="171"/>
      <c r="B25" s="171"/>
      <c r="C25" s="171"/>
      <c r="D25" s="171"/>
      <c r="E25" s="171"/>
      <c r="F25" s="171" t="s">
        <v>48</v>
      </c>
      <c r="G25" s="171"/>
      <c r="H25" s="171"/>
      <c r="I25" s="171"/>
      <c r="J25" s="176">
        <f>ROUND(SUM(J21:J24),5)</f>
        <v>4719792.25</v>
      </c>
    </row>
    <row r="26" spans="1:20" ht="30" customHeight="1" x14ac:dyDescent="0.25">
      <c r="A26" s="171"/>
      <c r="B26" s="171"/>
      <c r="C26" s="171"/>
      <c r="D26" s="171"/>
      <c r="E26" s="171"/>
      <c r="F26" s="171" t="s">
        <v>49</v>
      </c>
      <c r="G26" s="171"/>
      <c r="H26" s="171"/>
      <c r="I26" s="171"/>
      <c r="J26" s="176"/>
    </row>
    <row r="27" spans="1:20" ht="15.75" thickBot="1" x14ac:dyDescent="0.3">
      <c r="A27" s="171"/>
      <c r="B27" s="171"/>
      <c r="C27" s="171"/>
      <c r="D27" s="171"/>
      <c r="E27" s="171"/>
      <c r="F27" s="171"/>
      <c r="G27" s="171" t="s">
        <v>451</v>
      </c>
      <c r="H27" s="171"/>
      <c r="I27" s="171"/>
      <c r="J27" s="220">
        <v>45540.82</v>
      </c>
    </row>
    <row r="28" spans="1:20" x14ac:dyDescent="0.25">
      <c r="A28" s="171"/>
      <c r="B28" s="171"/>
      <c r="C28" s="171"/>
      <c r="D28" s="171"/>
      <c r="E28" s="171"/>
      <c r="F28" s="171" t="s">
        <v>54</v>
      </c>
      <c r="G28" s="171"/>
      <c r="H28" s="171"/>
      <c r="I28" s="171"/>
      <c r="J28" s="176">
        <f>ROUND(SUM(J26:J27),5)</f>
        <v>45540.82</v>
      </c>
    </row>
    <row r="29" spans="1:20" ht="30" customHeight="1" x14ac:dyDescent="0.25">
      <c r="A29" s="171"/>
      <c r="B29" s="171"/>
      <c r="C29" s="171"/>
      <c r="D29" s="171"/>
      <c r="E29" s="171"/>
      <c r="F29" s="171" t="s">
        <v>55</v>
      </c>
      <c r="G29" s="171"/>
      <c r="H29" s="171"/>
      <c r="I29" s="171"/>
      <c r="J29" s="176"/>
    </row>
    <row r="30" spans="1:20" x14ac:dyDescent="0.25">
      <c r="A30" s="171"/>
      <c r="B30" s="171"/>
      <c r="C30" s="171"/>
      <c r="D30" s="171"/>
      <c r="E30" s="171"/>
      <c r="F30" s="171"/>
      <c r="G30" s="171" t="s">
        <v>56</v>
      </c>
      <c r="H30" s="171"/>
      <c r="I30" s="171"/>
      <c r="J30" s="176">
        <f>3992894.21+946951</f>
        <v>4939845.21</v>
      </c>
      <c r="L30" s="167">
        <f>L7*0.87</f>
        <v>946951.48612349969</v>
      </c>
    </row>
    <row r="31" spans="1:20" x14ac:dyDescent="0.25">
      <c r="A31" s="171"/>
      <c r="B31" s="171"/>
      <c r="C31" s="171"/>
      <c r="D31" s="171"/>
      <c r="E31" s="171"/>
      <c r="F31" s="171"/>
      <c r="G31" s="171" t="s">
        <v>59</v>
      </c>
      <c r="H31" s="171"/>
      <c r="I31" s="171"/>
      <c r="J31" s="176">
        <f>12438+1994</f>
        <v>14432</v>
      </c>
      <c r="L31" s="167">
        <f>L8*0.36</f>
        <v>1994.3497241379309</v>
      </c>
    </row>
    <row r="32" spans="1:20" ht="15.75" thickBot="1" x14ac:dyDescent="0.3">
      <c r="A32" s="171"/>
      <c r="B32" s="171"/>
      <c r="C32" s="171"/>
      <c r="D32" s="171"/>
      <c r="E32" s="171"/>
      <c r="F32" s="171"/>
      <c r="G32" s="171" t="s">
        <v>60</v>
      </c>
      <c r="H32" s="171"/>
      <c r="I32" s="171"/>
      <c r="J32" s="220">
        <v>212911.21</v>
      </c>
    </row>
    <row r="33" spans="1:10" x14ac:dyDescent="0.25">
      <c r="A33" s="171"/>
      <c r="B33" s="171"/>
      <c r="C33" s="171"/>
      <c r="D33" s="171"/>
      <c r="E33" s="171"/>
      <c r="F33" s="171" t="s">
        <v>61</v>
      </c>
      <c r="G33" s="171"/>
      <c r="H33" s="171"/>
      <c r="I33" s="171"/>
      <c r="J33" s="176">
        <f>ROUND(SUM(J29:J32),5)</f>
        <v>5167188.42</v>
      </c>
    </row>
    <row r="34" spans="1:10" ht="30" customHeight="1" x14ac:dyDescent="0.25">
      <c r="A34" s="171"/>
      <c r="B34" s="171"/>
      <c r="C34" s="171"/>
      <c r="D34" s="171"/>
      <c r="E34" s="171"/>
      <c r="F34" s="171" t="s">
        <v>62</v>
      </c>
      <c r="G34" s="171"/>
      <c r="H34" s="171"/>
      <c r="I34" s="171"/>
      <c r="J34" s="176"/>
    </row>
    <row r="35" spans="1:10" x14ac:dyDescent="0.25">
      <c r="A35" s="171"/>
      <c r="B35" s="171"/>
      <c r="C35" s="171"/>
      <c r="D35" s="171"/>
      <c r="E35" s="171"/>
      <c r="F35" s="171"/>
      <c r="G35" s="171" t="s">
        <v>63</v>
      </c>
      <c r="H35" s="171"/>
      <c r="I35" s="171"/>
      <c r="J35" s="176">
        <v>1133150.83</v>
      </c>
    </row>
    <row r="36" spans="1:10" x14ac:dyDescent="0.25">
      <c r="A36" s="171"/>
      <c r="B36" s="171"/>
      <c r="C36" s="171"/>
      <c r="D36" s="171"/>
      <c r="E36" s="171"/>
      <c r="F36" s="171"/>
      <c r="G36" s="171" t="s">
        <v>512</v>
      </c>
      <c r="H36" s="171"/>
      <c r="I36" s="171"/>
      <c r="J36" s="176">
        <v>138264.1</v>
      </c>
    </row>
    <row r="37" spans="1:10" x14ac:dyDescent="0.25">
      <c r="A37" s="171"/>
      <c r="B37" s="171"/>
      <c r="C37" s="171"/>
      <c r="D37" s="171"/>
      <c r="E37" s="171"/>
      <c r="F37" s="171"/>
      <c r="G37" s="171" t="s">
        <v>513</v>
      </c>
      <c r="H37" s="171"/>
      <c r="I37" s="171"/>
      <c r="J37" s="176">
        <v>34566.03</v>
      </c>
    </row>
    <row r="38" spans="1:10" x14ac:dyDescent="0.25">
      <c r="A38" s="171"/>
      <c r="B38" s="171"/>
      <c r="C38" s="171"/>
      <c r="D38" s="171"/>
      <c r="E38" s="171"/>
      <c r="F38" s="171"/>
      <c r="G38" s="171" t="s">
        <v>64</v>
      </c>
      <c r="H38" s="171"/>
      <c r="I38" s="171"/>
      <c r="J38" s="176">
        <v>380515.58</v>
      </c>
    </row>
    <row r="39" spans="1:10" x14ac:dyDescent="0.25">
      <c r="A39" s="171"/>
      <c r="B39" s="171"/>
      <c r="C39" s="171"/>
      <c r="D39" s="171"/>
      <c r="E39" s="171"/>
      <c r="F39" s="171"/>
      <c r="G39" s="171" t="s">
        <v>65</v>
      </c>
      <c r="H39" s="171"/>
      <c r="I39" s="171"/>
      <c r="J39" s="176">
        <v>146052.57999999999</v>
      </c>
    </row>
    <row r="40" spans="1:10" ht="15.75" thickBot="1" x14ac:dyDescent="0.3">
      <c r="A40" s="171"/>
      <c r="B40" s="171"/>
      <c r="C40" s="171"/>
      <c r="D40" s="171"/>
      <c r="E40" s="171"/>
      <c r="F40" s="171"/>
      <c r="G40" s="171" t="s">
        <v>66</v>
      </c>
      <c r="H40" s="171"/>
      <c r="I40" s="171"/>
      <c r="J40" s="220">
        <v>62878.6</v>
      </c>
    </row>
    <row r="41" spans="1:10" x14ac:dyDescent="0.25">
      <c r="A41" s="171"/>
      <c r="B41" s="171"/>
      <c r="C41" s="171"/>
      <c r="D41" s="171"/>
      <c r="E41" s="171"/>
      <c r="F41" s="171" t="s">
        <v>67</v>
      </c>
      <c r="G41" s="171"/>
      <c r="H41" s="171"/>
      <c r="I41" s="171"/>
      <c r="J41" s="176">
        <f>ROUND(SUM(J34:J40),5)</f>
        <v>1895427.72</v>
      </c>
    </row>
    <row r="42" spans="1:10" ht="30" customHeight="1" thickBot="1" x14ac:dyDescent="0.3">
      <c r="A42" s="171"/>
      <c r="B42" s="171"/>
      <c r="C42" s="171"/>
      <c r="D42" s="171"/>
      <c r="E42" s="171"/>
      <c r="F42" s="171" t="s">
        <v>624</v>
      </c>
      <c r="G42" s="171"/>
      <c r="H42" s="171"/>
      <c r="I42" s="171"/>
      <c r="J42" s="8">
        <v>13503.88</v>
      </c>
    </row>
    <row r="43" spans="1:10" ht="15.75" thickBot="1" x14ac:dyDescent="0.3">
      <c r="A43" s="171"/>
      <c r="B43" s="171"/>
      <c r="C43" s="171"/>
      <c r="D43" s="171"/>
      <c r="E43" s="171" t="s">
        <v>71</v>
      </c>
      <c r="F43" s="171"/>
      <c r="G43" s="171"/>
      <c r="H43" s="171"/>
      <c r="I43" s="171"/>
      <c r="J43" s="11">
        <f>ROUND(J17+J20+J25+J28+J33+SUM(J41:J42),5)</f>
        <v>11856265.59</v>
      </c>
    </row>
    <row r="44" spans="1:10" ht="30" customHeight="1" thickBot="1" x14ac:dyDescent="0.3">
      <c r="A44" s="171"/>
      <c r="B44" s="171"/>
      <c r="C44" s="171"/>
      <c r="D44" s="171" t="s">
        <v>72</v>
      </c>
      <c r="E44" s="171"/>
      <c r="F44" s="171"/>
      <c r="G44" s="171"/>
      <c r="H44" s="171"/>
      <c r="I44" s="171"/>
      <c r="J44" s="10">
        <f>ROUND(SUM(J15:J16)+J43,5)</f>
        <v>11866774.76</v>
      </c>
    </row>
    <row r="45" spans="1:10" ht="30" customHeight="1" x14ac:dyDescent="0.25">
      <c r="A45" s="171"/>
      <c r="B45" s="171"/>
      <c r="C45" s="171" t="s">
        <v>73</v>
      </c>
      <c r="D45" s="171"/>
      <c r="E45" s="171"/>
      <c r="F45" s="171"/>
      <c r="G45" s="171"/>
      <c r="H45" s="171"/>
      <c r="I45" s="171"/>
      <c r="J45" s="176">
        <f>ROUND(J14-J44,5)</f>
        <v>6564773.1200000001</v>
      </c>
    </row>
    <row r="46" spans="1:10" ht="30" customHeight="1" x14ac:dyDescent="0.25">
      <c r="A46" s="171"/>
      <c r="B46" s="171"/>
      <c r="C46" s="171"/>
      <c r="D46" s="171" t="s">
        <v>74</v>
      </c>
      <c r="E46" s="171"/>
      <c r="F46" s="171"/>
      <c r="G46" s="171"/>
      <c r="H46" s="171"/>
      <c r="I46" s="171"/>
      <c r="J46" s="176"/>
    </row>
    <row r="47" spans="1:10" x14ac:dyDescent="0.25">
      <c r="A47" s="171"/>
      <c r="B47" s="171"/>
      <c r="C47" s="171"/>
      <c r="D47" s="171"/>
      <c r="E47" s="171" t="s">
        <v>75</v>
      </c>
      <c r="F47" s="171"/>
      <c r="G47" s="171"/>
      <c r="H47" s="171"/>
      <c r="I47" s="171"/>
      <c r="J47" s="176"/>
    </row>
    <row r="48" spans="1:10" x14ac:dyDescent="0.25">
      <c r="A48" s="171"/>
      <c r="B48" s="171"/>
      <c r="C48" s="171"/>
      <c r="D48" s="171"/>
      <c r="E48" s="171"/>
      <c r="F48" s="171" t="s">
        <v>189</v>
      </c>
      <c r="G48" s="171"/>
      <c r="H48" s="171"/>
      <c r="I48" s="171"/>
      <c r="J48" s="176"/>
    </row>
    <row r="49" spans="1:10" x14ac:dyDescent="0.25">
      <c r="A49" s="171"/>
      <c r="B49" s="171"/>
      <c r="C49" s="171"/>
      <c r="D49" s="171"/>
      <c r="E49" s="171"/>
      <c r="F49" s="171"/>
      <c r="G49" s="171" t="s">
        <v>76</v>
      </c>
      <c r="H49" s="171"/>
      <c r="I49" s="171"/>
      <c r="J49" s="176"/>
    </row>
    <row r="50" spans="1:10" x14ac:dyDescent="0.25">
      <c r="A50" s="171"/>
      <c r="B50" s="171"/>
      <c r="C50" s="171"/>
      <c r="D50" s="171"/>
      <c r="E50" s="171"/>
      <c r="F50" s="171"/>
      <c r="G50" s="171"/>
      <c r="H50" s="171" t="s">
        <v>77</v>
      </c>
      <c r="I50" s="171"/>
      <c r="J50" s="176">
        <v>6000</v>
      </c>
    </row>
    <row r="51" spans="1:10" x14ac:dyDescent="0.25">
      <c r="A51" s="171"/>
      <c r="B51" s="171"/>
      <c r="C51" s="171"/>
      <c r="D51" s="171"/>
      <c r="E51" s="171"/>
      <c r="F51" s="171"/>
      <c r="G51" s="171"/>
      <c r="H51" s="171" t="s">
        <v>78</v>
      </c>
      <c r="I51" s="171"/>
      <c r="J51" s="176">
        <v>42373</v>
      </c>
    </row>
    <row r="52" spans="1:10" x14ac:dyDescent="0.25">
      <c r="A52" s="171"/>
      <c r="B52" s="171"/>
      <c r="C52" s="171"/>
      <c r="D52" s="171"/>
      <c r="E52" s="171"/>
      <c r="F52" s="171"/>
      <c r="G52" s="171"/>
      <c r="H52" s="171" t="s">
        <v>80</v>
      </c>
      <c r="I52" s="171"/>
      <c r="J52" s="176">
        <v>620</v>
      </c>
    </row>
    <row r="53" spans="1:10" x14ac:dyDescent="0.25">
      <c r="A53" s="171"/>
      <c r="B53" s="171"/>
      <c r="C53" s="171"/>
      <c r="D53" s="171"/>
      <c r="E53" s="171"/>
      <c r="F53" s="171"/>
      <c r="G53" s="171"/>
      <c r="H53" s="171" t="s">
        <v>453</v>
      </c>
      <c r="I53" s="171"/>
      <c r="J53" s="176">
        <v>4069.8</v>
      </c>
    </row>
    <row r="54" spans="1:10" x14ac:dyDescent="0.25">
      <c r="A54" s="171"/>
      <c r="B54" s="171"/>
      <c r="C54" s="171"/>
      <c r="D54" s="171"/>
      <c r="E54" s="171"/>
      <c r="F54" s="171"/>
      <c r="G54" s="171"/>
      <c r="H54" s="171" t="s">
        <v>81</v>
      </c>
      <c r="I54" s="171"/>
      <c r="J54" s="176"/>
    </row>
    <row r="55" spans="1:10" ht="15.75" thickBot="1" x14ac:dyDescent="0.3">
      <c r="A55" s="171"/>
      <c r="B55" s="171"/>
      <c r="C55" s="171"/>
      <c r="D55" s="171"/>
      <c r="E55" s="171"/>
      <c r="F55" s="171"/>
      <c r="G55" s="171"/>
      <c r="H55" s="171"/>
      <c r="I55" s="171" t="s">
        <v>82</v>
      </c>
      <c r="J55" s="220">
        <v>10525</v>
      </c>
    </row>
    <row r="56" spans="1:10" x14ac:dyDescent="0.25">
      <c r="A56" s="171"/>
      <c r="B56" s="171"/>
      <c r="C56" s="171"/>
      <c r="D56" s="171"/>
      <c r="E56" s="171"/>
      <c r="F56" s="171"/>
      <c r="G56" s="171"/>
      <c r="H56" s="171" t="s">
        <v>83</v>
      </c>
      <c r="I56" s="171"/>
      <c r="J56" s="176">
        <f>ROUND(SUM(J54:J55),5)</f>
        <v>10525</v>
      </c>
    </row>
    <row r="57" spans="1:10" ht="30" customHeight="1" x14ac:dyDescent="0.25">
      <c r="A57" s="171"/>
      <c r="B57" s="171"/>
      <c r="C57" s="171"/>
      <c r="D57" s="171"/>
      <c r="E57" s="171"/>
      <c r="F57" s="171"/>
      <c r="G57" s="171"/>
      <c r="H57" s="171" t="s">
        <v>190</v>
      </c>
      <c r="I57" s="171"/>
      <c r="J57" s="176">
        <v>99462</v>
      </c>
    </row>
    <row r="58" spans="1:10" x14ac:dyDescent="0.25">
      <c r="A58" s="171"/>
      <c r="B58" s="171"/>
      <c r="C58" s="171"/>
      <c r="D58" s="171"/>
      <c r="E58" s="171"/>
      <c r="F58" s="171"/>
      <c r="G58" s="171"/>
      <c r="H58" s="171" t="s">
        <v>84</v>
      </c>
      <c r="I58" s="171"/>
      <c r="J58" s="176">
        <v>53330</v>
      </c>
    </row>
    <row r="59" spans="1:10" ht="15.75" thickBot="1" x14ac:dyDescent="0.3">
      <c r="A59" s="171"/>
      <c r="B59" s="171"/>
      <c r="C59" s="171"/>
      <c r="D59" s="171"/>
      <c r="E59" s="171"/>
      <c r="F59" s="171"/>
      <c r="G59" s="171"/>
      <c r="H59" s="171" t="s">
        <v>521</v>
      </c>
      <c r="I59" s="171"/>
      <c r="J59" s="220">
        <v>25000</v>
      </c>
    </row>
    <row r="60" spans="1:10" x14ac:dyDescent="0.25">
      <c r="A60" s="171"/>
      <c r="B60" s="171"/>
      <c r="C60" s="171"/>
      <c r="D60" s="171"/>
      <c r="E60" s="171"/>
      <c r="F60" s="171"/>
      <c r="G60" s="171" t="s">
        <v>85</v>
      </c>
      <c r="H60" s="171"/>
      <c r="I60" s="171"/>
      <c r="J60" s="176">
        <f>ROUND(SUM(J49:J53)+SUM(J56:J59),5)</f>
        <v>241379.8</v>
      </c>
    </row>
    <row r="61" spans="1:10" ht="30" customHeight="1" x14ac:dyDescent="0.25">
      <c r="A61" s="171"/>
      <c r="B61" s="171"/>
      <c r="C61" s="171"/>
      <c r="D61" s="171"/>
      <c r="E61" s="171"/>
      <c r="F61" s="171"/>
      <c r="G61" s="171" t="s">
        <v>86</v>
      </c>
      <c r="H61" s="171"/>
      <c r="I61" s="171"/>
      <c r="J61" s="176"/>
    </row>
    <row r="62" spans="1:10" x14ac:dyDescent="0.25">
      <c r="A62" s="171"/>
      <c r="B62" s="171"/>
      <c r="C62" s="171"/>
      <c r="D62" s="171"/>
      <c r="E62" s="171"/>
      <c r="F62" s="171"/>
      <c r="G62" s="171"/>
      <c r="H62" s="171" t="s">
        <v>87</v>
      </c>
      <c r="I62" s="171"/>
      <c r="J62" s="176">
        <v>271500</v>
      </c>
    </row>
    <row r="63" spans="1:10" x14ac:dyDescent="0.25">
      <c r="A63" s="171"/>
      <c r="B63" s="171"/>
      <c r="C63" s="171"/>
      <c r="D63" s="171"/>
      <c r="E63" s="171"/>
      <c r="F63" s="171"/>
      <c r="G63" s="171"/>
      <c r="H63" s="171" t="s">
        <v>522</v>
      </c>
      <c r="I63" s="171"/>
      <c r="J63" s="176">
        <v>32580</v>
      </c>
    </row>
    <row r="64" spans="1:10" x14ac:dyDescent="0.25">
      <c r="A64" s="171"/>
      <c r="B64" s="171"/>
      <c r="C64" s="171"/>
      <c r="D64" s="171"/>
      <c r="E64" s="171"/>
      <c r="F64" s="171"/>
      <c r="G64" s="171"/>
      <c r="H64" s="171" t="s">
        <v>523</v>
      </c>
      <c r="I64" s="171"/>
      <c r="J64" s="176">
        <v>8145</v>
      </c>
    </row>
    <row r="65" spans="1:10" x14ac:dyDescent="0.25">
      <c r="A65" s="171"/>
      <c r="B65" s="171"/>
      <c r="C65" s="171"/>
      <c r="D65" s="171"/>
      <c r="E65" s="171"/>
      <c r="F65" s="171"/>
      <c r="G65" s="171"/>
      <c r="H65" s="171" t="s">
        <v>524</v>
      </c>
      <c r="I65" s="171"/>
      <c r="J65" s="176">
        <v>30000</v>
      </c>
    </row>
    <row r="66" spans="1:10" x14ac:dyDescent="0.25">
      <c r="A66" s="171"/>
      <c r="B66" s="171"/>
      <c r="C66" s="171"/>
      <c r="D66" s="171"/>
      <c r="E66" s="171"/>
      <c r="F66" s="171"/>
      <c r="G66" s="171"/>
      <c r="H66" s="171" t="s">
        <v>88</v>
      </c>
      <c r="I66" s="171"/>
      <c r="J66" s="176">
        <v>10500</v>
      </c>
    </row>
    <row r="67" spans="1:10" ht="15.75" thickBot="1" x14ac:dyDescent="0.3">
      <c r="A67" s="171"/>
      <c r="B67" s="171"/>
      <c r="C67" s="171"/>
      <c r="D67" s="171"/>
      <c r="E67" s="171"/>
      <c r="F67" s="171"/>
      <c r="G67" s="171"/>
      <c r="H67" s="171" t="s">
        <v>89</v>
      </c>
      <c r="I67" s="171"/>
      <c r="J67" s="220">
        <v>48000</v>
      </c>
    </row>
    <row r="68" spans="1:10" x14ac:dyDescent="0.25">
      <c r="A68" s="171"/>
      <c r="B68" s="171"/>
      <c r="C68" s="171"/>
      <c r="D68" s="171"/>
      <c r="E68" s="171"/>
      <c r="F68" s="171"/>
      <c r="G68" s="171" t="s">
        <v>91</v>
      </c>
      <c r="H68" s="171"/>
      <c r="I68" s="171"/>
      <c r="J68" s="176">
        <f>ROUND(SUM(J61:J67),5)</f>
        <v>400725</v>
      </c>
    </row>
    <row r="69" spans="1:10" ht="30" customHeight="1" x14ac:dyDescent="0.25">
      <c r="A69" s="171"/>
      <c r="B69" s="171"/>
      <c r="C69" s="171"/>
      <c r="D69" s="171"/>
      <c r="E69" s="171"/>
      <c r="F69" s="171"/>
      <c r="G69" s="171" t="s">
        <v>92</v>
      </c>
      <c r="H69" s="171"/>
      <c r="I69" s="171"/>
      <c r="J69" s="176"/>
    </row>
    <row r="70" spans="1:10" x14ac:dyDescent="0.25">
      <c r="A70" s="171"/>
      <c r="B70" s="171"/>
      <c r="C70" s="171"/>
      <c r="D70" s="171"/>
      <c r="E70" s="171"/>
      <c r="F70" s="171"/>
      <c r="G70" s="171"/>
      <c r="H70" s="171" t="s">
        <v>93</v>
      </c>
      <c r="I70" s="171"/>
      <c r="J70" s="176">
        <v>449.75</v>
      </c>
    </row>
    <row r="71" spans="1:10" x14ac:dyDescent="0.25">
      <c r="A71" s="171"/>
      <c r="B71" s="171"/>
      <c r="C71" s="171"/>
      <c r="D71" s="171"/>
      <c r="E71" s="171"/>
      <c r="F71" s="171"/>
      <c r="G71" s="171"/>
      <c r="H71" s="171" t="s">
        <v>525</v>
      </c>
      <c r="I71" s="171"/>
      <c r="J71" s="176">
        <v>6700.27</v>
      </c>
    </row>
    <row r="72" spans="1:10" x14ac:dyDescent="0.25">
      <c r="A72" s="171"/>
      <c r="B72" s="171"/>
      <c r="C72" s="171"/>
      <c r="D72" s="171"/>
      <c r="E72" s="171"/>
      <c r="F72" s="171"/>
      <c r="G72" s="171"/>
      <c r="H72" s="171" t="s">
        <v>740</v>
      </c>
      <c r="I72" s="171"/>
      <c r="J72" s="176">
        <v>24644.61</v>
      </c>
    </row>
    <row r="73" spans="1:10" x14ac:dyDescent="0.25">
      <c r="A73" s="171"/>
      <c r="B73" s="171"/>
      <c r="C73" s="171"/>
      <c r="D73" s="171"/>
      <c r="E73" s="171"/>
      <c r="F73" s="171"/>
      <c r="G73" s="171"/>
      <c r="H73" s="171" t="s">
        <v>95</v>
      </c>
      <c r="I73" s="171"/>
      <c r="J73" s="176">
        <v>-3890.46</v>
      </c>
    </row>
    <row r="74" spans="1:10" ht="15.75" thickBot="1" x14ac:dyDescent="0.3">
      <c r="A74" s="171"/>
      <c r="B74" s="171"/>
      <c r="C74" s="171"/>
      <c r="D74" s="171"/>
      <c r="E74" s="171"/>
      <c r="F74" s="171"/>
      <c r="G74" s="171"/>
      <c r="H74" s="171" t="s">
        <v>526</v>
      </c>
      <c r="I74" s="171"/>
      <c r="J74" s="220">
        <v>43301.88</v>
      </c>
    </row>
    <row r="75" spans="1:10" x14ac:dyDescent="0.25">
      <c r="A75" s="171"/>
      <c r="B75" s="171"/>
      <c r="C75" s="171"/>
      <c r="D75" s="171"/>
      <c r="E75" s="171"/>
      <c r="F75" s="171"/>
      <c r="G75" s="171" t="s">
        <v>96</v>
      </c>
      <c r="H75" s="171"/>
      <c r="I75" s="171"/>
      <c r="J75" s="176">
        <f>ROUND(SUM(J69:J74),5)</f>
        <v>71206.05</v>
      </c>
    </row>
    <row r="76" spans="1:10" ht="30" customHeight="1" x14ac:dyDescent="0.25">
      <c r="A76" s="171"/>
      <c r="B76" s="171"/>
      <c r="C76" s="171"/>
      <c r="D76" s="171"/>
      <c r="E76" s="171"/>
      <c r="F76" s="171"/>
      <c r="G76" s="171" t="s">
        <v>97</v>
      </c>
      <c r="H76" s="171"/>
      <c r="I76" s="171"/>
      <c r="J76" s="176"/>
    </row>
    <row r="77" spans="1:10" x14ac:dyDescent="0.25">
      <c r="A77" s="171"/>
      <c r="B77" s="171"/>
      <c r="C77" s="171"/>
      <c r="D77" s="171"/>
      <c r="E77" s="171"/>
      <c r="F77" s="171"/>
      <c r="G77" s="171"/>
      <c r="H77" s="171" t="s">
        <v>98</v>
      </c>
      <c r="I77" s="171"/>
      <c r="J77" s="176">
        <v>8964</v>
      </c>
    </row>
    <row r="78" spans="1:10" x14ac:dyDescent="0.25">
      <c r="A78" s="171"/>
      <c r="B78" s="171"/>
      <c r="C78" s="171"/>
      <c r="D78" s="171"/>
      <c r="E78" s="171"/>
      <c r="F78" s="171"/>
      <c r="G78" s="171"/>
      <c r="H78" s="171" t="s">
        <v>625</v>
      </c>
      <c r="I78" s="171"/>
      <c r="J78" s="176">
        <v>18815</v>
      </c>
    </row>
    <row r="79" spans="1:10" x14ac:dyDescent="0.25">
      <c r="A79" s="171"/>
      <c r="B79" s="171"/>
      <c r="C79" s="171"/>
      <c r="D79" s="171"/>
      <c r="E79" s="171"/>
      <c r="F79" s="171"/>
      <c r="G79" s="171"/>
      <c r="H79" s="171" t="s">
        <v>99</v>
      </c>
      <c r="I79" s="171"/>
      <c r="J79" s="176">
        <v>2000</v>
      </c>
    </row>
    <row r="80" spans="1:10" x14ac:dyDescent="0.25">
      <c r="A80" s="171"/>
      <c r="B80" s="171"/>
      <c r="C80" s="171"/>
      <c r="D80" s="171"/>
      <c r="E80" s="171"/>
      <c r="F80" s="171"/>
      <c r="G80" s="171"/>
      <c r="H80" s="171" t="s">
        <v>100</v>
      </c>
      <c r="I80" s="171"/>
      <c r="J80" s="176">
        <v>58500</v>
      </c>
    </row>
    <row r="81" spans="1:10" ht="15.75" thickBot="1" x14ac:dyDescent="0.3">
      <c r="A81" s="171"/>
      <c r="B81" s="171"/>
      <c r="C81" s="171"/>
      <c r="D81" s="171"/>
      <c r="E81" s="171"/>
      <c r="F81" s="171"/>
      <c r="G81" s="171"/>
      <c r="H81" s="171" t="s">
        <v>527</v>
      </c>
      <c r="I81" s="171"/>
      <c r="J81" s="220">
        <v>13000</v>
      </c>
    </row>
    <row r="82" spans="1:10" x14ac:dyDescent="0.25">
      <c r="A82" s="171"/>
      <c r="B82" s="171"/>
      <c r="C82" s="171"/>
      <c r="D82" s="171"/>
      <c r="E82" s="171"/>
      <c r="F82" s="171"/>
      <c r="G82" s="171" t="s">
        <v>102</v>
      </c>
      <c r="H82" s="171"/>
      <c r="I82" s="171"/>
      <c r="J82" s="176">
        <f>ROUND(SUM(J76:J81),5)</f>
        <v>101279</v>
      </c>
    </row>
    <row r="83" spans="1:10" ht="30" customHeight="1" x14ac:dyDescent="0.25">
      <c r="A83" s="171"/>
      <c r="B83" s="171"/>
      <c r="C83" s="171"/>
      <c r="D83" s="171"/>
      <c r="E83" s="171"/>
      <c r="F83" s="171"/>
      <c r="G83" s="171" t="s">
        <v>103</v>
      </c>
      <c r="H83" s="171"/>
      <c r="I83" s="171"/>
      <c r="J83" s="176"/>
    </row>
    <row r="84" spans="1:10" x14ac:dyDescent="0.25">
      <c r="A84" s="171"/>
      <c r="B84" s="171"/>
      <c r="C84" s="171"/>
      <c r="D84" s="171"/>
      <c r="E84" s="171"/>
      <c r="F84" s="171"/>
      <c r="G84" s="171"/>
      <c r="H84" s="171" t="s">
        <v>104</v>
      </c>
      <c r="I84" s="171"/>
      <c r="J84" s="176">
        <v>70393</v>
      </c>
    </row>
    <row r="85" spans="1:10" x14ac:dyDescent="0.25">
      <c r="A85" s="171"/>
      <c r="B85" s="171"/>
      <c r="C85" s="171"/>
      <c r="D85" s="171"/>
      <c r="E85" s="171"/>
      <c r="F85" s="171"/>
      <c r="G85" s="171"/>
      <c r="H85" s="171" t="s">
        <v>105</v>
      </c>
      <c r="I85" s="171"/>
      <c r="J85" s="176">
        <v>23305</v>
      </c>
    </row>
    <row r="86" spans="1:10" x14ac:dyDescent="0.25">
      <c r="A86" s="171"/>
      <c r="B86" s="171"/>
      <c r="C86" s="171"/>
      <c r="D86" s="171"/>
      <c r="E86" s="171"/>
      <c r="F86" s="171"/>
      <c r="G86" s="171"/>
      <c r="H86" s="171" t="s">
        <v>106</v>
      </c>
      <c r="I86" s="171"/>
      <c r="J86" s="176">
        <v>890</v>
      </c>
    </row>
    <row r="87" spans="1:10" x14ac:dyDescent="0.25">
      <c r="A87" s="171"/>
      <c r="B87" s="171"/>
      <c r="C87" s="171"/>
      <c r="D87" s="171"/>
      <c r="E87" s="171"/>
      <c r="F87" s="171"/>
      <c r="G87" s="171"/>
      <c r="H87" s="171" t="s">
        <v>455</v>
      </c>
      <c r="I87" s="171"/>
      <c r="J87" s="176">
        <v>144381</v>
      </c>
    </row>
    <row r="88" spans="1:10" x14ac:dyDescent="0.25">
      <c r="A88" s="171"/>
      <c r="B88" s="171"/>
      <c r="C88" s="171"/>
      <c r="D88" s="171"/>
      <c r="E88" s="171"/>
      <c r="F88" s="171"/>
      <c r="G88" s="171"/>
      <c r="H88" s="171" t="s">
        <v>107</v>
      </c>
      <c r="I88" s="171"/>
      <c r="J88" s="176">
        <v>6480</v>
      </c>
    </row>
    <row r="89" spans="1:10" ht="15.75" thickBot="1" x14ac:dyDescent="0.3">
      <c r="A89" s="171"/>
      <c r="B89" s="171"/>
      <c r="C89" s="171"/>
      <c r="D89" s="171"/>
      <c r="E89" s="171"/>
      <c r="F89" s="171"/>
      <c r="G89" s="171"/>
      <c r="H89" s="171" t="s">
        <v>475</v>
      </c>
      <c r="I89" s="171"/>
      <c r="J89" s="220">
        <v>120</v>
      </c>
    </row>
    <row r="90" spans="1:10" x14ac:dyDescent="0.25">
      <c r="A90" s="171"/>
      <c r="B90" s="171"/>
      <c r="C90" s="171"/>
      <c r="D90" s="171"/>
      <c r="E90" s="171"/>
      <c r="F90" s="171"/>
      <c r="G90" s="171" t="s">
        <v>108</v>
      </c>
      <c r="H90" s="171"/>
      <c r="I90" s="171"/>
      <c r="J90" s="176">
        <f>ROUND(SUM(J83:J89),5)</f>
        <v>245569</v>
      </c>
    </row>
    <row r="91" spans="1:10" ht="30" customHeight="1" x14ac:dyDescent="0.25">
      <c r="A91" s="171"/>
      <c r="B91" s="171"/>
      <c r="C91" s="171"/>
      <c r="D91" s="171"/>
      <c r="E91" s="171"/>
      <c r="F91" s="171"/>
      <c r="G91" s="171" t="s">
        <v>456</v>
      </c>
      <c r="H91" s="171"/>
      <c r="I91" s="171"/>
      <c r="J91" s="176"/>
    </row>
    <row r="92" spans="1:10" x14ac:dyDescent="0.25">
      <c r="A92" s="171"/>
      <c r="B92" s="171"/>
      <c r="C92" s="171"/>
      <c r="D92" s="171"/>
      <c r="E92" s="171"/>
      <c r="F92" s="171"/>
      <c r="G92" s="171"/>
      <c r="H92" s="171" t="s">
        <v>626</v>
      </c>
      <c r="I92" s="171"/>
      <c r="J92" s="176">
        <v>19022.439999999999</v>
      </c>
    </row>
    <row r="93" spans="1:10" ht="15.75" thickBot="1" x14ac:dyDescent="0.3">
      <c r="A93" s="171"/>
      <c r="B93" s="171"/>
      <c r="C93" s="171"/>
      <c r="D93" s="171"/>
      <c r="E93" s="171"/>
      <c r="F93" s="171"/>
      <c r="G93" s="171"/>
      <c r="H93" s="171" t="s">
        <v>746</v>
      </c>
      <c r="I93" s="171"/>
      <c r="J93" s="8">
        <v>20800</v>
      </c>
    </row>
    <row r="94" spans="1:10" ht="15.75" thickBot="1" x14ac:dyDescent="0.3">
      <c r="A94" s="171"/>
      <c r="B94" s="171"/>
      <c r="C94" s="171"/>
      <c r="D94" s="171"/>
      <c r="E94" s="171"/>
      <c r="F94" s="171"/>
      <c r="G94" s="171" t="s">
        <v>458</v>
      </c>
      <c r="H94" s="171"/>
      <c r="I94" s="171"/>
      <c r="J94" s="10">
        <f>ROUND(SUM(J91:J93),5)</f>
        <v>39822.44</v>
      </c>
    </row>
    <row r="95" spans="1:10" ht="30" customHeight="1" x14ac:dyDescent="0.25">
      <c r="A95" s="171"/>
      <c r="B95" s="171"/>
      <c r="C95" s="171"/>
      <c r="D95" s="171"/>
      <c r="E95" s="171"/>
      <c r="F95" s="171" t="s">
        <v>191</v>
      </c>
      <c r="G95" s="171"/>
      <c r="H95" s="171"/>
      <c r="I95" s="171"/>
      <c r="J95" s="176">
        <f>ROUND(J48+J60+J68+J75+J82+J90+J94,5)</f>
        <v>1099981.29</v>
      </c>
    </row>
    <row r="96" spans="1:10" ht="30" customHeight="1" x14ac:dyDescent="0.25">
      <c r="A96" s="171"/>
      <c r="B96" s="171"/>
      <c r="C96" s="171"/>
      <c r="D96" s="171"/>
      <c r="E96" s="171"/>
      <c r="F96" s="171" t="s">
        <v>109</v>
      </c>
      <c r="G96" s="171"/>
      <c r="H96" s="171"/>
      <c r="I96" s="171"/>
      <c r="J96" s="176"/>
    </row>
    <row r="97" spans="1:10" x14ac:dyDescent="0.25">
      <c r="A97" s="171"/>
      <c r="B97" s="171"/>
      <c r="C97" s="171"/>
      <c r="D97" s="171"/>
      <c r="E97" s="171"/>
      <c r="F97" s="171"/>
      <c r="G97" s="171" t="s">
        <v>110</v>
      </c>
      <c r="H97" s="171"/>
      <c r="I97" s="171"/>
      <c r="J97" s="176"/>
    </row>
    <row r="98" spans="1:10" x14ac:dyDescent="0.25">
      <c r="A98" s="171"/>
      <c r="B98" s="171"/>
      <c r="C98" s="171"/>
      <c r="D98" s="171"/>
      <c r="E98" s="171"/>
      <c r="F98" s="171"/>
      <c r="G98" s="171"/>
      <c r="H98" s="171" t="s">
        <v>112</v>
      </c>
      <c r="I98" s="171"/>
      <c r="J98" s="176">
        <v>68871.199999999997</v>
      </c>
    </row>
    <row r="99" spans="1:10" x14ac:dyDescent="0.25">
      <c r="A99" s="171"/>
      <c r="B99" s="171"/>
      <c r="C99" s="171"/>
      <c r="D99" s="171"/>
      <c r="E99" s="171"/>
      <c r="F99" s="171"/>
      <c r="G99" s="171"/>
      <c r="H99" s="171" t="s">
        <v>481</v>
      </c>
      <c r="I99" s="171"/>
      <c r="J99" s="176">
        <v>27750</v>
      </c>
    </row>
    <row r="100" spans="1:10" x14ac:dyDescent="0.25">
      <c r="A100" s="171"/>
      <c r="B100" s="171"/>
      <c r="C100" s="171"/>
      <c r="D100" s="171"/>
      <c r="E100" s="171"/>
      <c r="F100" s="171"/>
      <c r="G100" s="171"/>
      <c r="H100" s="171" t="s">
        <v>113</v>
      </c>
      <c r="I100" s="171"/>
      <c r="J100" s="176">
        <v>39894</v>
      </c>
    </row>
    <row r="101" spans="1:10" x14ac:dyDescent="0.25">
      <c r="A101" s="171"/>
      <c r="B101" s="171"/>
      <c r="C101" s="171"/>
      <c r="D101" s="171"/>
      <c r="E101" s="171"/>
      <c r="F101" s="171"/>
      <c r="G101" s="171"/>
      <c r="H101" s="171" t="s">
        <v>532</v>
      </c>
      <c r="I101" s="171"/>
      <c r="J101" s="176">
        <v>58605</v>
      </c>
    </row>
    <row r="102" spans="1:10" x14ac:dyDescent="0.25">
      <c r="A102" s="171"/>
      <c r="B102" s="171"/>
      <c r="C102" s="171"/>
      <c r="D102" s="171"/>
      <c r="E102" s="171"/>
      <c r="F102" s="171"/>
      <c r="G102" s="171"/>
      <c r="H102" s="171" t="s">
        <v>114</v>
      </c>
      <c r="I102" s="171"/>
      <c r="J102" s="176">
        <v>5338.41</v>
      </c>
    </row>
    <row r="103" spans="1:10" x14ac:dyDescent="0.25">
      <c r="A103" s="171"/>
      <c r="B103" s="171"/>
      <c r="C103" s="171"/>
      <c r="D103" s="171"/>
      <c r="E103" s="171"/>
      <c r="F103" s="171"/>
      <c r="G103" s="171"/>
      <c r="H103" s="171" t="s">
        <v>459</v>
      </c>
      <c r="I103" s="171"/>
      <c r="J103" s="176">
        <v>10281.6</v>
      </c>
    </row>
    <row r="104" spans="1:10" x14ac:dyDescent="0.25">
      <c r="A104" s="171"/>
      <c r="B104" s="171"/>
      <c r="C104" s="171"/>
      <c r="D104" s="171"/>
      <c r="E104" s="171"/>
      <c r="F104" s="171"/>
      <c r="G104" s="171"/>
      <c r="H104" s="171" t="s">
        <v>115</v>
      </c>
      <c r="I104" s="171"/>
      <c r="J104" s="176">
        <v>70656</v>
      </c>
    </row>
    <row r="105" spans="1:10" ht="15.75" thickBot="1" x14ac:dyDescent="0.3">
      <c r="A105" s="171"/>
      <c r="B105" s="171"/>
      <c r="C105" s="171"/>
      <c r="D105" s="171"/>
      <c r="E105" s="171"/>
      <c r="F105" s="171"/>
      <c r="G105" s="171"/>
      <c r="H105" s="171" t="s">
        <v>535</v>
      </c>
      <c r="I105" s="171"/>
      <c r="J105" s="220">
        <v>55065</v>
      </c>
    </row>
    <row r="106" spans="1:10" x14ac:dyDescent="0.25">
      <c r="A106" s="171"/>
      <c r="B106" s="171"/>
      <c r="C106" s="171"/>
      <c r="D106" s="171"/>
      <c r="E106" s="171"/>
      <c r="F106" s="171"/>
      <c r="G106" s="171" t="s">
        <v>116</v>
      </c>
      <c r="H106" s="171"/>
      <c r="I106" s="171"/>
      <c r="J106" s="176">
        <f>ROUND(SUM(J97:J105),5)</f>
        <v>336461.21</v>
      </c>
    </row>
    <row r="107" spans="1:10" ht="30" customHeight="1" x14ac:dyDescent="0.25">
      <c r="A107" s="171"/>
      <c r="B107" s="171"/>
      <c r="C107" s="171"/>
      <c r="D107" s="171"/>
      <c r="E107" s="171"/>
      <c r="F107" s="171"/>
      <c r="G107" s="171" t="s">
        <v>117</v>
      </c>
      <c r="H107" s="171"/>
      <c r="I107" s="171"/>
      <c r="J107" s="176"/>
    </row>
    <row r="108" spans="1:10" x14ac:dyDescent="0.25">
      <c r="A108" s="171"/>
      <c r="B108" s="171"/>
      <c r="C108" s="171"/>
      <c r="D108" s="171"/>
      <c r="E108" s="171"/>
      <c r="F108" s="171"/>
      <c r="G108" s="171"/>
      <c r="H108" s="171" t="s">
        <v>118</v>
      </c>
      <c r="I108" s="171"/>
      <c r="J108" s="176">
        <v>37500</v>
      </c>
    </row>
    <row r="109" spans="1:10" x14ac:dyDescent="0.25">
      <c r="A109" s="171"/>
      <c r="B109" s="171"/>
      <c r="C109" s="171"/>
      <c r="D109" s="171"/>
      <c r="E109" s="171"/>
      <c r="F109" s="171"/>
      <c r="G109" s="171"/>
      <c r="H109" s="171" t="s">
        <v>536</v>
      </c>
      <c r="I109" s="171"/>
      <c r="J109" s="176">
        <v>4500</v>
      </c>
    </row>
    <row r="110" spans="1:10" x14ac:dyDescent="0.25">
      <c r="A110" s="171"/>
      <c r="B110" s="171"/>
      <c r="C110" s="171"/>
      <c r="D110" s="171"/>
      <c r="E110" s="171"/>
      <c r="F110" s="171"/>
      <c r="G110" s="171"/>
      <c r="H110" s="171" t="s">
        <v>537</v>
      </c>
      <c r="I110" s="171"/>
      <c r="J110" s="176">
        <v>1125</v>
      </c>
    </row>
    <row r="111" spans="1:10" x14ac:dyDescent="0.25">
      <c r="A111" s="171"/>
      <c r="B111" s="171"/>
      <c r="C111" s="171"/>
      <c r="D111" s="171"/>
      <c r="E111" s="171"/>
      <c r="F111" s="171"/>
      <c r="G111" s="171"/>
      <c r="H111" s="171" t="s">
        <v>647</v>
      </c>
      <c r="I111" s="171"/>
      <c r="J111" s="176">
        <v>3208.33</v>
      </c>
    </row>
    <row r="112" spans="1:10" ht="15.75" thickBot="1" x14ac:dyDescent="0.3">
      <c r="A112" s="171"/>
      <c r="B112" s="171"/>
      <c r="C112" s="171"/>
      <c r="D112" s="171"/>
      <c r="E112" s="171"/>
      <c r="F112" s="171"/>
      <c r="G112" s="171"/>
      <c r="H112" s="171" t="s">
        <v>119</v>
      </c>
      <c r="I112" s="171"/>
      <c r="J112" s="220">
        <v>30000</v>
      </c>
    </row>
    <row r="113" spans="1:10" x14ac:dyDescent="0.25">
      <c r="A113" s="171"/>
      <c r="B113" s="171"/>
      <c r="C113" s="171"/>
      <c r="D113" s="171"/>
      <c r="E113" s="171"/>
      <c r="F113" s="171"/>
      <c r="G113" s="171" t="s">
        <v>120</v>
      </c>
      <c r="H113" s="171"/>
      <c r="I113" s="171"/>
      <c r="J113" s="176">
        <f>ROUND(SUM(J107:J112),5)</f>
        <v>76333.33</v>
      </c>
    </row>
    <row r="114" spans="1:10" ht="30" customHeight="1" x14ac:dyDescent="0.25">
      <c r="A114" s="171"/>
      <c r="B114" s="171"/>
      <c r="C114" s="171"/>
      <c r="D114" s="171"/>
      <c r="E114" s="171"/>
      <c r="F114" s="171"/>
      <c r="G114" s="171" t="s">
        <v>121</v>
      </c>
      <c r="H114" s="171"/>
      <c r="I114" s="171"/>
      <c r="J114" s="176"/>
    </row>
    <row r="115" spans="1:10" x14ac:dyDescent="0.25">
      <c r="A115" s="171"/>
      <c r="B115" s="171"/>
      <c r="C115" s="171"/>
      <c r="D115" s="171"/>
      <c r="E115" s="171"/>
      <c r="F115" s="171"/>
      <c r="G115" s="171"/>
      <c r="H115" s="171" t="s">
        <v>538</v>
      </c>
      <c r="I115" s="171"/>
      <c r="J115" s="176">
        <v>-2455.4499999999998</v>
      </c>
    </row>
    <row r="116" spans="1:10" ht="15.75" thickBot="1" x14ac:dyDescent="0.3">
      <c r="A116" s="171"/>
      <c r="B116" s="171"/>
      <c r="C116" s="171"/>
      <c r="D116" s="171"/>
      <c r="E116" s="171"/>
      <c r="F116" s="171"/>
      <c r="G116" s="171"/>
      <c r="H116" s="171" t="s">
        <v>460</v>
      </c>
      <c r="I116" s="171"/>
      <c r="J116" s="220">
        <v>7154.49</v>
      </c>
    </row>
    <row r="117" spans="1:10" x14ac:dyDescent="0.25">
      <c r="A117" s="171"/>
      <c r="B117" s="171"/>
      <c r="C117" s="171"/>
      <c r="D117" s="171"/>
      <c r="E117" s="171"/>
      <c r="F117" s="171"/>
      <c r="G117" s="171" t="s">
        <v>122</v>
      </c>
      <c r="H117" s="171"/>
      <c r="I117" s="171"/>
      <c r="J117" s="176">
        <f>ROUND(SUM(J114:J116),5)</f>
        <v>4699.04</v>
      </c>
    </row>
    <row r="118" spans="1:10" ht="30" customHeight="1" x14ac:dyDescent="0.25">
      <c r="A118" s="171"/>
      <c r="B118" s="171"/>
      <c r="C118" s="171"/>
      <c r="D118" s="171"/>
      <c r="E118" s="171"/>
      <c r="F118" s="171"/>
      <c r="G118" s="171" t="s">
        <v>123</v>
      </c>
      <c r="H118" s="171"/>
      <c r="I118" s="171"/>
      <c r="J118" s="176"/>
    </row>
    <row r="119" spans="1:10" ht="15.75" thickBot="1" x14ac:dyDescent="0.3">
      <c r="A119" s="171"/>
      <c r="B119" s="171"/>
      <c r="C119" s="171"/>
      <c r="D119" s="171"/>
      <c r="E119" s="171"/>
      <c r="F119" s="171"/>
      <c r="G119" s="171"/>
      <c r="H119" s="171" t="s">
        <v>462</v>
      </c>
      <c r="I119" s="171"/>
      <c r="J119" s="220">
        <v>2850</v>
      </c>
    </row>
    <row r="120" spans="1:10" x14ac:dyDescent="0.25">
      <c r="A120" s="171"/>
      <c r="B120" s="171"/>
      <c r="C120" s="171"/>
      <c r="D120" s="171"/>
      <c r="E120" s="171"/>
      <c r="F120" s="171"/>
      <c r="G120" s="171" t="s">
        <v>125</v>
      </c>
      <c r="H120" s="171"/>
      <c r="I120" s="171"/>
      <c r="J120" s="176">
        <f>ROUND(SUM(J118:J119),5)</f>
        <v>2850</v>
      </c>
    </row>
    <row r="121" spans="1:10" ht="30" customHeight="1" x14ac:dyDescent="0.25">
      <c r="A121" s="171"/>
      <c r="B121" s="171"/>
      <c r="C121" s="171"/>
      <c r="D121" s="171"/>
      <c r="E121" s="171"/>
      <c r="F121" s="171"/>
      <c r="G121" s="171" t="s">
        <v>126</v>
      </c>
      <c r="H121" s="171"/>
      <c r="I121" s="171"/>
      <c r="J121" s="176"/>
    </row>
    <row r="122" spans="1:10" x14ac:dyDescent="0.25">
      <c r="A122" s="171"/>
      <c r="B122" s="171"/>
      <c r="C122" s="171"/>
      <c r="D122" s="171"/>
      <c r="E122" s="171"/>
      <c r="F122" s="171"/>
      <c r="G122" s="171"/>
      <c r="H122" s="171" t="s">
        <v>127</v>
      </c>
      <c r="I122" s="171"/>
      <c r="J122" s="176">
        <v>12354</v>
      </c>
    </row>
    <row r="123" spans="1:10" x14ac:dyDescent="0.25">
      <c r="A123" s="171"/>
      <c r="B123" s="171"/>
      <c r="C123" s="171"/>
      <c r="D123" s="171"/>
      <c r="E123" s="171"/>
      <c r="F123" s="171"/>
      <c r="G123" s="171"/>
      <c r="H123" s="171" t="s">
        <v>128</v>
      </c>
      <c r="I123" s="171"/>
      <c r="J123" s="176">
        <v>47412</v>
      </c>
    </row>
    <row r="124" spans="1:10" ht="15.75" thickBot="1" x14ac:dyDescent="0.3">
      <c r="A124" s="171"/>
      <c r="B124" s="171"/>
      <c r="C124" s="171"/>
      <c r="D124" s="171"/>
      <c r="E124" s="171"/>
      <c r="F124" s="171"/>
      <c r="G124" s="171"/>
      <c r="H124" s="171" t="s">
        <v>129</v>
      </c>
      <c r="I124" s="171"/>
      <c r="J124" s="220">
        <v>9514</v>
      </c>
    </row>
    <row r="125" spans="1:10" x14ac:dyDescent="0.25">
      <c r="A125" s="171"/>
      <c r="B125" s="171"/>
      <c r="C125" s="171"/>
      <c r="D125" s="171"/>
      <c r="E125" s="171"/>
      <c r="F125" s="171"/>
      <c r="G125" s="171" t="s">
        <v>130</v>
      </c>
      <c r="H125" s="171"/>
      <c r="I125" s="171"/>
      <c r="J125" s="176">
        <f>ROUND(SUM(J121:J124),5)</f>
        <v>69280</v>
      </c>
    </row>
    <row r="126" spans="1:10" ht="30" customHeight="1" x14ac:dyDescent="0.25">
      <c r="A126" s="171"/>
      <c r="B126" s="171"/>
      <c r="C126" s="171"/>
      <c r="D126" s="171"/>
      <c r="E126" s="171"/>
      <c r="F126" s="171"/>
      <c r="G126" s="171" t="s">
        <v>131</v>
      </c>
      <c r="H126" s="171"/>
      <c r="I126" s="171"/>
      <c r="J126" s="176"/>
    </row>
    <row r="127" spans="1:10" ht="15.75" thickBot="1" x14ac:dyDescent="0.3">
      <c r="A127" s="171"/>
      <c r="B127" s="171"/>
      <c r="C127" s="171"/>
      <c r="D127" s="171"/>
      <c r="E127" s="171"/>
      <c r="F127" s="171"/>
      <c r="G127" s="171"/>
      <c r="H127" s="171" t="s">
        <v>132</v>
      </c>
      <c r="I127" s="171"/>
      <c r="J127" s="220">
        <v>500</v>
      </c>
    </row>
    <row r="128" spans="1:10" x14ac:dyDescent="0.25">
      <c r="A128" s="171"/>
      <c r="B128" s="171"/>
      <c r="C128" s="171"/>
      <c r="D128" s="171"/>
      <c r="E128" s="171"/>
      <c r="F128" s="171"/>
      <c r="G128" s="171" t="s">
        <v>133</v>
      </c>
      <c r="H128" s="171"/>
      <c r="I128" s="171"/>
      <c r="J128" s="176">
        <f>ROUND(SUM(J126:J127),5)</f>
        <v>500</v>
      </c>
    </row>
    <row r="129" spans="1:10" ht="30" customHeight="1" thickBot="1" x14ac:dyDescent="0.3">
      <c r="A129" s="171"/>
      <c r="B129" s="171"/>
      <c r="C129" s="171"/>
      <c r="D129" s="171"/>
      <c r="E129" s="171"/>
      <c r="F129" s="171"/>
      <c r="G129" s="171" t="s">
        <v>681</v>
      </c>
      <c r="H129" s="171"/>
      <c r="I129" s="171"/>
      <c r="J129" s="220">
        <v>1710</v>
      </c>
    </row>
    <row r="130" spans="1:10" x14ac:dyDescent="0.25">
      <c r="A130" s="171"/>
      <c r="B130" s="171"/>
      <c r="C130" s="171"/>
      <c r="D130" s="171"/>
      <c r="E130" s="171"/>
      <c r="F130" s="171" t="s">
        <v>134</v>
      </c>
      <c r="G130" s="171"/>
      <c r="H130" s="171"/>
      <c r="I130" s="171"/>
      <c r="J130" s="176">
        <f>ROUND(J96+J106+J113+J117+J120+J125+SUM(J128:J129),5)</f>
        <v>491833.58</v>
      </c>
    </row>
    <row r="131" spans="1:10" ht="30" customHeight="1" x14ac:dyDescent="0.25">
      <c r="A131" s="171"/>
      <c r="B131" s="171"/>
      <c r="C131" s="171"/>
      <c r="D131" s="171"/>
      <c r="E131" s="171"/>
      <c r="F131" s="171" t="s">
        <v>135</v>
      </c>
      <c r="G131" s="171"/>
      <c r="H131" s="171"/>
      <c r="I131" s="171"/>
      <c r="J131" s="176"/>
    </row>
    <row r="132" spans="1:10" x14ac:dyDescent="0.25">
      <c r="A132" s="171"/>
      <c r="B132" s="171"/>
      <c r="C132" s="171"/>
      <c r="D132" s="171"/>
      <c r="E132" s="171"/>
      <c r="F132" s="171"/>
      <c r="G132" s="171" t="s">
        <v>192</v>
      </c>
      <c r="H132" s="171"/>
      <c r="I132" s="171"/>
      <c r="J132" s="176"/>
    </row>
    <row r="133" spans="1:10" x14ac:dyDescent="0.25">
      <c r="A133" s="171"/>
      <c r="B133" s="171"/>
      <c r="C133" s="171"/>
      <c r="D133" s="171"/>
      <c r="E133" s="171"/>
      <c r="F133" s="171"/>
      <c r="G133" s="171"/>
      <c r="H133" s="171" t="s">
        <v>193</v>
      </c>
      <c r="I133" s="171"/>
      <c r="J133" s="176">
        <v>8300</v>
      </c>
    </row>
    <row r="134" spans="1:10" ht="15.75" thickBot="1" x14ac:dyDescent="0.3">
      <c r="A134" s="171"/>
      <c r="B134" s="171"/>
      <c r="C134" s="171"/>
      <c r="D134" s="171"/>
      <c r="E134" s="171"/>
      <c r="F134" s="171"/>
      <c r="G134" s="171"/>
      <c r="H134" s="171" t="s">
        <v>544</v>
      </c>
      <c r="I134" s="171"/>
      <c r="J134" s="220">
        <v>14369</v>
      </c>
    </row>
    <row r="135" spans="1:10" x14ac:dyDescent="0.25">
      <c r="A135" s="171"/>
      <c r="B135" s="171"/>
      <c r="C135" s="171"/>
      <c r="D135" s="171"/>
      <c r="E135" s="171"/>
      <c r="F135" s="171"/>
      <c r="G135" s="171" t="s">
        <v>194</v>
      </c>
      <c r="H135" s="171"/>
      <c r="I135" s="171"/>
      <c r="J135" s="176">
        <f>ROUND(SUM(J132:J134),5)</f>
        <v>22669</v>
      </c>
    </row>
    <row r="136" spans="1:10" ht="30" customHeight="1" x14ac:dyDescent="0.25">
      <c r="A136" s="171"/>
      <c r="B136" s="171"/>
      <c r="C136" s="171"/>
      <c r="D136" s="171"/>
      <c r="E136" s="171"/>
      <c r="F136" s="171"/>
      <c r="G136" s="171" t="s">
        <v>195</v>
      </c>
      <c r="H136" s="171"/>
      <c r="I136" s="171"/>
      <c r="J136" s="176"/>
    </row>
    <row r="137" spans="1:10" x14ac:dyDescent="0.25">
      <c r="A137" s="171"/>
      <c r="B137" s="171"/>
      <c r="C137" s="171"/>
      <c r="D137" s="171"/>
      <c r="E137" s="171"/>
      <c r="F137" s="171"/>
      <c r="G137" s="171"/>
      <c r="H137" s="171" t="s">
        <v>136</v>
      </c>
      <c r="I137" s="171"/>
      <c r="J137" s="176">
        <v>2400</v>
      </c>
    </row>
    <row r="138" spans="1:10" ht="15.75" thickBot="1" x14ac:dyDescent="0.3">
      <c r="A138" s="171"/>
      <c r="B138" s="171"/>
      <c r="C138" s="171"/>
      <c r="D138" s="171"/>
      <c r="E138" s="171"/>
      <c r="F138" s="171"/>
      <c r="G138" s="171"/>
      <c r="H138" s="171" t="s">
        <v>137</v>
      </c>
      <c r="I138" s="171"/>
      <c r="J138" s="8">
        <v>45201</v>
      </c>
    </row>
    <row r="139" spans="1:10" ht="15.75" thickBot="1" x14ac:dyDescent="0.3">
      <c r="A139" s="171"/>
      <c r="B139" s="171"/>
      <c r="C139" s="171"/>
      <c r="D139" s="171"/>
      <c r="E139" s="171"/>
      <c r="F139" s="171"/>
      <c r="G139" s="171" t="s">
        <v>196</v>
      </c>
      <c r="H139" s="171"/>
      <c r="I139" s="171"/>
      <c r="J139" s="10">
        <f>ROUND(SUM(J136:J138),5)</f>
        <v>47601</v>
      </c>
    </row>
    <row r="140" spans="1:10" ht="30" customHeight="1" x14ac:dyDescent="0.25">
      <c r="A140" s="171"/>
      <c r="B140" s="171"/>
      <c r="C140" s="171"/>
      <c r="D140" s="171"/>
      <c r="E140" s="171"/>
      <c r="F140" s="171" t="s">
        <v>138</v>
      </c>
      <c r="G140" s="171"/>
      <c r="H140" s="171"/>
      <c r="I140" s="171"/>
      <c r="J140" s="176">
        <f>ROUND(J131+J135+J139,5)</f>
        <v>70270</v>
      </c>
    </row>
    <row r="141" spans="1:10" ht="30" customHeight="1" x14ac:dyDescent="0.25">
      <c r="A141" s="171"/>
      <c r="B141" s="171"/>
      <c r="C141" s="171"/>
      <c r="D141" s="171"/>
      <c r="E141" s="171"/>
      <c r="F141" s="171" t="s">
        <v>206</v>
      </c>
      <c r="G141" s="171"/>
      <c r="H141" s="171"/>
      <c r="I141" s="171"/>
      <c r="J141" s="176"/>
    </row>
    <row r="142" spans="1:10" x14ac:dyDescent="0.25">
      <c r="A142" s="171"/>
      <c r="B142" s="171"/>
      <c r="C142" s="171"/>
      <c r="D142" s="171"/>
      <c r="E142" s="171"/>
      <c r="F142" s="171"/>
      <c r="G142" s="171" t="s">
        <v>184</v>
      </c>
      <c r="H142" s="171"/>
      <c r="I142" s="171"/>
      <c r="J142" s="176"/>
    </row>
    <row r="143" spans="1:10" x14ac:dyDescent="0.25">
      <c r="A143" s="171"/>
      <c r="B143" s="171"/>
      <c r="C143" s="171"/>
      <c r="D143" s="171"/>
      <c r="E143" s="171"/>
      <c r="F143" s="171"/>
      <c r="G143" s="171"/>
      <c r="H143" s="171" t="s">
        <v>464</v>
      </c>
      <c r="I143" s="171"/>
      <c r="J143" s="176">
        <v>60078</v>
      </c>
    </row>
    <row r="144" spans="1:10" x14ac:dyDescent="0.25">
      <c r="A144" s="171"/>
      <c r="B144" s="171"/>
      <c r="C144" s="171"/>
      <c r="D144" s="171"/>
      <c r="E144" s="171"/>
      <c r="F144" s="171"/>
      <c r="G144" s="171"/>
      <c r="H144" s="171" t="s">
        <v>185</v>
      </c>
      <c r="I144" s="171"/>
      <c r="J144" s="176"/>
    </row>
    <row r="145" spans="1:10" x14ac:dyDescent="0.25">
      <c r="A145" s="171"/>
      <c r="B145" s="171"/>
      <c r="C145" s="171"/>
      <c r="D145" s="171"/>
      <c r="E145" s="171"/>
      <c r="F145" s="171"/>
      <c r="G145" s="171"/>
      <c r="H145" s="171"/>
      <c r="I145" s="171" t="s">
        <v>262</v>
      </c>
      <c r="J145" s="176">
        <v>37997</v>
      </c>
    </row>
    <row r="146" spans="1:10" ht="15.75" thickBot="1" x14ac:dyDescent="0.3">
      <c r="A146" s="171"/>
      <c r="B146" s="171"/>
      <c r="C146" s="171"/>
      <c r="D146" s="171"/>
      <c r="E146" s="171"/>
      <c r="F146" s="171"/>
      <c r="G146" s="171"/>
      <c r="H146" s="171"/>
      <c r="I146" s="171" t="s">
        <v>552</v>
      </c>
      <c r="J146" s="220">
        <v>590</v>
      </c>
    </row>
    <row r="147" spans="1:10" x14ac:dyDescent="0.25">
      <c r="A147" s="171"/>
      <c r="B147" s="171"/>
      <c r="C147" s="171"/>
      <c r="D147" s="171"/>
      <c r="E147" s="171"/>
      <c r="F147" s="171"/>
      <c r="G147" s="171"/>
      <c r="H147" s="171" t="s">
        <v>263</v>
      </c>
      <c r="I147" s="171"/>
      <c r="J147" s="176">
        <f>ROUND(SUM(J144:J146),5)</f>
        <v>38587</v>
      </c>
    </row>
    <row r="148" spans="1:10" ht="30" customHeight="1" thickBot="1" x14ac:dyDescent="0.3">
      <c r="A148" s="171"/>
      <c r="B148" s="171"/>
      <c r="C148" s="171"/>
      <c r="D148" s="171"/>
      <c r="E148" s="171"/>
      <c r="F148" s="171"/>
      <c r="G148" s="171"/>
      <c r="H148" s="171" t="s">
        <v>553</v>
      </c>
      <c r="I148" s="171"/>
      <c r="J148" s="220">
        <v>-470.57</v>
      </c>
    </row>
    <row r="149" spans="1:10" x14ac:dyDescent="0.25">
      <c r="A149" s="171"/>
      <c r="B149" s="171"/>
      <c r="C149" s="171"/>
      <c r="D149" s="171"/>
      <c r="E149" s="171"/>
      <c r="F149" s="171"/>
      <c r="G149" s="171" t="s">
        <v>186</v>
      </c>
      <c r="H149" s="171"/>
      <c r="I149" s="171"/>
      <c r="J149" s="176">
        <f>ROUND(SUM(J142:J143)+SUM(J147:J148),5)</f>
        <v>98194.43</v>
      </c>
    </row>
    <row r="150" spans="1:10" ht="30" customHeight="1" x14ac:dyDescent="0.25">
      <c r="A150" s="171"/>
      <c r="B150" s="171"/>
      <c r="C150" s="171"/>
      <c r="D150" s="171"/>
      <c r="E150" s="171"/>
      <c r="F150" s="171"/>
      <c r="G150" s="171" t="s">
        <v>207</v>
      </c>
      <c r="H150" s="171"/>
      <c r="I150" s="171"/>
      <c r="J150" s="176"/>
    </row>
    <row r="151" spans="1:10" x14ac:dyDescent="0.25">
      <c r="A151" s="171"/>
      <c r="B151" s="171"/>
      <c r="C151" s="171"/>
      <c r="D151" s="171"/>
      <c r="E151" s="171"/>
      <c r="F151" s="171"/>
      <c r="G151" s="171"/>
      <c r="H151" s="171" t="s">
        <v>211</v>
      </c>
      <c r="I151" s="171"/>
      <c r="J151" s="176">
        <v>81000</v>
      </c>
    </row>
    <row r="152" spans="1:10" x14ac:dyDescent="0.25">
      <c r="A152" s="171"/>
      <c r="B152" s="171"/>
      <c r="C152" s="171"/>
      <c r="D152" s="171"/>
      <c r="E152" s="171"/>
      <c r="F152" s="171"/>
      <c r="G152" s="171"/>
      <c r="H152" s="171" t="s">
        <v>554</v>
      </c>
      <c r="I152" s="171"/>
      <c r="J152" s="176">
        <v>4800</v>
      </c>
    </row>
    <row r="153" spans="1:10" ht="15.75" thickBot="1" x14ac:dyDescent="0.3">
      <c r="A153" s="171"/>
      <c r="B153" s="171"/>
      <c r="C153" s="171"/>
      <c r="D153" s="171"/>
      <c r="E153" s="171"/>
      <c r="F153" s="171"/>
      <c r="G153" s="171"/>
      <c r="H153" s="171" t="s">
        <v>555</v>
      </c>
      <c r="I153" s="171"/>
      <c r="J153" s="220">
        <v>1200</v>
      </c>
    </row>
    <row r="154" spans="1:10" x14ac:dyDescent="0.25">
      <c r="A154" s="171"/>
      <c r="B154" s="171"/>
      <c r="C154" s="171"/>
      <c r="D154" s="171"/>
      <c r="E154" s="171"/>
      <c r="F154" s="171"/>
      <c r="G154" s="171" t="s">
        <v>208</v>
      </c>
      <c r="H154" s="171"/>
      <c r="I154" s="171"/>
      <c r="J154" s="176">
        <f>ROUND(SUM(J150:J153),5)</f>
        <v>87000</v>
      </c>
    </row>
    <row r="155" spans="1:10" ht="30" customHeight="1" x14ac:dyDescent="0.25">
      <c r="A155" s="171"/>
      <c r="B155" s="171"/>
      <c r="C155" s="171"/>
      <c r="D155" s="171"/>
      <c r="E155" s="171"/>
      <c r="F155" s="171"/>
      <c r="G155" s="171" t="s">
        <v>187</v>
      </c>
      <c r="H155" s="171"/>
      <c r="I155" s="171"/>
      <c r="J155" s="176"/>
    </row>
    <row r="156" spans="1:10" x14ac:dyDescent="0.25">
      <c r="A156" s="171"/>
      <c r="B156" s="171"/>
      <c r="C156" s="171"/>
      <c r="D156" s="171"/>
      <c r="E156" s="171"/>
      <c r="F156" s="171"/>
      <c r="G156" s="171"/>
      <c r="H156" s="171" t="s">
        <v>651</v>
      </c>
      <c r="I156" s="171"/>
      <c r="J156" s="176">
        <v>450</v>
      </c>
    </row>
    <row r="157" spans="1:10" x14ac:dyDescent="0.25">
      <c r="A157" s="171"/>
      <c r="B157" s="171"/>
      <c r="C157" s="171"/>
      <c r="D157" s="171"/>
      <c r="E157" s="171"/>
      <c r="F157" s="171"/>
      <c r="G157" s="171"/>
      <c r="H157" s="171" t="s">
        <v>556</v>
      </c>
      <c r="I157" s="171"/>
      <c r="J157" s="176">
        <v>1675</v>
      </c>
    </row>
    <row r="158" spans="1:10" ht="15.75" thickBot="1" x14ac:dyDescent="0.3">
      <c r="A158" s="171"/>
      <c r="B158" s="171"/>
      <c r="C158" s="171"/>
      <c r="D158" s="171"/>
      <c r="E158" s="171"/>
      <c r="F158" s="171"/>
      <c r="G158" s="171"/>
      <c r="H158" s="171" t="s">
        <v>209</v>
      </c>
      <c r="I158" s="171"/>
      <c r="J158" s="8">
        <v>45000</v>
      </c>
    </row>
    <row r="159" spans="1:10" ht="15.75" thickBot="1" x14ac:dyDescent="0.3">
      <c r="A159" s="171"/>
      <c r="B159" s="171"/>
      <c r="C159" s="171"/>
      <c r="D159" s="171"/>
      <c r="E159" s="171"/>
      <c r="F159" s="171"/>
      <c r="G159" s="171" t="s">
        <v>188</v>
      </c>
      <c r="H159" s="171"/>
      <c r="I159" s="171"/>
      <c r="J159" s="10">
        <f>ROUND(SUM(J155:J158),5)</f>
        <v>47125</v>
      </c>
    </row>
    <row r="160" spans="1:10" ht="30" customHeight="1" x14ac:dyDescent="0.25">
      <c r="A160" s="171"/>
      <c r="B160" s="171"/>
      <c r="C160" s="171"/>
      <c r="D160" s="171"/>
      <c r="E160" s="171"/>
      <c r="F160" s="171" t="s">
        <v>210</v>
      </c>
      <c r="G160" s="171"/>
      <c r="H160" s="171"/>
      <c r="I160" s="171"/>
      <c r="J160" s="176">
        <f>ROUND(J141+J149+J154+J159,5)</f>
        <v>232319.43</v>
      </c>
    </row>
    <row r="161" spans="1:10" ht="30" customHeight="1" x14ac:dyDescent="0.25">
      <c r="A161" s="171"/>
      <c r="B161" s="171"/>
      <c r="C161" s="171"/>
      <c r="D161" s="171"/>
      <c r="E161" s="171"/>
      <c r="F161" s="171" t="s">
        <v>465</v>
      </c>
      <c r="G161" s="171"/>
      <c r="H161" s="171"/>
      <c r="I161" s="171"/>
      <c r="J161" s="176"/>
    </row>
    <row r="162" spans="1:10" ht="15.75" thickBot="1" x14ac:dyDescent="0.3">
      <c r="A162" s="171"/>
      <c r="B162" s="171"/>
      <c r="C162" s="171"/>
      <c r="D162" s="171"/>
      <c r="E162" s="171"/>
      <c r="F162" s="171"/>
      <c r="G162" s="171" t="s">
        <v>483</v>
      </c>
      <c r="H162" s="171"/>
      <c r="I162" s="171"/>
      <c r="J162" s="220">
        <v>1127.5</v>
      </c>
    </row>
    <row r="163" spans="1:10" x14ac:dyDescent="0.25">
      <c r="A163" s="171"/>
      <c r="B163" s="171"/>
      <c r="C163" s="171"/>
      <c r="D163" s="171"/>
      <c r="E163" s="171"/>
      <c r="F163" s="171" t="s">
        <v>467</v>
      </c>
      <c r="G163" s="171"/>
      <c r="H163" s="171"/>
      <c r="I163" s="171"/>
      <c r="J163" s="176">
        <f>ROUND(SUM(J161:J162),5)</f>
        <v>1127.5</v>
      </c>
    </row>
    <row r="164" spans="1:10" ht="30" customHeight="1" x14ac:dyDescent="0.25">
      <c r="A164" s="171"/>
      <c r="B164" s="171"/>
      <c r="C164" s="171"/>
      <c r="D164" s="171"/>
      <c r="E164" s="171"/>
      <c r="F164" s="171" t="s">
        <v>139</v>
      </c>
      <c r="G164" s="171"/>
      <c r="H164" s="171"/>
      <c r="I164" s="171"/>
      <c r="J164" s="176"/>
    </row>
    <row r="165" spans="1:10" x14ac:dyDescent="0.25">
      <c r="A165" s="171"/>
      <c r="B165" s="171"/>
      <c r="C165" s="171"/>
      <c r="D165" s="171"/>
      <c r="E165" s="171"/>
      <c r="F165" s="171"/>
      <c r="G165" s="171" t="s">
        <v>468</v>
      </c>
      <c r="H165" s="171"/>
      <c r="I165" s="171"/>
      <c r="J165" s="176"/>
    </row>
    <row r="166" spans="1:10" x14ac:dyDescent="0.25">
      <c r="A166" s="171"/>
      <c r="B166" s="171"/>
      <c r="C166" s="171"/>
      <c r="D166" s="171"/>
      <c r="E166" s="171"/>
      <c r="F166" s="171"/>
      <c r="G166" s="171"/>
      <c r="H166" s="171" t="s">
        <v>747</v>
      </c>
      <c r="I166" s="171"/>
      <c r="J166" s="176">
        <v>0</v>
      </c>
    </row>
    <row r="167" spans="1:10" x14ac:dyDescent="0.25">
      <c r="A167" s="171"/>
      <c r="B167" s="171"/>
      <c r="C167" s="171"/>
      <c r="D167" s="171"/>
      <c r="E167" s="171"/>
      <c r="F167" s="171"/>
      <c r="G167" s="171"/>
      <c r="H167" s="171" t="s">
        <v>649</v>
      </c>
      <c r="I167" s="171"/>
      <c r="J167" s="176">
        <v>24000</v>
      </c>
    </row>
    <row r="168" spans="1:10" x14ac:dyDescent="0.25">
      <c r="A168" s="171"/>
      <c r="B168" s="171"/>
      <c r="C168" s="171"/>
      <c r="D168" s="171"/>
      <c r="E168" s="171"/>
      <c r="F168" s="171"/>
      <c r="G168" s="171"/>
      <c r="H168" s="171" t="s">
        <v>650</v>
      </c>
      <c r="I168" s="171"/>
      <c r="J168" s="176">
        <v>6000</v>
      </c>
    </row>
    <row r="169" spans="1:10" ht="15.75" thickBot="1" x14ac:dyDescent="0.3">
      <c r="A169" s="171"/>
      <c r="B169" s="171"/>
      <c r="C169" s="171"/>
      <c r="D169" s="171"/>
      <c r="E169" s="171"/>
      <c r="F169" s="171"/>
      <c r="G169" s="171"/>
      <c r="H169" s="171" t="s">
        <v>140</v>
      </c>
      <c r="I169" s="171"/>
      <c r="J169" s="220">
        <v>350000</v>
      </c>
    </row>
    <row r="170" spans="1:10" x14ac:dyDescent="0.25">
      <c r="A170" s="171"/>
      <c r="B170" s="171"/>
      <c r="C170" s="171"/>
      <c r="D170" s="171"/>
      <c r="E170" s="171"/>
      <c r="F170" s="171"/>
      <c r="G170" s="171" t="s">
        <v>469</v>
      </c>
      <c r="H170" s="171"/>
      <c r="I170" s="171"/>
      <c r="J170" s="176">
        <f>ROUND(SUM(J165:J169),5)</f>
        <v>380000</v>
      </c>
    </row>
    <row r="171" spans="1:10" ht="30" customHeight="1" x14ac:dyDescent="0.25">
      <c r="A171" s="171"/>
      <c r="B171" s="171"/>
      <c r="C171" s="171"/>
      <c r="D171" s="171"/>
      <c r="E171" s="171"/>
      <c r="F171" s="171"/>
      <c r="G171" s="171" t="s">
        <v>141</v>
      </c>
      <c r="H171" s="171"/>
      <c r="I171" s="171"/>
      <c r="J171" s="176"/>
    </row>
    <row r="172" spans="1:10" x14ac:dyDescent="0.25">
      <c r="A172" s="171"/>
      <c r="B172" s="171"/>
      <c r="C172" s="171"/>
      <c r="D172" s="171"/>
      <c r="E172" s="171"/>
      <c r="F172" s="171"/>
      <c r="G172" s="171"/>
      <c r="H172" s="171" t="s">
        <v>142</v>
      </c>
      <c r="I172" s="171"/>
      <c r="J172" s="176">
        <v>244373</v>
      </c>
    </row>
    <row r="173" spans="1:10" x14ac:dyDescent="0.25">
      <c r="A173" s="171"/>
      <c r="B173" s="171"/>
      <c r="C173" s="171"/>
      <c r="D173" s="171"/>
      <c r="E173" s="171"/>
      <c r="F173" s="171"/>
      <c r="G173" s="171"/>
      <c r="H173" s="171" t="s">
        <v>143</v>
      </c>
      <c r="I173" s="171"/>
      <c r="J173" s="176">
        <v>241589.04</v>
      </c>
    </row>
    <row r="174" spans="1:10" x14ac:dyDescent="0.25">
      <c r="A174" s="171"/>
      <c r="B174" s="171"/>
      <c r="C174" s="171"/>
      <c r="D174" s="171"/>
      <c r="E174" s="171"/>
      <c r="F174" s="171"/>
      <c r="G174" s="171"/>
      <c r="H174" s="171" t="s">
        <v>470</v>
      </c>
      <c r="I174" s="171"/>
      <c r="J174" s="176">
        <v>8600</v>
      </c>
    </row>
    <row r="175" spans="1:10" x14ac:dyDescent="0.25">
      <c r="A175" s="171"/>
      <c r="B175" s="171"/>
      <c r="C175" s="171"/>
      <c r="D175" s="171"/>
      <c r="E175" s="171"/>
      <c r="F175" s="171"/>
      <c r="G175" s="171"/>
      <c r="H175" s="171" t="s">
        <v>580</v>
      </c>
      <c r="I175" s="171"/>
      <c r="J175" s="176">
        <v>5550</v>
      </c>
    </row>
    <row r="176" spans="1:10" x14ac:dyDescent="0.25">
      <c r="A176" s="171"/>
      <c r="B176" s="171"/>
      <c r="C176" s="171"/>
      <c r="D176" s="171"/>
      <c r="E176" s="171"/>
      <c r="F176" s="171"/>
      <c r="G176" s="171"/>
      <c r="H176" s="171" t="s">
        <v>144</v>
      </c>
      <c r="I176" s="171"/>
      <c r="J176" s="176">
        <v>17955</v>
      </c>
    </row>
    <row r="177" spans="1:10" x14ac:dyDescent="0.25">
      <c r="A177" s="171"/>
      <c r="B177" s="171"/>
      <c r="C177" s="171"/>
      <c r="D177" s="171"/>
      <c r="E177" s="171"/>
      <c r="F177" s="171"/>
      <c r="G177" s="171"/>
      <c r="H177" s="171" t="s">
        <v>145</v>
      </c>
      <c r="I177" s="171"/>
      <c r="J177" s="176">
        <v>35090</v>
      </c>
    </row>
    <row r="178" spans="1:10" x14ac:dyDescent="0.25">
      <c r="A178" s="171"/>
      <c r="B178" s="171"/>
      <c r="C178" s="171"/>
      <c r="D178" s="171"/>
      <c r="E178" s="171"/>
      <c r="F178" s="171"/>
      <c r="G178" s="171"/>
      <c r="H178" s="171" t="s">
        <v>146</v>
      </c>
      <c r="I178" s="171"/>
      <c r="J178" s="176">
        <v>12580</v>
      </c>
    </row>
    <row r="179" spans="1:10" x14ac:dyDescent="0.25">
      <c r="A179" s="171"/>
      <c r="B179" s="171"/>
      <c r="C179" s="171"/>
      <c r="D179" s="171"/>
      <c r="E179" s="171"/>
      <c r="F179" s="171"/>
      <c r="G179" s="171"/>
      <c r="H179" s="171" t="s">
        <v>582</v>
      </c>
      <c r="I179" s="171"/>
      <c r="J179" s="176">
        <v>88642</v>
      </c>
    </row>
    <row r="180" spans="1:10" ht="15.75" thickBot="1" x14ac:dyDescent="0.3">
      <c r="A180" s="171"/>
      <c r="B180" s="171"/>
      <c r="C180" s="171"/>
      <c r="D180" s="171"/>
      <c r="E180" s="171"/>
      <c r="F180" s="171"/>
      <c r="G180" s="171"/>
      <c r="H180" s="171" t="s">
        <v>147</v>
      </c>
      <c r="I180" s="171"/>
      <c r="J180" s="220">
        <v>6760</v>
      </c>
    </row>
    <row r="181" spans="1:10" x14ac:dyDescent="0.25">
      <c r="A181" s="171"/>
      <c r="B181" s="171"/>
      <c r="C181" s="171"/>
      <c r="D181" s="171"/>
      <c r="E181" s="171"/>
      <c r="F181" s="171"/>
      <c r="G181" s="171" t="s">
        <v>148</v>
      </c>
      <c r="H181" s="171"/>
      <c r="I181" s="171"/>
      <c r="J181" s="176">
        <f>ROUND(SUM(J171:J180),5)</f>
        <v>661139.04</v>
      </c>
    </row>
    <row r="182" spans="1:10" ht="30" customHeight="1" x14ac:dyDescent="0.25">
      <c r="A182" s="171"/>
      <c r="B182" s="171"/>
      <c r="C182" s="171"/>
      <c r="D182" s="171"/>
      <c r="E182" s="171"/>
      <c r="F182" s="171"/>
      <c r="G182" s="171" t="s">
        <v>149</v>
      </c>
      <c r="H182" s="171"/>
      <c r="I182" s="171"/>
      <c r="J182" s="176"/>
    </row>
    <row r="183" spans="1:10" x14ac:dyDescent="0.25">
      <c r="A183" s="171"/>
      <c r="B183" s="171"/>
      <c r="C183" s="171"/>
      <c r="D183" s="171"/>
      <c r="E183" s="171"/>
      <c r="F183" s="171"/>
      <c r="G183" s="171"/>
      <c r="H183" s="171" t="s">
        <v>584</v>
      </c>
      <c r="I183" s="171"/>
      <c r="J183" s="176">
        <v>20721.82</v>
      </c>
    </row>
    <row r="184" spans="1:10" x14ac:dyDescent="0.25">
      <c r="A184" s="171"/>
      <c r="B184" s="171"/>
      <c r="C184" s="171"/>
      <c r="D184" s="171"/>
      <c r="E184" s="171"/>
      <c r="F184" s="171"/>
      <c r="G184" s="171"/>
      <c r="H184" s="171" t="s">
        <v>150</v>
      </c>
      <c r="I184" s="171"/>
      <c r="J184" s="176">
        <v>15300</v>
      </c>
    </row>
    <row r="185" spans="1:10" x14ac:dyDescent="0.25">
      <c r="A185" s="171"/>
      <c r="B185" s="171"/>
      <c r="C185" s="171"/>
      <c r="D185" s="171"/>
      <c r="E185" s="171"/>
      <c r="F185" s="171"/>
      <c r="G185" s="171"/>
      <c r="H185" s="171" t="s">
        <v>151</v>
      </c>
      <c r="I185" s="171"/>
      <c r="J185" s="176">
        <v>6453.7</v>
      </c>
    </row>
    <row r="186" spans="1:10" x14ac:dyDescent="0.25">
      <c r="A186" s="171"/>
      <c r="B186" s="171"/>
      <c r="C186" s="171"/>
      <c r="D186" s="171"/>
      <c r="E186" s="171"/>
      <c r="F186" s="171"/>
      <c r="G186" s="171"/>
      <c r="H186" s="171" t="s">
        <v>152</v>
      </c>
      <c r="I186" s="171"/>
      <c r="J186" s="176">
        <v>33691.19</v>
      </c>
    </row>
    <row r="187" spans="1:10" x14ac:dyDescent="0.25">
      <c r="A187" s="171"/>
      <c r="B187" s="171"/>
      <c r="C187" s="171"/>
      <c r="D187" s="171"/>
      <c r="E187" s="171"/>
      <c r="F187" s="171"/>
      <c r="G187" s="171"/>
      <c r="H187" s="171" t="s">
        <v>472</v>
      </c>
      <c r="I187" s="171"/>
      <c r="J187" s="176">
        <v>3655.73</v>
      </c>
    </row>
    <row r="188" spans="1:10" ht="15.75" thickBot="1" x14ac:dyDescent="0.3">
      <c r="A188" s="171"/>
      <c r="B188" s="171"/>
      <c r="C188" s="171"/>
      <c r="D188" s="171"/>
      <c r="E188" s="171"/>
      <c r="F188" s="171"/>
      <c r="G188" s="171"/>
      <c r="H188" s="171" t="s">
        <v>585</v>
      </c>
      <c r="I188" s="171"/>
      <c r="J188" s="220">
        <v>3655.73</v>
      </c>
    </row>
    <row r="189" spans="1:10" x14ac:dyDescent="0.25">
      <c r="A189" s="171"/>
      <c r="B189" s="171"/>
      <c r="C189" s="171"/>
      <c r="D189" s="171"/>
      <c r="E189" s="171"/>
      <c r="F189" s="171"/>
      <c r="G189" s="171" t="s">
        <v>153</v>
      </c>
      <c r="H189" s="171"/>
      <c r="I189" s="171"/>
      <c r="J189" s="176">
        <f>ROUND(SUM(J182:J188),5)</f>
        <v>83478.17</v>
      </c>
    </row>
    <row r="190" spans="1:10" ht="30" customHeight="1" x14ac:dyDescent="0.25">
      <c r="A190" s="171"/>
      <c r="B190" s="171"/>
      <c r="C190" s="171"/>
      <c r="D190" s="171"/>
      <c r="E190" s="171"/>
      <c r="F190" s="171"/>
      <c r="G190" s="171" t="s">
        <v>154</v>
      </c>
      <c r="H190" s="171"/>
      <c r="I190" s="171"/>
      <c r="J190" s="176"/>
    </row>
    <row r="191" spans="1:10" x14ac:dyDescent="0.25">
      <c r="A191" s="171"/>
      <c r="B191" s="171"/>
      <c r="C191" s="171"/>
      <c r="D191" s="171"/>
      <c r="E191" s="171"/>
      <c r="F191" s="171"/>
      <c r="G191" s="171"/>
      <c r="H191" s="171" t="s">
        <v>155</v>
      </c>
      <c r="I191" s="171"/>
      <c r="J191" s="176">
        <v>19686</v>
      </c>
    </row>
    <row r="192" spans="1:10" x14ac:dyDescent="0.25">
      <c r="A192" s="171"/>
      <c r="B192" s="171"/>
      <c r="C192" s="171"/>
      <c r="D192" s="171"/>
      <c r="E192" s="171"/>
      <c r="F192" s="171"/>
      <c r="G192" s="171"/>
      <c r="H192" s="171" t="s">
        <v>156</v>
      </c>
      <c r="I192" s="171"/>
      <c r="J192" s="176">
        <v>8018.41</v>
      </c>
    </row>
    <row r="193" spans="1:10" x14ac:dyDescent="0.25">
      <c r="A193" s="171"/>
      <c r="B193" s="171"/>
      <c r="C193" s="171"/>
      <c r="D193" s="171"/>
      <c r="E193" s="171"/>
      <c r="F193" s="171"/>
      <c r="G193" s="171"/>
      <c r="H193" s="171" t="s">
        <v>157</v>
      </c>
      <c r="I193" s="171"/>
      <c r="J193" s="176">
        <v>125000</v>
      </c>
    </row>
    <row r="194" spans="1:10" x14ac:dyDescent="0.25">
      <c r="A194" s="171"/>
      <c r="B194" s="171"/>
      <c r="C194" s="171"/>
      <c r="D194" s="171"/>
      <c r="E194" s="171"/>
      <c r="F194" s="171"/>
      <c r="G194" s="171"/>
      <c r="H194" s="171" t="s">
        <v>158</v>
      </c>
      <c r="I194" s="171"/>
      <c r="J194" s="176">
        <v>129011.25</v>
      </c>
    </row>
    <row r="195" spans="1:10" ht="15.75" thickBot="1" x14ac:dyDescent="0.3">
      <c r="A195" s="171"/>
      <c r="B195" s="171"/>
      <c r="C195" s="171"/>
      <c r="D195" s="171"/>
      <c r="E195" s="171"/>
      <c r="F195" s="171"/>
      <c r="G195" s="171"/>
      <c r="H195" s="171" t="s">
        <v>587</v>
      </c>
      <c r="I195" s="171"/>
      <c r="J195" s="220">
        <v>24370</v>
      </c>
    </row>
    <row r="196" spans="1:10" x14ac:dyDescent="0.25">
      <c r="A196" s="171"/>
      <c r="B196" s="171"/>
      <c r="C196" s="171"/>
      <c r="D196" s="171"/>
      <c r="E196" s="171"/>
      <c r="F196" s="171"/>
      <c r="G196" s="171" t="s">
        <v>159</v>
      </c>
      <c r="H196" s="171"/>
      <c r="I196" s="171"/>
      <c r="J196" s="176">
        <f>ROUND(SUM(J190:J195),5)</f>
        <v>306085.65999999997</v>
      </c>
    </row>
    <row r="197" spans="1:10" ht="30" customHeight="1" x14ac:dyDescent="0.25">
      <c r="A197" s="171"/>
      <c r="B197" s="171"/>
      <c r="C197" s="171"/>
      <c r="D197" s="171"/>
      <c r="E197" s="171"/>
      <c r="F197" s="171"/>
      <c r="G197" s="171" t="s">
        <v>160</v>
      </c>
      <c r="H197" s="171"/>
      <c r="I197" s="171"/>
      <c r="J197" s="176"/>
    </row>
    <row r="198" spans="1:10" x14ac:dyDescent="0.25">
      <c r="A198" s="171"/>
      <c r="B198" s="171"/>
      <c r="C198" s="171"/>
      <c r="D198" s="171"/>
      <c r="E198" s="171"/>
      <c r="F198" s="171"/>
      <c r="G198" s="171"/>
      <c r="H198" s="171" t="s">
        <v>161</v>
      </c>
      <c r="I198" s="171"/>
      <c r="J198" s="176">
        <v>61835</v>
      </c>
    </row>
    <row r="199" spans="1:10" x14ac:dyDescent="0.25">
      <c r="A199" s="171"/>
      <c r="B199" s="171"/>
      <c r="C199" s="171"/>
      <c r="D199" s="171"/>
      <c r="E199" s="171"/>
      <c r="F199" s="171"/>
      <c r="G199" s="171"/>
      <c r="H199" s="171" t="s">
        <v>693</v>
      </c>
      <c r="I199" s="171"/>
      <c r="J199" s="176">
        <v>449400</v>
      </c>
    </row>
    <row r="200" spans="1:10" x14ac:dyDescent="0.25">
      <c r="A200" s="171"/>
      <c r="B200" s="171"/>
      <c r="C200" s="171"/>
      <c r="D200" s="171"/>
      <c r="E200" s="171"/>
      <c r="F200" s="171"/>
      <c r="G200" s="171"/>
      <c r="H200" s="171" t="s">
        <v>162</v>
      </c>
      <c r="I200" s="171"/>
      <c r="J200" s="176">
        <v>72692</v>
      </c>
    </row>
    <row r="201" spans="1:10" x14ac:dyDescent="0.25">
      <c r="A201" s="171"/>
      <c r="B201" s="171"/>
      <c r="C201" s="171"/>
      <c r="D201" s="171"/>
      <c r="E201" s="171"/>
      <c r="F201" s="171"/>
      <c r="G201" s="171"/>
      <c r="H201" s="171" t="s">
        <v>748</v>
      </c>
      <c r="I201" s="171"/>
      <c r="J201" s="176">
        <v>10250</v>
      </c>
    </row>
    <row r="202" spans="1:10" x14ac:dyDescent="0.25">
      <c r="A202" s="171"/>
      <c r="B202" s="171"/>
      <c r="C202" s="171"/>
      <c r="D202" s="171"/>
      <c r="E202" s="171"/>
      <c r="F202" s="171"/>
      <c r="G202" s="171"/>
      <c r="H202" s="171" t="s">
        <v>485</v>
      </c>
      <c r="I202" s="171"/>
      <c r="J202" s="176"/>
    </row>
    <row r="203" spans="1:10" x14ac:dyDescent="0.25">
      <c r="A203" s="171"/>
      <c r="B203" s="171"/>
      <c r="C203" s="171"/>
      <c r="D203" s="171"/>
      <c r="E203" s="171"/>
      <c r="F203" s="171"/>
      <c r="G203" s="171"/>
      <c r="H203" s="171"/>
      <c r="I203" s="171" t="s">
        <v>486</v>
      </c>
      <c r="J203" s="176">
        <v>1000</v>
      </c>
    </row>
    <row r="204" spans="1:10" x14ac:dyDescent="0.25">
      <c r="A204" s="171"/>
      <c r="B204" s="171"/>
      <c r="C204" s="171"/>
      <c r="D204" s="171"/>
      <c r="E204" s="171"/>
      <c r="F204" s="171"/>
      <c r="G204" s="171"/>
      <c r="H204" s="171"/>
      <c r="I204" s="171" t="s">
        <v>487</v>
      </c>
      <c r="J204" s="176">
        <v>12000</v>
      </c>
    </row>
    <row r="205" spans="1:10" x14ac:dyDescent="0.25">
      <c r="A205" s="171"/>
      <c r="B205" s="171"/>
      <c r="C205" s="171"/>
      <c r="D205" s="171"/>
      <c r="E205" s="171"/>
      <c r="F205" s="171"/>
      <c r="G205" s="171"/>
      <c r="H205" s="171"/>
      <c r="I205" s="171" t="s">
        <v>749</v>
      </c>
      <c r="J205" s="176">
        <v>850</v>
      </c>
    </row>
    <row r="206" spans="1:10" ht="15.75" thickBot="1" x14ac:dyDescent="0.3">
      <c r="A206" s="171"/>
      <c r="B206" s="171"/>
      <c r="C206" s="171"/>
      <c r="D206" s="171"/>
      <c r="E206" s="171"/>
      <c r="F206" s="171"/>
      <c r="G206" s="171"/>
      <c r="H206" s="171"/>
      <c r="I206" s="171" t="s">
        <v>590</v>
      </c>
      <c r="J206" s="8">
        <v>3000</v>
      </c>
    </row>
    <row r="207" spans="1:10" ht="15.75" thickBot="1" x14ac:dyDescent="0.3">
      <c r="A207" s="171"/>
      <c r="B207" s="171"/>
      <c r="C207" s="171"/>
      <c r="D207" s="171"/>
      <c r="E207" s="171"/>
      <c r="F207" s="171"/>
      <c r="G207" s="171"/>
      <c r="H207" s="171" t="s">
        <v>489</v>
      </c>
      <c r="I207" s="171"/>
      <c r="J207" s="10">
        <f>ROUND(SUM(J202:J206),5)</f>
        <v>16850</v>
      </c>
    </row>
    <row r="208" spans="1:10" ht="30" customHeight="1" x14ac:dyDescent="0.25">
      <c r="A208" s="171"/>
      <c r="B208" s="171"/>
      <c r="C208" s="171"/>
      <c r="D208" s="171"/>
      <c r="E208" s="171"/>
      <c r="F208" s="171"/>
      <c r="G208" s="171" t="s">
        <v>163</v>
      </c>
      <c r="H208" s="171"/>
      <c r="I208" s="171"/>
      <c r="J208" s="176">
        <f>ROUND(SUM(J197:J201)+J207,5)</f>
        <v>611027</v>
      </c>
    </row>
    <row r="209" spans="1:10" ht="30" customHeight="1" x14ac:dyDescent="0.25">
      <c r="A209" s="171"/>
      <c r="B209" s="171"/>
      <c r="C209" s="171"/>
      <c r="D209" s="171"/>
      <c r="E209" s="171"/>
      <c r="F209" s="171"/>
      <c r="G209" s="171" t="s">
        <v>167</v>
      </c>
      <c r="H209" s="171"/>
      <c r="I209" s="171"/>
      <c r="J209" s="176"/>
    </row>
    <row r="210" spans="1:10" x14ac:dyDescent="0.25">
      <c r="A210" s="171"/>
      <c r="B210" s="171"/>
      <c r="C210" s="171"/>
      <c r="D210" s="171"/>
      <c r="E210" s="171"/>
      <c r="F210" s="171"/>
      <c r="G210" s="171"/>
      <c r="H210" s="171" t="s">
        <v>168</v>
      </c>
      <c r="I210" s="171"/>
      <c r="J210" s="176">
        <v>8345</v>
      </c>
    </row>
    <row r="211" spans="1:10" x14ac:dyDescent="0.25">
      <c r="A211" s="171"/>
      <c r="B211" s="171"/>
      <c r="C211" s="171"/>
      <c r="D211" s="171"/>
      <c r="E211" s="171"/>
      <c r="F211" s="171"/>
      <c r="G211" s="171"/>
      <c r="H211" s="171" t="s">
        <v>473</v>
      </c>
      <c r="I211" s="171"/>
      <c r="J211" s="176">
        <v>119491.17</v>
      </c>
    </row>
    <row r="212" spans="1:10" x14ac:dyDescent="0.25">
      <c r="A212" s="171"/>
      <c r="B212" s="171"/>
      <c r="C212" s="171"/>
      <c r="D212" s="171"/>
      <c r="E212" s="171"/>
      <c r="F212" s="171"/>
      <c r="G212" s="171"/>
      <c r="H212" s="171" t="s">
        <v>169</v>
      </c>
      <c r="I212" s="213"/>
      <c r="J212" s="231">
        <v>215045.06</v>
      </c>
    </row>
    <row r="213" spans="1:10" x14ac:dyDescent="0.25">
      <c r="A213" s="171"/>
      <c r="B213" s="171"/>
      <c r="C213" s="171"/>
      <c r="D213" s="171"/>
      <c r="E213" s="171"/>
      <c r="F213" s="171"/>
      <c r="G213" s="171"/>
      <c r="H213" s="171" t="s">
        <v>490</v>
      </c>
      <c r="I213" s="171"/>
      <c r="J213" s="176">
        <v>8057.61</v>
      </c>
    </row>
    <row r="214" spans="1:10" ht="15.75" thickBot="1" x14ac:dyDescent="0.3">
      <c r="A214" s="171"/>
      <c r="B214" s="171"/>
      <c r="C214" s="171"/>
      <c r="D214" s="171"/>
      <c r="E214" s="171"/>
      <c r="F214" s="171"/>
      <c r="G214" s="171"/>
      <c r="H214" s="213" t="s">
        <v>170</v>
      </c>
      <c r="I214" s="213"/>
      <c r="J214" s="238">
        <v>10000</v>
      </c>
    </row>
    <row r="215" spans="1:10" x14ac:dyDescent="0.25">
      <c r="A215" s="171"/>
      <c r="B215" s="171"/>
      <c r="C215" s="171"/>
      <c r="D215" s="171"/>
      <c r="E215" s="171"/>
      <c r="F215" s="171"/>
      <c r="G215" s="171" t="s">
        <v>172</v>
      </c>
      <c r="H215" s="171"/>
      <c r="I215" s="171"/>
      <c r="J215" s="176">
        <f>ROUND(SUM(J209:J214),5)</f>
        <v>360938.84</v>
      </c>
    </row>
    <row r="216" spans="1:10" ht="30" customHeight="1" thickBot="1" x14ac:dyDescent="0.3">
      <c r="A216" s="171"/>
      <c r="B216" s="171"/>
      <c r="C216" s="171"/>
      <c r="D216" s="171"/>
      <c r="E216" s="171"/>
      <c r="F216" s="171"/>
      <c r="G216" s="171" t="s">
        <v>734</v>
      </c>
      <c r="H216" s="171"/>
      <c r="I216" s="171"/>
      <c r="J216" s="8">
        <v>1500</v>
      </c>
    </row>
    <row r="217" spans="1:10" ht="15.75" thickBot="1" x14ac:dyDescent="0.3">
      <c r="A217" s="171"/>
      <c r="B217" s="171"/>
      <c r="C217" s="171"/>
      <c r="D217" s="171"/>
      <c r="E217" s="171"/>
      <c r="F217" s="171" t="s">
        <v>173</v>
      </c>
      <c r="G217" s="171"/>
      <c r="H217" s="171"/>
      <c r="I217" s="171"/>
      <c r="J217" s="11">
        <f>ROUND(J164+J170+J181+J189+J196+J208+SUM(J215:J216),5)</f>
        <v>2404168.71</v>
      </c>
    </row>
    <row r="218" spans="1:10" ht="30" customHeight="1" thickBot="1" x14ac:dyDescent="0.3">
      <c r="A218" s="171"/>
      <c r="B218" s="171"/>
      <c r="C218" s="171"/>
      <c r="D218" s="171"/>
      <c r="E218" s="171" t="s">
        <v>174</v>
      </c>
      <c r="F218" s="171"/>
      <c r="G218" s="171"/>
      <c r="H218" s="171"/>
      <c r="I218" s="171"/>
      <c r="J218" s="11">
        <f>ROUND(J47+J95+J130+J140+J160+J163+J217,5)</f>
        <v>4299700.51</v>
      </c>
    </row>
    <row r="219" spans="1:10" ht="30" customHeight="1" thickBot="1" x14ac:dyDescent="0.3">
      <c r="A219" s="171"/>
      <c r="B219" s="171"/>
      <c r="C219" s="171"/>
      <c r="D219" s="171" t="s">
        <v>175</v>
      </c>
      <c r="E219" s="171"/>
      <c r="F219" s="171"/>
      <c r="G219" s="171"/>
      <c r="H219" s="171"/>
      <c r="I219" s="171"/>
      <c r="J219" s="10">
        <f>ROUND(J46+J218,5)</f>
        <v>4299700.51</v>
      </c>
    </row>
    <row r="220" spans="1:10" ht="30" customHeight="1" x14ac:dyDescent="0.25">
      <c r="A220" s="171"/>
      <c r="B220" s="171" t="s">
        <v>176</v>
      </c>
      <c r="C220" s="171"/>
      <c r="D220" s="171"/>
      <c r="E220" s="171"/>
      <c r="F220" s="171"/>
      <c r="G220" s="171"/>
      <c r="H220" s="171"/>
      <c r="I220" s="171"/>
      <c r="J220" s="176">
        <f>ROUND(J2+J45-J219,5)</f>
        <v>2265072.61</v>
      </c>
    </row>
    <row r="221" spans="1:10" ht="30" customHeight="1" x14ac:dyDescent="0.25">
      <c r="A221" s="171"/>
      <c r="B221" s="171" t="s">
        <v>632</v>
      </c>
      <c r="C221" s="171"/>
      <c r="D221" s="171"/>
      <c r="E221" s="171"/>
      <c r="F221" s="171"/>
      <c r="G221" s="171"/>
      <c r="H221" s="171"/>
      <c r="I221" s="171"/>
      <c r="J221" s="176"/>
    </row>
    <row r="222" spans="1:10" x14ac:dyDescent="0.25">
      <c r="A222" s="171"/>
      <c r="B222" s="171"/>
      <c r="C222" s="171" t="s">
        <v>633</v>
      </c>
      <c r="D222" s="171"/>
      <c r="E222" s="171"/>
      <c r="F222" s="171"/>
      <c r="G222" s="171"/>
      <c r="H222" s="171"/>
      <c r="I222" s="171"/>
      <c r="J222" s="176"/>
    </row>
    <row r="223" spans="1:10" x14ac:dyDescent="0.25">
      <c r="A223" s="171"/>
      <c r="B223" s="171"/>
      <c r="C223" s="171"/>
      <c r="D223" s="171" t="s">
        <v>634</v>
      </c>
      <c r="E223" s="171"/>
      <c r="F223" s="171"/>
      <c r="G223" s="171"/>
      <c r="H223" s="171"/>
      <c r="I223" s="171"/>
      <c r="J223" s="176"/>
    </row>
    <row r="224" spans="1:10" x14ac:dyDescent="0.25">
      <c r="A224" s="171"/>
      <c r="B224" s="171"/>
      <c r="C224" s="171"/>
      <c r="D224" s="171"/>
      <c r="E224" s="171" t="s">
        <v>635</v>
      </c>
      <c r="F224" s="171"/>
      <c r="G224" s="171"/>
      <c r="H224" s="171"/>
      <c r="I224" s="171"/>
      <c r="J224" s="176">
        <v>5000</v>
      </c>
    </row>
    <row r="225" spans="1:20" x14ac:dyDescent="0.25">
      <c r="A225" s="171"/>
      <c r="B225" s="171"/>
      <c r="C225" s="171"/>
      <c r="D225" s="171"/>
      <c r="E225" s="171" t="s">
        <v>658</v>
      </c>
      <c r="F225" s="171"/>
      <c r="G225" s="171"/>
      <c r="H225" s="171"/>
      <c r="I225" s="171"/>
      <c r="J225" s="176">
        <v>17275</v>
      </c>
    </row>
    <row r="226" spans="1:20" ht="15.75" thickBot="1" x14ac:dyDescent="0.3">
      <c r="A226" s="171"/>
      <c r="B226" s="171"/>
      <c r="C226" s="171"/>
      <c r="D226" s="171"/>
      <c r="E226" s="171" t="s">
        <v>750</v>
      </c>
      <c r="F226" s="171"/>
      <c r="G226" s="171"/>
      <c r="H226" s="171"/>
      <c r="I226" s="171"/>
      <c r="J226" s="8">
        <v>220</v>
      </c>
    </row>
    <row r="227" spans="1:20" ht="15.75" thickBot="1" x14ac:dyDescent="0.3">
      <c r="A227" s="171"/>
      <c r="B227" s="171"/>
      <c r="C227" s="171"/>
      <c r="D227" s="171" t="s">
        <v>637</v>
      </c>
      <c r="E227" s="171"/>
      <c r="F227" s="171"/>
      <c r="G227" s="171"/>
      <c r="H227" s="171"/>
      <c r="I227" s="171"/>
      <c r="J227" s="10">
        <f>ROUND(SUM(J223:J226),5)</f>
        <v>22495</v>
      </c>
    </row>
    <row r="228" spans="1:20" ht="30" customHeight="1" x14ac:dyDescent="0.25">
      <c r="A228" s="171"/>
      <c r="B228" s="171"/>
      <c r="C228" s="171" t="s">
        <v>638</v>
      </c>
      <c r="D228" s="171"/>
      <c r="E228" s="171"/>
      <c r="F228" s="171"/>
      <c r="G228" s="171"/>
      <c r="H228" s="171"/>
      <c r="I228" s="171"/>
      <c r="J228" s="176">
        <f>ROUND(J222+J227,5)</f>
        <v>22495</v>
      </c>
    </row>
    <row r="229" spans="1:20" ht="30" customHeight="1" x14ac:dyDescent="0.25">
      <c r="A229" s="171"/>
      <c r="B229" s="171"/>
      <c r="C229" s="171" t="s">
        <v>639</v>
      </c>
      <c r="D229" s="171"/>
      <c r="E229" s="171"/>
      <c r="F229" s="171"/>
      <c r="G229" s="171"/>
      <c r="H229" s="171"/>
      <c r="I229" s="171"/>
      <c r="J229" s="176"/>
    </row>
    <row r="230" spans="1:20" ht="15.75" thickBot="1" x14ac:dyDescent="0.3">
      <c r="A230" s="171"/>
      <c r="B230" s="171"/>
      <c r="C230" s="171"/>
      <c r="D230" s="171" t="s">
        <v>640</v>
      </c>
      <c r="E230" s="171"/>
      <c r="F230" s="171"/>
      <c r="G230" s="171"/>
      <c r="H230" s="171"/>
      <c r="I230" s="171"/>
      <c r="J230" s="8">
        <v>0</v>
      </c>
    </row>
    <row r="231" spans="1:20" ht="15.75" thickBot="1" x14ac:dyDescent="0.3">
      <c r="A231" s="171"/>
      <c r="B231" s="171"/>
      <c r="C231" s="171" t="s">
        <v>641</v>
      </c>
      <c r="D231" s="171"/>
      <c r="E231" s="171"/>
      <c r="F231" s="171"/>
      <c r="G231" s="171"/>
      <c r="H231" s="171"/>
      <c r="I231" s="171"/>
      <c r="J231" s="11">
        <f>ROUND(SUM(J229:J230),5)</f>
        <v>0</v>
      </c>
    </row>
    <row r="232" spans="1:20" ht="30" customHeight="1" thickBot="1" x14ac:dyDescent="0.3">
      <c r="A232" s="171"/>
      <c r="B232" s="171" t="s">
        <v>642</v>
      </c>
      <c r="C232" s="171"/>
      <c r="D232" s="171"/>
      <c r="E232" s="171"/>
      <c r="F232" s="171"/>
      <c r="G232" s="171"/>
      <c r="H232" s="171"/>
      <c r="I232" s="171"/>
      <c r="J232" s="11">
        <f>ROUND(J221+J228-J231,5)</f>
        <v>22495</v>
      </c>
    </row>
    <row r="233" spans="1:20" s="156" customFormat="1" ht="30" customHeight="1" thickBot="1" x14ac:dyDescent="0.3">
      <c r="A233" s="171" t="s">
        <v>177</v>
      </c>
      <c r="B233" s="171"/>
      <c r="C233" s="171"/>
      <c r="D233" s="171"/>
      <c r="E233" s="171"/>
      <c r="F233" s="171"/>
      <c r="G233" s="171"/>
      <c r="H233" s="171"/>
      <c r="I233" s="171"/>
      <c r="J233" s="12">
        <f>ROUND(J220+J232,5)</f>
        <v>2287567.61</v>
      </c>
      <c r="K233" s="167"/>
      <c r="L233" s="167"/>
      <c r="M233" s="167"/>
      <c r="N233" s="167"/>
      <c r="O233" s="167"/>
      <c r="P233" s="167"/>
      <c r="Q233" s="167"/>
      <c r="R233" s="167"/>
      <c r="S233" s="167"/>
      <c r="T233" s="167"/>
    </row>
    <row r="234" spans="1:20" ht="15.75" thickTop="1" x14ac:dyDescent="0.25"/>
  </sheetData>
  <pageMargins left="0.7" right="0.7" top="0.75" bottom="0.75" header="0.25" footer="0.3"/>
  <pageSetup orientation="portrait" r:id="rId1"/>
  <headerFooter>
    <oddHeader>&amp;L&amp;"Arial,Bold"&amp;8 11:17 PM
&amp;"Arial,Bold"&amp;8 10/05/16
&amp;"Arial,Bold"&amp;8 Accrual Basis&amp;C&amp;"Arial,Bold"&amp;12 Tropical Fish International (Pvt) Limited
&amp;"Arial,Bold"&amp;14 Profit &amp;&amp; Loss
&amp;"Arial,Bold"&amp;10 August 26 through September 29, 2016</oddHeader>
    <oddFooter>&amp;R&amp;"Arial,Bold"&amp;8 Page &amp;P of &amp;N</oddFooter>
  </headerFooter>
  <drawing r:id="rId2"/>
  <legacyDrawing r:id="rId3"/>
  <controls>
    <mc:AlternateContent xmlns:mc="http://schemas.openxmlformats.org/markup-compatibility/2006">
      <mc:Choice Requires="x14">
        <control shapeId="321537"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321537" r:id="rId4" name="FILTER"/>
      </mc:Fallback>
    </mc:AlternateContent>
    <mc:AlternateContent xmlns:mc="http://schemas.openxmlformats.org/markup-compatibility/2006">
      <mc:Choice Requires="x14">
        <control shapeId="321538"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321538" r:id="rId6" name="HEADER"/>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5" tint="0.39997558519241921"/>
  </sheetPr>
  <dimension ref="A1:Q224"/>
  <sheetViews>
    <sheetView workbookViewId="0">
      <pane xSplit="9" ySplit="1" topLeftCell="J197" activePane="bottomRight" state="frozenSplit"/>
      <selection pane="topRight" activeCell="J1" sqref="J1"/>
      <selection pane="bottomLeft" activeCell="A2" sqref="A2"/>
      <selection pane="bottomRight" activeCell="I165" sqref="I165"/>
    </sheetView>
  </sheetViews>
  <sheetFormatPr defaultRowHeight="15" x14ac:dyDescent="0.25"/>
  <cols>
    <col min="1" max="8" width="3" style="159" customWidth="1"/>
    <col min="9" max="9" width="38.140625" style="159" customWidth="1"/>
    <col min="10" max="10" width="14.85546875" style="5" bestFit="1" customWidth="1"/>
    <col min="11" max="11" width="9.140625" style="154"/>
    <col min="12" max="12" width="17.42578125" style="154" bestFit="1" customWidth="1"/>
    <col min="13" max="13" width="9.140625" style="154"/>
    <col min="14" max="14" width="27.7109375" style="154" bestFit="1" customWidth="1"/>
    <col min="15" max="15" width="13.85546875" style="154" customWidth="1"/>
    <col min="16" max="16" width="9.7109375" style="154" bestFit="1" customWidth="1"/>
    <col min="17" max="16384" width="9.140625" style="154"/>
  </cols>
  <sheetData>
    <row r="1" spans="1:17" s="158" customFormat="1" ht="15.75" thickBot="1" x14ac:dyDescent="0.3">
      <c r="A1" s="157"/>
      <c r="B1" s="157"/>
      <c r="C1" s="157"/>
      <c r="D1" s="157"/>
      <c r="E1" s="157"/>
      <c r="F1" s="157"/>
      <c r="G1" s="157"/>
      <c r="H1" s="157"/>
      <c r="I1" s="157"/>
      <c r="J1" s="178" t="s">
        <v>739</v>
      </c>
      <c r="N1" s="108" t="s">
        <v>381</v>
      </c>
      <c r="O1" s="200" t="s">
        <v>380</v>
      </c>
    </row>
    <row r="2" spans="1:17" ht="15.75" thickTop="1" x14ac:dyDescent="0.25">
      <c r="A2" s="171"/>
      <c r="B2" s="171" t="s">
        <v>20</v>
      </c>
      <c r="C2" s="171"/>
      <c r="D2" s="171"/>
      <c r="E2" s="171"/>
      <c r="F2" s="171"/>
      <c r="G2" s="171"/>
      <c r="H2" s="171"/>
      <c r="I2" s="171"/>
      <c r="J2" s="176"/>
      <c r="N2" s="46" t="s">
        <v>269</v>
      </c>
      <c r="O2" s="184">
        <f>J68</f>
        <v>489925</v>
      </c>
    </row>
    <row r="3" spans="1:17" x14ac:dyDescent="0.25">
      <c r="A3" s="171"/>
      <c r="B3" s="171"/>
      <c r="C3" s="171"/>
      <c r="D3" s="171" t="s">
        <v>21</v>
      </c>
      <c r="E3" s="171"/>
      <c r="F3" s="171"/>
      <c r="G3" s="171"/>
      <c r="H3" s="171"/>
      <c r="I3" s="171"/>
      <c r="J3" s="176"/>
      <c r="N3" s="46" t="s">
        <v>270</v>
      </c>
      <c r="O3" s="184">
        <f>J111</f>
        <v>96333.33</v>
      </c>
    </row>
    <row r="4" spans="1:17" x14ac:dyDescent="0.25">
      <c r="A4" s="171"/>
      <c r="B4" s="171"/>
      <c r="C4" s="171"/>
      <c r="D4" s="171"/>
      <c r="E4" s="171" t="s">
        <v>22</v>
      </c>
      <c r="F4" s="171"/>
      <c r="G4" s="171"/>
      <c r="H4" s="171"/>
      <c r="I4" s="171"/>
      <c r="J4" s="176"/>
      <c r="N4" s="46" t="s">
        <v>597</v>
      </c>
      <c r="O4" s="184">
        <f>J146</f>
        <v>59666.67</v>
      </c>
    </row>
    <row r="5" spans="1:17" x14ac:dyDescent="0.25">
      <c r="A5" s="171"/>
      <c r="B5" s="171"/>
      <c r="C5" s="171"/>
      <c r="D5" s="171"/>
      <c r="E5" s="171"/>
      <c r="F5" s="171" t="s">
        <v>23</v>
      </c>
      <c r="G5" s="171"/>
      <c r="H5" s="171"/>
      <c r="I5" s="171"/>
      <c r="J5" s="176">
        <f>5745237.02+'[3]Summary Aug'!$N$10+'[3]Summary Aug'!$N$11+'[3]Summary Aug'!$N$12</f>
        <v>9070305.6795999985</v>
      </c>
      <c r="N5" s="119" t="s">
        <v>606</v>
      </c>
      <c r="O5" s="184"/>
    </row>
    <row r="6" spans="1:17" x14ac:dyDescent="0.25">
      <c r="A6" s="171"/>
      <c r="B6" s="171"/>
      <c r="C6" s="171"/>
      <c r="D6" s="171"/>
      <c r="E6" s="171"/>
      <c r="F6" s="171" t="s">
        <v>26</v>
      </c>
      <c r="G6" s="171"/>
      <c r="H6" s="171"/>
      <c r="I6" s="171"/>
      <c r="J6" s="176">
        <f>508199.4+325900.67</f>
        <v>834100.07000000007</v>
      </c>
      <c r="N6" s="67" t="s">
        <v>598</v>
      </c>
      <c r="O6" s="184">
        <f>J162</f>
        <v>575083.32999999996</v>
      </c>
      <c r="Q6" s="17"/>
    </row>
    <row r="7" spans="1:17" x14ac:dyDescent="0.25">
      <c r="A7" s="171"/>
      <c r="B7" s="171"/>
      <c r="C7" s="171"/>
      <c r="D7" s="171"/>
      <c r="E7" s="171"/>
      <c r="F7" s="171" t="s">
        <v>27</v>
      </c>
      <c r="G7" s="171"/>
      <c r="H7" s="171"/>
      <c r="I7" s="171"/>
      <c r="J7" s="176">
        <f>3406153.75+1753021.22</f>
        <v>5159174.97</v>
      </c>
      <c r="N7" s="106" t="s">
        <v>12</v>
      </c>
      <c r="O7" s="201">
        <f>SUM(O2:O6)</f>
        <v>1221008.33</v>
      </c>
    </row>
    <row r="8" spans="1:17" x14ac:dyDescent="0.25">
      <c r="A8" s="171"/>
      <c r="B8" s="171"/>
      <c r="C8" s="171"/>
      <c r="D8" s="171"/>
      <c r="E8" s="171"/>
      <c r="F8" s="171" t="s">
        <v>28</v>
      </c>
      <c r="G8" s="171"/>
      <c r="H8" s="171"/>
      <c r="I8" s="171"/>
      <c r="J8" s="176">
        <f>33097.74+16521.18</f>
        <v>49618.92</v>
      </c>
      <c r="N8" s="46"/>
      <c r="O8" s="190"/>
    </row>
    <row r="9" spans="1:17" x14ac:dyDescent="0.25">
      <c r="A9" s="171"/>
      <c r="B9" s="171"/>
      <c r="C9" s="171"/>
      <c r="D9" s="171"/>
      <c r="E9" s="171"/>
      <c r="F9" s="171" t="s">
        <v>29</v>
      </c>
      <c r="G9" s="171"/>
      <c r="H9" s="171"/>
      <c r="I9" s="171"/>
      <c r="J9" s="176"/>
      <c r="N9" s="104"/>
      <c r="O9" s="202"/>
    </row>
    <row r="10" spans="1:17" ht="15.75" thickBot="1" x14ac:dyDescent="0.3">
      <c r="A10" s="171"/>
      <c r="B10" s="171"/>
      <c r="C10" s="171"/>
      <c r="D10" s="171"/>
      <c r="E10" s="171"/>
      <c r="F10" s="171"/>
      <c r="G10" s="171" t="s">
        <v>32</v>
      </c>
      <c r="H10" s="171"/>
      <c r="I10" s="171"/>
      <c r="J10" s="220">
        <v>2578.4499999999998</v>
      </c>
      <c r="N10" s="65" t="s">
        <v>397</v>
      </c>
      <c r="O10" s="203" t="s">
        <v>380</v>
      </c>
    </row>
    <row r="11" spans="1:17" x14ac:dyDescent="0.25">
      <c r="A11" s="171"/>
      <c r="B11" s="171"/>
      <c r="C11" s="171"/>
      <c r="D11" s="171"/>
      <c r="E11" s="171"/>
      <c r="F11" s="171" t="s">
        <v>38</v>
      </c>
      <c r="G11" s="171"/>
      <c r="H11" s="171"/>
      <c r="I11" s="171"/>
      <c r="J11" s="176">
        <f>ROUND(SUM(J9:J10),5)</f>
        <v>2578.4499999999998</v>
      </c>
      <c r="N11" s="46" t="s">
        <v>269</v>
      </c>
      <c r="O11" s="190">
        <f>J91-O2</f>
        <v>558612.07999999996</v>
      </c>
    </row>
    <row r="12" spans="1:17" ht="15.75" thickBot="1" x14ac:dyDescent="0.3">
      <c r="A12" s="171"/>
      <c r="B12" s="171"/>
      <c r="C12" s="171"/>
      <c r="D12" s="171"/>
      <c r="E12" s="171"/>
      <c r="F12" s="171" t="s">
        <v>618</v>
      </c>
      <c r="G12" s="171"/>
      <c r="H12" s="171"/>
      <c r="I12" s="171"/>
      <c r="J12" s="8">
        <v>40939.26</v>
      </c>
      <c r="N12" s="46" t="s">
        <v>270</v>
      </c>
      <c r="O12" s="190">
        <f>J123-O3</f>
        <v>310225.51</v>
      </c>
    </row>
    <row r="13" spans="1:17" ht="15.75" thickBot="1" x14ac:dyDescent="0.3">
      <c r="A13" s="171"/>
      <c r="B13" s="171"/>
      <c r="C13" s="171"/>
      <c r="D13" s="171"/>
      <c r="E13" s="171" t="s">
        <v>39</v>
      </c>
      <c r="F13" s="171"/>
      <c r="G13" s="171"/>
      <c r="H13" s="171"/>
      <c r="I13" s="171"/>
      <c r="J13" s="10">
        <f>ROUND(SUM(J4:J8)+SUM(J11:J12),5)</f>
        <v>15156717.3496</v>
      </c>
      <c r="N13" s="194" t="s">
        <v>609</v>
      </c>
      <c r="O13" s="190">
        <f>J133</f>
        <v>62484</v>
      </c>
    </row>
    <row r="14" spans="1:17" x14ac:dyDescent="0.25">
      <c r="A14" s="171"/>
      <c r="B14" s="171"/>
      <c r="C14" s="171"/>
      <c r="D14" s="171" t="s">
        <v>40</v>
      </c>
      <c r="E14" s="171"/>
      <c r="F14" s="171"/>
      <c r="G14" s="171"/>
      <c r="H14" s="171"/>
      <c r="I14" s="171"/>
      <c r="J14" s="176">
        <f>ROUND(J3+J13,5)</f>
        <v>15156717.3496</v>
      </c>
      <c r="N14" s="194" t="s">
        <v>610</v>
      </c>
      <c r="O14" s="190">
        <f>J151-O4</f>
        <v>178883.86</v>
      </c>
    </row>
    <row r="15" spans="1:17" x14ac:dyDescent="0.25">
      <c r="A15" s="171"/>
      <c r="B15" s="171"/>
      <c r="C15" s="171"/>
      <c r="D15" s="171" t="s">
        <v>41</v>
      </c>
      <c r="E15" s="171"/>
      <c r="F15" s="171"/>
      <c r="G15" s="171"/>
      <c r="H15" s="171"/>
      <c r="I15" s="171"/>
      <c r="J15" s="176"/>
      <c r="N15" s="66" t="s">
        <v>611</v>
      </c>
      <c r="O15" s="190">
        <f>J154</f>
        <v>120156</v>
      </c>
    </row>
    <row r="16" spans="1:17" x14ac:dyDescent="0.25">
      <c r="A16" s="171"/>
      <c r="B16" s="171"/>
      <c r="C16" s="171"/>
      <c r="D16" s="171"/>
      <c r="E16" s="171" t="s">
        <v>619</v>
      </c>
      <c r="F16" s="171"/>
      <c r="G16" s="171"/>
      <c r="H16" s="171"/>
      <c r="I16" s="171"/>
      <c r="J16" s="176">
        <v>3543.12</v>
      </c>
      <c r="N16" s="193" t="s">
        <v>612</v>
      </c>
      <c r="O16" s="190"/>
    </row>
    <row r="17" spans="1:16" x14ac:dyDescent="0.25">
      <c r="A17" s="171"/>
      <c r="B17" s="171"/>
      <c r="C17" s="171"/>
      <c r="D17" s="171"/>
      <c r="E17" s="171" t="s">
        <v>42</v>
      </c>
      <c r="F17" s="171"/>
      <c r="G17" s="171"/>
      <c r="H17" s="171"/>
      <c r="I17" s="171"/>
      <c r="J17" s="176"/>
      <c r="N17" s="67" t="s">
        <v>383</v>
      </c>
      <c r="O17" s="184">
        <f>J172</f>
        <v>284996</v>
      </c>
    </row>
    <row r="18" spans="1:16" x14ac:dyDescent="0.25">
      <c r="A18" s="171"/>
      <c r="B18" s="171"/>
      <c r="C18" s="171"/>
      <c r="D18" s="171"/>
      <c r="E18" s="171"/>
      <c r="F18" s="171" t="s">
        <v>43</v>
      </c>
      <c r="G18" s="171"/>
      <c r="H18" s="171"/>
      <c r="I18" s="171"/>
      <c r="J18" s="176"/>
      <c r="N18" s="67" t="s">
        <v>386</v>
      </c>
      <c r="O18" s="190">
        <f>J206</f>
        <v>1135878.3400000001</v>
      </c>
    </row>
    <row r="19" spans="1:16" x14ac:dyDescent="0.25">
      <c r="A19" s="171"/>
      <c r="B19" s="171"/>
      <c r="C19" s="171"/>
      <c r="D19" s="171"/>
      <c r="E19" s="171"/>
      <c r="F19" s="171"/>
      <c r="G19" s="171" t="s">
        <v>44</v>
      </c>
      <c r="H19" s="171"/>
      <c r="I19" s="171"/>
      <c r="J19" s="176">
        <v>2086353.99</v>
      </c>
      <c r="N19" s="46"/>
      <c r="O19" s="190"/>
    </row>
    <row r="20" spans="1:16" x14ac:dyDescent="0.25">
      <c r="A20" s="171"/>
      <c r="B20" s="171"/>
      <c r="C20" s="171"/>
      <c r="D20" s="171"/>
      <c r="E20" s="171"/>
      <c r="F20" s="171"/>
      <c r="G20" s="171" t="s">
        <v>45</v>
      </c>
      <c r="H20" s="171"/>
      <c r="I20" s="171"/>
      <c r="J20" s="176">
        <v>644931</v>
      </c>
      <c r="N20" s="61" t="s">
        <v>12</v>
      </c>
      <c r="O20" s="204">
        <f>SUM(O11:O18)</f>
        <v>2651235.79</v>
      </c>
      <c r="P20" s="17"/>
    </row>
    <row r="21" spans="1:16" x14ac:dyDescent="0.25">
      <c r="A21" s="171"/>
      <c r="B21" s="171"/>
      <c r="C21" s="171"/>
      <c r="D21" s="171"/>
      <c r="E21" s="171"/>
      <c r="F21" s="171"/>
      <c r="G21" s="171" t="s">
        <v>46</v>
      </c>
      <c r="H21" s="171"/>
      <c r="I21" s="171"/>
      <c r="J21" s="176">
        <v>33000</v>
      </c>
    </row>
    <row r="22" spans="1:16" ht="15.75" thickBot="1" x14ac:dyDescent="0.3">
      <c r="A22" s="171"/>
      <c r="B22" s="171"/>
      <c r="C22" s="171"/>
      <c r="D22" s="171"/>
      <c r="E22" s="171"/>
      <c r="F22" s="171"/>
      <c r="G22" s="171" t="s">
        <v>47</v>
      </c>
      <c r="H22" s="171"/>
      <c r="I22" s="171"/>
      <c r="J22" s="220">
        <v>373218</v>
      </c>
    </row>
    <row r="23" spans="1:16" x14ac:dyDescent="0.25">
      <c r="A23" s="171"/>
      <c r="B23" s="171"/>
      <c r="C23" s="171"/>
      <c r="D23" s="171"/>
      <c r="E23" s="171"/>
      <c r="F23" s="171" t="s">
        <v>48</v>
      </c>
      <c r="G23" s="171"/>
      <c r="H23" s="171"/>
      <c r="I23" s="171"/>
      <c r="J23" s="176">
        <f>ROUND(SUM(J18:J22),5)</f>
        <v>3137502.99</v>
      </c>
    </row>
    <row r="24" spans="1:16" x14ac:dyDescent="0.25">
      <c r="A24" s="171"/>
      <c r="B24" s="171"/>
      <c r="C24" s="171"/>
      <c r="D24" s="171"/>
      <c r="E24" s="171"/>
      <c r="F24" s="171" t="s">
        <v>49</v>
      </c>
      <c r="G24" s="171"/>
      <c r="H24" s="171"/>
      <c r="I24" s="171"/>
      <c r="J24" s="176"/>
    </row>
    <row r="25" spans="1:16" x14ac:dyDescent="0.25">
      <c r="A25" s="171"/>
      <c r="B25" s="171"/>
      <c r="C25" s="171"/>
      <c r="D25" s="171"/>
      <c r="E25" s="171"/>
      <c r="F25" s="171"/>
      <c r="G25" s="171" t="s">
        <v>447</v>
      </c>
      <c r="H25" s="171"/>
      <c r="I25" s="171"/>
      <c r="J25" s="176">
        <v>1000</v>
      </c>
    </row>
    <row r="26" spans="1:16" ht="15.75" thickBot="1" x14ac:dyDescent="0.3">
      <c r="A26" s="171"/>
      <c r="B26" s="171"/>
      <c r="C26" s="171"/>
      <c r="D26" s="171"/>
      <c r="E26" s="171"/>
      <c r="F26" s="171"/>
      <c r="G26" s="171" t="s">
        <v>449</v>
      </c>
      <c r="H26" s="171"/>
      <c r="I26" s="171"/>
      <c r="J26" s="220">
        <v>1120</v>
      </c>
    </row>
    <row r="27" spans="1:16" x14ac:dyDescent="0.25">
      <c r="A27" s="171"/>
      <c r="B27" s="171"/>
      <c r="C27" s="171"/>
      <c r="D27" s="171"/>
      <c r="E27" s="171"/>
      <c r="F27" s="171" t="s">
        <v>54</v>
      </c>
      <c r="G27" s="171"/>
      <c r="H27" s="171"/>
      <c r="I27" s="171"/>
      <c r="J27" s="176">
        <f>ROUND(SUM(J24:J26),5)</f>
        <v>2120</v>
      </c>
    </row>
    <row r="28" spans="1:16" x14ac:dyDescent="0.25">
      <c r="A28" s="171"/>
      <c r="B28" s="171"/>
      <c r="C28" s="171"/>
      <c r="D28" s="171"/>
      <c r="E28" s="171"/>
      <c r="F28" s="171" t="s">
        <v>55</v>
      </c>
      <c r="G28" s="171"/>
      <c r="H28" s="171"/>
      <c r="I28" s="171"/>
      <c r="J28" s="176"/>
    </row>
    <row r="29" spans="1:16" x14ac:dyDescent="0.25">
      <c r="A29" s="171"/>
      <c r="B29" s="171"/>
      <c r="C29" s="171"/>
      <c r="D29" s="171"/>
      <c r="E29" s="171"/>
      <c r="F29" s="171"/>
      <c r="G29" s="171" t="s">
        <v>56</v>
      </c>
      <c r="H29" s="171"/>
      <c r="I29" s="171"/>
      <c r="J29" s="176">
        <v>3269517.4</v>
      </c>
    </row>
    <row r="30" spans="1:16" x14ac:dyDescent="0.25">
      <c r="A30" s="171"/>
      <c r="B30" s="171"/>
      <c r="C30" s="171"/>
      <c r="D30" s="171"/>
      <c r="E30" s="171"/>
      <c r="F30" s="171"/>
      <c r="G30" s="171" t="s">
        <v>59</v>
      </c>
      <c r="H30" s="171"/>
      <c r="I30" s="171"/>
      <c r="J30" s="176">
        <v>57221</v>
      </c>
    </row>
    <row r="31" spans="1:16" x14ac:dyDescent="0.25">
      <c r="A31" s="171"/>
      <c r="B31" s="171"/>
      <c r="C31" s="171"/>
      <c r="D31" s="171"/>
      <c r="E31" s="171"/>
      <c r="F31" s="171"/>
      <c r="G31" s="171" t="s">
        <v>60</v>
      </c>
      <c r="H31" s="171"/>
      <c r="I31" s="171"/>
      <c r="J31" s="176">
        <v>306539.33</v>
      </c>
    </row>
    <row r="32" spans="1:16" ht="15.75" thickBot="1" x14ac:dyDescent="0.3">
      <c r="A32" s="171"/>
      <c r="B32" s="171"/>
      <c r="C32" s="171"/>
      <c r="D32" s="171"/>
      <c r="E32" s="171"/>
      <c r="F32" s="171"/>
      <c r="G32" s="171" t="s">
        <v>511</v>
      </c>
      <c r="H32" s="171"/>
      <c r="I32" s="171"/>
      <c r="J32" s="220">
        <v>43833.65</v>
      </c>
    </row>
    <row r="33" spans="1:12" x14ac:dyDescent="0.25">
      <c r="A33" s="171"/>
      <c r="B33" s="171"/>
      <c r="C33" s="171"/>
      <c r="D33" s="171"/>
      <c r="E33" s="171"/>
      <c r="F33" s="171" t="s">
        <v>61</v>
      </c>
      <c r="G33" s="171"/>
      <c r="H33" s="171"/>
      <c r="I33" s="171"/>
      <c r="J33" s="323">
        <f>ROUND(SUM(J28:J32),5)</f>
        <v>3677111.38</v>
      </c>
    </row>
    <row r="34" spans="1:12" x14ac:dyDescent="0.25">
      <c r="A34" s="171"/>
      <c r="B34" s="171"/>
      <c r="C34" s="171"/>
      <c r="D34" s="171"/>
      <c r="E34" s="171"/>
      <c r="F34" s="171" t="s">
        <v>62</v>
      </c>
      <c r="G34" s="171"/>
      <c r="H34" s="171"/>
      <c r="I34" s="171"/>
      <c r="J34" s="176"/>
    </row>
    <row r="35" spans="1:12" x14ac:dyDescent="0.25">
      <c r="A35" s="171"/>
      <c r="B35" s="171"/>
      <c r="C35" s="171"/>
      <c r="D35" s="171"/>
      <c r="E35" s="171"/>
      <c r="F35" s="171"/>
      <c r="G35" s="171" t="s">
        <v>63</v>
      </c>
      <c r="H35" s="171"/>
      <c r="I35" s="171"/>
      <c r="J35" s="176">
        <v>1170556.67</v>
      </c>
      <c r="L35" s="319"/>
    </row>
    <row r="36" spans="1:12" x14ac:dyDescent="0.25">
      <c r="A36" s="171"/>
      <c r="B36" s="171"/>
      <c r="C36" s="171"/>
      <c r="D36" s="171"/>
      <c r="E36" s="171"/>
      <c r="F36" s="171"/>
      <c r="G36" s="171" t="s">
        <v>512</v>
      </c>
      <c r="H36" s="171"/>
      <c r="I36" s="171"/>
      <c r="J36" s="176">
        <v>138927.6</v>
      </c>
      <c r="L36" s="222"/>
    </row>
    <row r="37" spans="1:12" x14ac:dyDescent="0.25">
      <c r="A37" s="171"/>
      <c r="B37" s="171"/>
      <c r="C37" s="171"/>
      <c r="D37" s="171"/>
      <c r="E37" s="171"/>
      <c r="F37" s="171"/>
      <c r="G37" s="171" t="s">
        <v>513</v>
      </c>
      <c r="H37" s="171"/>
      <c r="I37" s="171"/>
      <c r="J37" s="176">
        <v>34731.9</v>
      </c>
      <c r="L37" s="316"/>
    </row>
    <row r="38" spans="1:12" x14ac:dyDescent="0.25">
      <c r="A38" s="171"/>
      <c r="B38" s="171"/>
      <c r="C38" s="171"/>
      <c r="D38" s="171"/>
      <c r="E38" s="171"/>
      <c r="F38" s="171"/>
      <c r="G38" s="171" t="s">
        <v>64</v>
      </c>
      <c r="H38" s="171"/>
      <c r="I38" s="171"/>
      <c r="J38" s="176">
        <v>402060.61</v>
      </c>
      <c r="L38" s="316"/>
    </row>
    <row r="39" spans="1:12" x14ac:dyDescent="0.25">
      <c r="A39" s="171"/>
      <c r="B39" s="171"/>
      <c r="C39" s="171"/>
      <c r="D39" s="171"/>
      <c r="E39" s="171"/>
      <c r="F39" s="171"/>
      <c r="G39" s="171" t="s">
        <v>65</v>
      </c>
      <c r="H39" s="171"/>
      <c r="I39" s="171"/>
      <c r="J39" s="176">
        <v>130891.84</v>
      </c>
      <c r="L39" s="316"/>
    </row>
    <row r="40" spans="1:12" x14ac:dyDescent="0.25">
      <c r="A40" s="171"/>
      <c r="B40" s="171"/>
      <c r="C40" s="171"/>
      <c r="D40" s="171"/>
      <c r="E40" s="171"/>
      <c r="F40" s="171"/>
      <c r="G40" s="171" t="s">
        <v>66</v>
      </c>
      <c r="H40" s="171"/>
      <c r="I40" s="171"/>
      <c r="J40" s="176">
        <v>35715.629999999997</v>
      </c>
      <c r="L40" s="222"/>
    </row>
    <row r="41" spans="1:12" ht="15.75" thickBot="1" x14ac:dyDescent="0.3">
      <c r="A41" s="171"/>
      <c r="B41" s="171"/>
      <c r="C41" s="171"/>
      <c r="D41" s="171"/>
      <c r="E41" s="171"/>
      <c r="F41" s="171"/>
      <c r="G41" s="171" t="s">
        <v>645</v>
      </c>
      <c r="H41" s="171"/>
      <c r="I41" s="171"/>
      <c r="J41" s="220">
        <v>89027.13</v>
      </c>
    </row>
    <row r="42" spans="1:12" x14ac:dyDescent="0.25">
      <c r="A42" s="171"/>
      <c r="B42" s="171"/>
      <c r="C42" s="171"/>
      <c r="D42" s="171"/>
      <c r="E42" s="171"/>
      <c r="F42" s="171" t="s">
        <v>67</v>
      </c>
      <c r="G42" s="171"/>
      <c r="H42" s="171"/>
      <c r="I42" s="171"/>
      <c r="J42" s="176">
        <f>ROUND(SUM(J34:J41),5)</f>
        <v>2001911.38</v>
      </c>
    </row>
    <row r="43" spans="1:12" ht="15.75" thickBot="1" x14ac:dyDescent="0.3">
      <c r="A43" s="171"/>
      <c r="B43" s="171"/>
      <c r="C43" s="171"/>
      <c r="D43" s="171"/>
      <c r="E43" s="171"/>
      <c r="F43" s="171" t="s">
        <v>624</v>
      </c>
      <c r="G43" s="171"/>
      <c r="H43" s="171"/>
      <c r="I43" s="171"/>
      <c r="J43" s="8">
        <v>9138.57</v>
      </c>
    </row>
    <row r="44" spans="1:12" ht="15.75" thickBot="1" x14ac:dyDescent="0.3">
      <c r="A44" s="171"/>
      <c r="B44" s="171"/>
      <c r="C44" s="171"/>
      <c r="D44" s="171"/>
      <c r="E44" s="171" t="s">
        <v>71</v>
      </c>
      <c r="F44" s="171"/>
      <c r="G44" s="171"/>
      <c r="H44" s="171"/>
      <c r="I44" s="171"/>
      <c r="J44" s="11">
        <f>ROUND(J17+J23+J27+J33+SUM(J42:J43),5)</f>
        <v>8827784.3200000003</v>
      </c>
    </row>
    <row r="45" spans="1:12" ht="15.75" thickBot="1" x14ac:dyDescent="0.3">
      <c r="A45" s="171"/>
      <c r="B45" s="171"/>
      <c r="C45" s="171"/>
      <c r="D45" s="171" t="s">
        <v>72</v>
      </c>
      <c r="E45" s="171"/>
      <c r="F45" s="171"/>
      <c r="G45" s="171"/>
      <c r="H45" s="171"/>
      <c r="I45" s="171"/>
      <c r="J45" s="324">
        <f>ROUND(SUM(J15:J16)+J44,5)</f>
        <v>8831327.4399999995</v>
      </c>
    </row>
    <row r="46" spans="1:12" x14ac:dyDescent="0.25">
      <c r="A46" s="171"/>
      <c r="B46" s="171"/>
      <c r="C46" s="171" t="s">
        <v>73</v>
      </c>
      <c r="D46" s="171"/>
      <c r="E46" s="171"/>
      <c r="F46" s="171"/>
      <c r="G46" s="171"/>
      <c r="H46" s="171"/>
      <c r="I46" s="171"/>
      <c r="J46" s="176">
        <f>ROUND(J14-J45,5)</f>
        <v>6325389.9095999999</v>
      </c>
    </row>
    <row r="47" spans="1:12" x14ac:dyDescent="0.25">
      <c r="A47" s="171"/>
      <c r="B47" s="171"/>
      <c r="C47" s="171"/>
      <c r="D47" s="171" t="s">
        <v>74</v>
      </c>
      <c r="E47" s="171"/>
      <c r="F47" s="171"/>
      <c r="G47" s="171"/>
      <c r="H47" s="171"/>
      <c r="I47" s="171"/>
      <c r="J47" s="176"/>
    </row>
    <row r="48" spans="1:12" x14ac:dyDescent="0.25">
      <c r="A48" s="171"/>
      <c r="B48" s="171"/>
      <c r="C48" s="171"/>
      <c r="D48" s="171"/>
      <c r="E48" s="171" t="s">
        <v>75</v>
      </c>
      <c r="F48" s="171"/>
      <c r="G48" s="171"/>
      <c r="H48" s="171"/>
      <c r="I48" s="171"/>
      <c r="J48" s="176"/>
    </row>
    <row r="49" spans="1:10" x14ac:dyDescent="0.25">
      <c r="A49" s="171"/>
      <c r="B49" s="171"/>
      <c r="C49" s="171"/>
      <c r="D49" s="171"/>
      <c r="E49" s="171"/>
      <c r="F49" s="171" t="s">
        <v>189</v>
      </c>
      <c r="G49" s="171"/>
      <c r="H49" s="171"/>
      <c r="I49" s="171"/>
      <c r="J49" s="176"/>
    </row>
    <row r="50" spans="1:10" x14ac:dyDescent="0.25">
      <c r="A50" s="171"/>
      <c r="B50" s="171"/>
      <c r="C50" s="171"/>
      <c r="D50" s="171"/>
      <c r="E50" s="171"/>
      <c r="F50" s="171"/>
      <c r="G50" s="171" t="s">
        <v>76</v>
      </c>
      <c r="H50" s="171"/>
      <c r="I50" s="171"/>
      <c r="J50" s="176"/>
    </row>
    <row r="51" spans="1:10" x14ac:dyDescent="0.25">
      <c r="A51" s="171"/>
      <c r="B51" s="171"/>
      <c r="C51" s="171"/>
      <c r="D51" s="171"/>
      <c r="E51" s="171"/>
      <c r="F51" s="171"/>
      <c r="G51" s="171"/>
      <c r="H51" s="171" t="s">
        <v>77</v>
      </c>
      <c r="I51" s="171"/>
      <c r="J51" s="176">
        <v>6000</v>
      </c>
    </row>
    <row r="52" spans="1:10" x14ac:dyDescent="0.25">
      <c r="A52" s="171"/>
      <c r="B52" s="171"/>
      <c r="C52" s="171"/>
      <c r="D52" s="171"/>
      <c r="E52" s="171"/>
      <c r="F52" s="171"/>
      <c r="G52" s="171"/>
      <c r="H52" s="171" t="s">
        <v>78</v>
      </c>
      <c r="I52" s="171"/>
      <c r="J52" s="176">
        <v>46862.400000000001</v>
      </c>
    </row>
    <row r="53" spans="1:10" x14ac:dyDescent="0.25">
      <c r="A53" s="171"/>
      <c r="B53" s="171"/>
      <c r="C53" s="171"/>
      <c r="D53" s="171"/>
      <c r="E53" s="171"/>
      <c r="F53" s="171"/>
      <c r="G53" s="171"/>
      <c r="H53" s="171" t="s">
        <v>80</v>
      </c>
      <c r="I53" s="171"/>
      <c r="J53" s="176">
        <v>171</v>
      </c>
    </row>
    <row r="54" spans="1:10" x14ac:dyDescent="0.25">
      <c r="A54" s="171"/>
      <c r="B54" s="171"/>
      <c r="C54" s="171"/>
      <c r="D54" s="171"/>
      <c r="E54" s="171"/>
      <c r="F54" s="171"/>
      <c r="G54" s="171"/>
      <c r="H54" s="171" t="s">
        <v>81</v>
      </c>
      <c r="I54" s="171"/>
      <c r="J54" s="176"/>
    </row>
    <row r="55" spans="1:10" ht="15.75" thickBot="1" x14ac:dyDescent="0.3">
      <c r="A55" s="171"/>
      <c r="B55" s="171"/>
      <c r="C55" s="171"/>
      <c r="D55" s="171"/>
      <c r="E55" s="171"/>
      <c r="F55" s="171"/>
      <c r="G55" s="171"/>
      <c r="H55" s="171"/>
      <c r="I55" s="171" t="s">
        <v>82</v>
      </c>
      <c r="J55" s="220">
        <v>10850</v>
      </c>
    </row>
    <row r="56" spans="1:10" x14ac:dyDescent="0.25">
      <c r="A56" s="171"/>
      <c r="B56" s="171"/>
      <c r="C56" s="171"/>
      <c r="D56" s="171"/>
      <c r="E56" s="171"/>
      <c r="F56" s="171"/>
      <c r="G56" s="171"/>
      <c r="H56" s="171" t="s">
        <v>83</v>
      </c>
      <c r="I56" s="171"/>
      <c r="J56" s="176">
        <f>ROUND(SUM(J54:J55),5)</f>
        <v>10850</v>
      </c>
    </row>
    <row r="57" spans="1:10" x14ac:dyDescent="0.25">
      <c r="A57" s="171"/>
      <c r="B57" s="171"/>
      <c r="C57" s="171"/>
      <c r="D57" s="171"/>
      <c r="E57" s="171"/>
      <c r="F57" s="171"/>
      <c r="G57" s="171"/>
      <c r="H57" s="171" t="s">
        <v>190</v>
      </c>
      <c r="I57" s="171"/>
      <c r="J57" s="176">
        <v>87565</v>
      </c>
    </row>
    <row r="58" spans="1:10" ht="15.75" thickBot="1" x14ac:dyDescent="0.3">
      <c r="A58" s="171"/>
      <c r="B58" s="171"/>
      <c r="C58" s="171"/>
      <c r="D58" s="171"/>
      <c r="E58" s="171"/>
      <c r="F58" s="171"/>
      <c r="G58" s="171"/>
      <c r="H58" s="171" t="s">
        <v>84</v>
      </c>
      <c r="I58" s="171"/>
      <c r="J58" s="220">
        <v>54380</v>
      </c>
    </row>
    <row r="59" spans="1:10" x14ac:dyDescent="0.25">
      <c r="A59" s="171"/>
      <c r="B59" s="171"/>
      <c r="C59" s="171"/>
      <c r="D59" s="171"/>
      <c r="E59" s="171"/>
      <c r="F59" s="171"/>
      <c r="G59" s="171" t="s">
        <v>85</v>
      </c>
      <c r="H59" s="171"/>
      <c r="I59" s="171"/>
      <c r="J59" s="176">
        <f>ROUND(SUM(J50:J53)+SUM(J56:J58),5)</f>
        <v>205828.4</v>
      </c>
    </row>
    <row r="60" spans="1:10" x14ac:dyDescent="0.25">
      <c r="A60" s="171"/>
      <c r="B60" s="171"/>
      <c r="C60" s="171"/>
      <c r="D60" s="171"/>
      <c r="E60" s="171"/>
      <c r="F60" s="171"/>
      <c r="G60" s="171" t="s">
        <v>86</v>
      </c>
      <c r="H60" s="171"/>
      <c r="I60" s="171"/>
      <c r="J60" s="176"/>
    </row>
    <row r="61" spans="1:10" x14ac:dyDescent="0.25">
      <c r="A61" s="171"/>
      <c r="B61" s="171"/>
      <c r="C61" s="171"/>
      <c r="D61" s="171"/>
      <c r="E61" s="171"/>
      <c r="F61" s="171"/>
      <c r="G61" s="171"/>
      <c r="H61" s="171" t="s">
        <v>87</v>
      </c>
      <c r="I61" s="171"/>
      <c r="J61" s="176">
        <v>271500</v>
      </c>
    </row>
    <row r="62" spans="1:10" x14ac:dyDescent="0.25">
      <c r="A62" s="171"/>
      <c r="B62" s="171"/>
      <c r="C62" s="171"/>
      <c r="D62" s="171"/>
      <c r="E62" s="171"/>
      <c r="F62" s="171"/>
      <c r="G62" s="171"/>
      <c r="H62" s="171" t="s">
        <v>522</v>
      </c>
      <c r="I62" s="171"/>
      <c r="J62" s="176">
        <v>32580</v>
      </c>
    </row>
    <row r="63" spans="1:10" x14ac:dyDescent="0.25">
      <c r="A63" s="171"/>
      <c r="B63" s="171"/>
      <c r="C63" s="171"/>
      <c r="D63" s="171"/>
      <c r="E63" s="171"/>
      <c r="F63" s="171"/>
      <c r="G63" s="171"/>
      <c r="H63" s="171" t="s">
        <v>523</v>
      </c>
      <c r="I63" s="171"/>
      <c r="J63" s="176">
        <v>8145</v>
      </c>
    </row>
    <row r="64" spans="1:10" x14ac:dyDescent="0.25">
      <c r="A64" s="171"/>
      <c r="B64" s="171"/>
      <c r="C64" s="171"/>
      <c r="D64" s="171"/>
      <c r="E64" s="171"/>
      <c r="F64" s="171"/>
      <c r="G64" s="171"/>
      <c r="H64" s="171" t="s">
        <v>524</v>
      </c>
      <c r="I64" s="171"/>
      <c r="J64" s="176">
        <v>73000</v>
      </c>
    </row>
    <row r="65" spans="1:10" x14ac:dyDescent="0.25">
      <c r="A65" s="171"/>
      <c r="B65" s="171"/>
      <c r="C65" s="171"/>
      <c r="D65" s="171"/>
      <c r="E65" s="171"/>
      <c r="F65" s="171"/>
      <c r="G65" s="171"/>
      <c r="H65" s="171" t="s">
        <v>88</v>
      </c>
      <c r="I65" s="171"/>
      <c r="J65" s="176">
        <v>5500</v>
      </c>
    </row>
    <row r="66" spans="1:10" x14ac:dyDescent="0.25">
      <c r="A66" s="171"/>
      <c r="B66" s="171"/>
      <c r="C66" s="171"/>
      <c r="D66" s="171"/>
      <c r="E66" s="171"/>
      <c r="F66" s="171"/>
      <c r="G66" s="171"/>
      <c r="H66" s="171" t="s">
        <v>89</v>
      </c>
      <c r="I66" s="171"/>
      <c r="J66" s="176">
        <v>75000</v>
      </c>
    </row>
    <row r="67" spans="1:10" ht="15.75" thickBot="1" x14ac:dyDescent="0.3">
      <c r="A67" s="171"/>
      <c r="B67" s="171"/>
      <c r="C67" s="171"/>
      <c r="D67" s="171"/>
      <c r="E67" s="171"/>
      <c r="F67" s="171"/>
      <c r="G67" s="171"/>
      <c r="H67" s="171" t="s">
        <v>646</v>
      </c>
      <c r="I67" s="171"/>
      <c r="J67" s="220">
        <v>24200</v>
      </c>
    </row>
    <row r="68" spans="1:10" x14ac:dyDescent="0.25">
      <c r="A68" s="171"/>
      <c r="B68" s="171"/>
      <c r="C68" s="171"/>
      <c r="D68" s="171"/>
      <c r="E68" s="171"/>
      <c r="F68" s="171"/>
      <c r="G68" s="171" t="s">
        <v>91</v>
      </c>
      <c r="H68" s="171"/>
      <c r="I68" s="171"/>
      <c r="J68" s="176">
        <f>ROUND(SUM(J60:J67),5)</f>
        <v>489925</v>
      </c>
    </row>
    <row r="69" spans="1:10" x14ac:dyDescent="0.25">
      <c r="A69" s="171"/>
      <c r="B69" s="171"/>
      <c r="C69" s="171"/>
      <c r="D69" s="171"/>
      <c r="E69" s="171"/>
      <c r="F69" s="171"/>
      <c r="G69" s="171" t="s">
        <v>92</v>
      </c>
      <c r="H69" s="171"/>
      <c r="I69" s="171"/>
      <c r="J69" s="176"/>
    </row>
    <row r="70" spans="1:10" x14ac:dyDescent="0.25">
      <c r="A70" s="171"/>
      <c r="B70" s="171"/>
      <c r="C70" s="171"/>
      <c r="D70" s="171"/>
      <c r="E70" s="171"/>
      <c r="F70" s="171"/>
      <c r="G70" s="171"/>
      <c r="H70" s="171" t="s">
        <v>93</v>
      </c>
      <c r="I70" s="171"/>
      <c r="J70" s="176">
        <v>1140.92</v>
      </c>
    </row>
    <row r="71" spans="1:10" x14ac:dyDescent="0.25">
      <c r="A71" s="171"/>
      <c r="B71" s="171"/>
      <c r="C71" s="171"/>
      <c r="D71" s="171"/>
      <c r="E71" s="171"/>
      <c r="F71" s="171"/>
      <c r="G71" s="171"/>
      <c r="H71" s="171" t="s">
        <v>525</v>
      </c>
      <c r="I71" s="171"/>
      <c r="J71" s="176">
        <v>6700.27</v>
      </c>
    </row>
    <row r="72" spans="1:10" x14ac:dyDescent="0.25">
      <c r="A72" s="171"/>
      <c r="B72" s="171"/>
      <c r="C72" s="171"/>
      <c r="D72" s="171"/>
      <c r="E72" s="171"/>
      <c r="F72" s="171"/>
      <c r="G72" s="171"/>
      <c r="H72" s="171" t="s">
        <v>740</v>
      </c>
      <c r="I72" s="171"/>
      <c r="J72" s="176">
        <v>24644.61</v>
      </c>
    </row>
    <row r="73" spans="1:10" ht="15.75" thickBot="1" x14ac:dyDescent="0.3">
      <c r="A73" s="171"/>
      <c r="B73" s="171"/>
      <c r="C73" s="171"/>
      <c r="D73" s="171"/>
      <c r="E73" s="171"/>
      <c r="F73" s="171"/>
      <c r="G73" s="171"/>
      <c r="H73" s="171" t="s">
        <v>526</v>
      </c>
      <c r="I73" s="171"/>
      <c r="J73" s="220">
        <v>43301.88</v>
      </c>
    </row>
    <row r="74" spans="1:10" x14ac:dyDescent="0.25">
      <c r="A74" s="171"/>
      <c r="B74" s="171"/>
      <c r="C74" s="171"/>
      <c r="D74" s="171"/>
      <c r="E74" s="171"/>
      <c r="F74" s="171"/>
      <c r="G74" s="171" t="s">
        <v>96</v>
      </c>
      <c r="H74" s="171"/>
      <c r="I74" s="171"/>
      <c r="J74" s="176">
        <f>ROUND(SUM(J69:J73),5)</f>
        <v>75787.679999999993</v>
      </c>
    </row>
    <row r="75" spans="1:10" x14ac:dyDescent="0.25">
      <c r="A75" s="171"/>
      <c r="B75" s="171"/>
      <c r="C75" s="171"/>
      <c r="D75" s="171"/>
      <c r="E75" s="171"/>
      <c r="F75" s="171"/>
      <c r="G75" s="171" t="s">
        <v>97</v>
      </c>
      <c r="H75" s="171"/>
      <c r="I75" s="171"/>
      <c r="J75" s="176"/>
    </row>
    <row r="76" spans="1:10" x14ac:dyDescent="0.25">
      <c r="A76" s="171"/>
      <c r="B76" s="171"/>
      <c r="C76" s="171"/>
      <c r="D76" s="171"/>
      <c r="E76" s="171"/>
      <c r="F76" s="171"/>
      <c r="G76" s="171"/>
      <c r="H76" s="171" t="s">
        <v>98</v>
      </c>
      <c r="I76" s="171"/>
      <c r="J76" s="176">
        <v>38085</v>
      </c>
    </row>
    <row r="77" spans="1:10" x14ac:dyDescent="0.25">
      <c r="A77" s="171"/>
      <c r="B77" s="171"/>
      <c r="C77" s="171"/>
      <c r="D77" s="171"/>
      <c r="E77" s="171"/>
      <c r="F77" s="171"/>
      <c r="G77" s="171"/>
      <c r="H77" s="171" t="s">
        <v>668</v>
      </c>
      <c r="I77" s="171"/>
      <c r="J77" s="176">
        <v>770</v>
      </c>
    </row>
    <row r="78" spans="1:10" x14ac:dyDescent="0.25">
      <c r="A78" s="171"/>
      <c r="B78" s="171"/>
      <c r="C78" s="171"/>
      <c r="D78" s="171"/>
      <c r="E78" s="171"/>
      <c r="F78" s="171"/>
      <c r="G78" s="171"/>
      <c r="H78" s="171" t="s">
        <v>625</v>
      </c>
      <c r="I78" s="171"/>
      <c r="J78" s="176">
        <v>25830</v>
      </c>
    </row>
    <row r="79" spans="1:10" x14ac:dyDescent="0.25">
      <c r="A79" s="171"/>
      <c r="B79" s="171"/>
      <c r="C79" s="171"/>
      <c r="D79" s="171"/>
      <c r="E79" s="171"/>
      <c r="F79" s="171"/>
      <c r="G79" s="171"/>
      <c r="H79" s="171" t="s">
        <v>99</v>
      </c>
      <c r="I79" s="171"/>
      <c r="J79" s="176">
        <v>1500</v>
      </c>
    </row>
    <row r="80" spans="1:10" x14ac:dyDescent="0.25">
      <c r="A80" s="171"/>
      <c r="B80" s="171"/>
      <c r="C80" s="171"/>
      <c r="D80" s="171"/>
      <c r="E80" s="171"/>
      <c r="F80" s="171"/>
      <c r="G80" s="171"/>
      <c r="H80" s="171" t="s">
        <v>100</v>
      </c>
      <c r="I80" s="171"/>
      <c r="J80" s="176">
        <v>39199</v>
      </c>
    </row>
    <row r="81" spans="1:10" ht="15.75" thickBot="1" x14ac:dyDescent="0.3">
      <c r="A81" s="171"/>
      <c r="B81" s="171"/>
      <c r="C81" s="171"/>
      <c r="D81" s="171"/>
      <c r="E81" s="171"/>
      <c r="F81" s="171"/>
      <c r="G81" s="171"/>
      <c r="H81" s="171" t="s">
        <v>527</v>
      </c>
      <c r="I81" s="171"/>
      <c r="J81" s="220">
        <v>12000</v>
      </c>
    </row>
    <row r="82" spans="1:10" x14ac:dyDescent="0.25">
      <c r="A82" s="171"/>
      <c r="B82" s="171"/>
      <c r="C82" s="171"/>
      <c r="D82" s="171"/>
      <c r="E82" s="171"/>
      <c r="F82" s="171"/>
      <c r="G82" s="171" t="s">
        <v>102</v>
      </c>
      <c r="H82" s="171"/>
      <c r="I82" s="171"/>
      <c r="J82" s="176">
        <f>ROUND(SUM(J75:J81),5)</f>
        <v>117384</v>
      </c>
    </row>
    <row r="83" spans="1:10" x14ac:dyDescent="0.25">
      <c r="A83" s="171"/>
      <c r="B83" s="171"/>
      <c r="C83" s="171"/>
      <c r="D83" s="171"/>
      <c r="E83" s="171"/>
      <c r="F83" s="171"/>
      <c r="G83" s="171" t="s">
        <v>103</v>
      </c>
      <c r="H83" s="171"/>
      <c r="I83" s="171"/>
      <c r="J83" s="176"/>
    </row>
    <row r="84" spans="1:10" x14ac:dyDescent="0.25">
      <c r="A84" s="171"/>
      <c r="B84" s="171"/>
      <c r="C84" s="171"/>
      <c r="D84" s="171"/>
      <c r="E84" s="171"/>
      <c r="F84" s="171"/>
      <c r="G84" s="171"/>
      <c r="H84" s="171" t="s">
        <v>104</v>
      </c>
      <c r="I84" s="171"/>
      <c r="J84" s="176">
        <v>58693</v>
      </c>
    </row>
    <row r="85" spans="1:10" x14ac:dyDescent="0.25">
      <c r="A85" s="171"/>
      <c r="B85" s="171"/>
      <c r="C85" s="171"/>
      <c r="D85" s="171"/>
      <c r="E85" s="171"/>
      <c r="F85" s="171"/>
      <c r="G85" s="171"/>
      <c r="H85" s="171" t="s">
        <v>105</v>
      </c>
      <c r="I85" s="171"/>
      <c r="J85" s="176">
        <v>140</v>
      </c>
    </row>
    <row r="86" spans="1:10" x14ac:dyDescent="0.25">
      <c r="A86" s="171"/>
      <c r="B86" s="171"/>
      <c r="C86" s="171"/>
      <c r="D86" s="171"/>
      <c r="E86" s="171"/>
      <c r="F86" s="171"/>
      <c r="G86" s="171"/>
      <c r="H86" s="171" t="s">
        <v>106</v>
      </c>
      <c r="I86" s="171"/>
      <c r="J86" s="176">
        <v>330</v>
      </c>
    </row>
    <row r="87" spans="1:10" x14ac:dyDescent="0.25">
      <c r="A87" s="171"/>
      <c r="B87" s="171"/>
      <c r="C87" s="171"/>
      <c r="D87" s="171"/>
      <c r="E87" s="171"/>
      <c r="F87" s="171"/>
      <c r="G87" s="171"/>
      <c r="H87" s="171" t="s">
        <v>455</v>
      </c>
      <c r="I87" s="171"/>
      <c r="J87" s="176">
        <v>88179</v>
      </c>
    </row>
    <row r="88" spans="1:10" x14ac:dyDescent="0.25">
      <c r="A88" s="171"/>
      <c r="B88" s="171"/>
      <c r="C88" s="171"/>
      <c r="D88" s="171"/>
      <c r="E88" s="171"/>
      <c r="F88" s="171"/>
      <c r="G88" s="171"/>
      <c r="H88" s="171" t="s">
        <v>107</v>
      </c>
      <c r="I88" s="171"/>
      <c r="J88" s="176">
        <v>5870</v>
      </c>
    </row>
    <row r="89" spans="1:10" ht="15.75" thickBot="1" x14ac:dyDescent="0.3">
      <c r="A89" s="171"/>
      <c r="B89" s="171"/>
      <c r="C89" s="171"/>
      <c r="D89" s="171"/>
      <c r="E89" s="171"/>
      <c r="F89" s="171"/>
      <c r="G89" s="171"/>
      <c r="H89" s="171" t="s">
        <v>475</v>
      </c>
      <c r="I89" s="171"/>
      <c r="J89" s="8">
        <v>6400</v>
      </c>
    </row>
    <row r="90" spans="1:10" ht="15.75" thickBot="1" x14ac:dyDescent="0.3">
      <c r="A90" s="171"/>
      <c r="B90" s="171"/>
      <c r="C90" s="171"/>
      <c r="D90" s="171"/>
      <c r="E90" s="171"/>
      <c r="F90" s="171"/>
      <c r="G90" s="171" t="s">
        <v>108</v>
      </c>
      <c r="H90" s="171"/>
      <c r="I90" s="171"/>
      <c r="J90" s="10">
        <f>ROUND(SUM(J83:J89),5)</f>
        <v>159612</v>
      </c>
    </row>
    <row r="91" spans="1:10" x14ac:dyDescent="0.25">
      <c r="A91" s="171"/>
      <c r="B91" s="171"/>
      <c r="C91" s="171"/>
      <c r="D91" s="171"/>
      <c r="E91" s="171"/>
      <c r="F91" s="171" t="s">
        <v>191</v>
      </c>
      <c r="G91" s="171"/>
      <c r="H91" s="171"/>
      <c r="I91" s="171"/>
      <c r="J91" s="176">
        <f>ROUND(J49+J59+J68+J74+J82+J90,5)</f>
        <v>1048537.08</v>
      </c>
    </row>
    <row r="92" spans="1:10" x14ac:dyDescent="0.25">
      <c r="A92" s="171"/>
      <c r="B92" s="171"/>
      <c r="C92" s="171"/>
      <c r="D92" s="171"/>
      <c r="E92" s="171"/>
      <c r="F92" s="171" t="s">
        <v>109</v>
      </c>
      <c r="G92" s="171"/>
      <c r="H92" s="171"/>
      <c r="I92" s="171"/>
      <c r="J92" s="176"/>
    </row>
    <row r="93" spans="1:10" x14ac:dyDescent="0.25">
      <c r="A93" s="171"/>
      <c r="B93" s="171"/>
      <c r="C93" s="171"/>
      <c r="D93" s="171"/>
      <c r="E93" s="171"/>
      <c r="F93" s="171"/>
      <c r="G93" s="171" t="s">
        <v>110</v>
      </c>
      <c r="H93" s="171"/>
      <c r="I93" s="171"/>
      <c r="J93" s="176"/>
    </row>
    <row r="94" spans="1:10" x14ac:dyDescent="0.25">
      <c r="A94" s="171"/>
      <c r="B94" s="171"/>
      <c r="C94" s="171"/>
      <c r="D94" s="171"/>
      <c r="E94" s="171"/>
      <c r="F94" s="171"/>
      <c r="G94" s="171"/>
      <c r="H94" s="171" t="s">
        <v>111</v>
      </c>
      <c r="I94" s="171"/>
      <c r="J94" s="176">
        <v>11000</v>
      </c>
    </row>
    <row r="95" spans="1:10" x14ac:dyDescent="0.25">
      <c r="A95" s="171"/>
      <c r="B95" s="171"/>
      <c r="C95" s="171"/>
      <c r="D95" s="171"/>
      <c r="E95" s="171"/>
      <c r="F95" s="171"/>
      <c r="G95" s="171"/>
      <c r="H95" s="171" t="s">
        <v>112</v>
      </c>
      <c r="I95" s="171"/>
      <c r="J95" s="176">
        <v>65006</v>
      </c>
    </row>
    <row r="96" spans="1:10" x14ac:dyDescent="0.25">
      <c r="A96" s="171"/>
      <c r="B96" s="171"/>
      <c r="C96" s="171"/>
      <c r="D96" s="171"/>
      <c r="E96" s="171"/>
      <c r="F96" s="171"/>
      <c r="G96" s="171"/>
      <c r="H96" s="171" t="s">
        <v>481</v>
      </c>
      <c r="I96" s="171"/>
      <c r="J96" s="176">
        <v>12000</v>
      </c>
    </row>
    <row r="97" spans="1:10" x14ac:dyDescent="0.25">
      <c r="A97" s="171"/>
      <c r="B97" s="171"/>
      <c r="C97" s="171"/>
      <c r="D97" s="171"/>
      <c r="E97" s="171"/>
      <c r="F97" s="171"/>
      <c r="G97" s="171"/>
      <c r="H97" s="171" t="s">
        <v>113</v>
      </c>
      <c r="I97" s="171"/>
      <c r="J97" s="176">
        <v>84831</v>
      </c>
    </row>
    <row r="98" spans="1:10" x14ac:dyDescent="0.25">
      <c r="A98" s="171"/>
      <c r="B98" s="171"/>
      <c r="C98" s="171"/>
      <c r="D98" s="171"/>
      <c r="E98" s="171"/>
      <c r="F98" s="171"/>
      <c r="G98" s="171"/>
      <c r="H98" s="171" t="s">
        <v>532</v>
      </c>
      <c r="I98" s="171"/>
      <c r="J98" s="176">
        <v>27685</v>
      </c>
    </row>
    <row r="99" spans="1:10" x14ac:dyDescent="0.25">
      <c r="A99" s="171"/>
      <c r="B99" s="171"/>
      <c r="C99" s="171"/>
      <c r="D99" s="171"/>
      <c r="E99" s="171"/>
      <c r="F99" s="171"/>
      <c r="G99" s="171"/>
      <c r="H99" s="171" t="s">
        <v>114</v>
      </c>
      <c r="I99" s="171"/>
      <c r="J99" s="176">
        <v>5108.91</v>
      </c>
    </row>
    <row r="100" spans="1:10" x14ac:dyDescent="0.25">
      <c r="A100" s="171"/>
      <c r="B100" s="171"/>
      <c r="C100" s="171"/>
      <c r="D100" s="171"/>
      <c r="E100" s="171"/>
      <c r="F100" s="171"/>
      <c r="G100" s="171"/>
      <c r="H100" s="171" t="s">
        <v>533</v>
      </c>
      <c r="I100" s="171"/>
      <c r="J100" s="176">
        <v>16555</v>
      </c>
    </row>
    <row r="101" spans="1:10" x14ac:dyDescent="0.25">
      <c r="A101" s="171"/>
      <c r="B101" s="171"/>
      <c r="C101" s="171"/>
      <c r="D101" s="171"/>
      <c r="E101" s="171"/>
      <c r="F101" s="171"/>
      <c r="G101" s="171"/>
      <c r="H101" s="171" t="s">
        <v>115</v>
      </c>
      <c r="I101" s="171"/>
      <c r="J101" s="176">
        <v>23770</v>
      </c>
    </row>
    <row r="102" spans="1:10" ht="15.75" thickBot="1" x14ac:dyDescent="0.3">
      <c r="A102" s="171"/>
      <c r="B102" s="171"/>
      <c r="C102" s="171"/>
      <c r="D102" s="171"/>
      <c r="E102" s="171"/>
      <c r="F102" s="171"/>
      <c r="G102" s="171"/>
      <c r="H102" s="171" t="s">
        <v>535</v>
      </c>
      <c r="I102" s="171"/>
      <c r="J102" s="220">
        <v>24025</v>
      </c>
    </row>
    <row r="103" spans="1:10" x14ac:dyDescent="0.25">
      <c r="A103" s="171"/>
      <c r="B103" s="171"/>
      <c r="C103" s="171"/>
      <c r="D103" s="171"/>
      <c r="E103" s="171"/>
      <c r="F103" s="171"/>
      <c r="G103" s="171" t="s">
        <v>116</v>
      </c>
      <c r="H103" s="171"/>
      <c r="I103" s="171"/>
      <c r="J103" s="176">
        <f>ROUND(SUM(J93:J102),5)</f>
        <v>269980.90999999997</v>
      </c>
    </row>
    <row r="104" spans="1:10" x14ac:dyDescent="0.25">
      <c r="A104" s="171"/>
      <c r="B104" s="171"/>
      <c r="C104" s="171"/>
      <c r="D104" s="171"/>
      <c r="E104" s="171"/>
      <c r="F104" s="171"/>
      <c r="G104" s="171" t="s">
        <v>117</v>
      </c>
      <c r="H104" s="171"/>
      <c r="I104" s="171"/>
      <c r="J104" s="176"/>
    </row>
    <row r="105" spans="1:10" x14ac:dyDescent="0.25">
      <c r="A105" s="171"/>
      <c r="B105" s="171"/>
      <c r="C105" s="171"/>
      <c r="D105" s="171"/>
      <c r="E105" s="171"/>
      <c r="F105" s="171"/>
      <c r="G105" s="171"/>
      <c r="H105" s="171" t="s">
        <v>118</v>
      </c>
      <c r="I105" s="171"/>
      <c r="J105" s="176">
        <v>37500</v>
      </c>
    </row>
    <row r="106" spans="1:10" x14ac:dyDescent="0.25">
      <c r="A106" s="171"/>
      <c r="B106" s="171"/>
      <c r="C106" s="171"/>
      <c r="D106" s="171"/>
      <c r="E106" s="171"/>
      <c r="F106" s="171"/>
      <c r="G106" s="171"/>
      <c r="H106" s="171" t="s">
        <v>536</v>
      </c>
      <c r="I106" s="171"/>
      <c r="J106" s="176">
        <v>4500</v>
      </c>
    </row>
    <row r="107" spans="1:10" x14ac:dyDescent="0.25">
      <c r="A107" s="171"/>
      <c r="B107" s="171"/>
      <c r="C107" s="171"/>
      <c r="D107" s="171"/>
      <c r="E107" s="171"/>
      <c r="F107" s="171"/>
      <c r="G107" s="171"/>
      <c r="H107" s="171" t="s">
        <v>537</v>
      </c>
      <c r="I107" s="171"/>
      <c r="J107" s="176">
        <v>1125</v>
      </c>
    </row>
    <row r="108" spans="1:10" x14ac:dyDescent="0.25">
      <c r="A108" s="171"/>
      <c r="B108" s="171"/>
      <c r="C108" s="171"/>
      <c r="D108" s="171"/>
      <c r="E108" s="171"/>
      <c r="F108" s="171"/>
      <c r="G108" s="171"/>
      <c r="H108" s="171" t="s">
        <v>119</v>
      </c>
      <c r="I108" s="171"/>
      <c r="J108" s="176">
        <v>50000</v>
      </c>
    </row>
    <row r="109" spans="1:10" x14ac:dyDescent="0.25">
      <c r="A109" s="171"/>
      <c r="B109" s="171"/>
      <c r="C109" s="171"/>
      <c r="D109" s="171"/>
      <c r="E109" s="171"/>
      <c r="F109" s="171"/>
      <c r="G109" s="171"/>
      <c r="H109" s="171" t="s">
        <v>647</v>
      </c>
      <c r="I109" s="171"/>
      <c r="J109" s="176">
        <v>3208.33</v>
      </c>
    </row>
    <row r="110" spans="1:10" ht="15.75" hidden="1" thickBot="1" x14ac:dyDescent="0.3">
      <c r="A110" s="171"/>
      <c r="B110" s="171"/>
      <c r="C110" s="171"/>
      <c r="D110" s="171"/>
      <c r="E110" s="171"/>
      <c r="F110" s="171"/>
      <c r="G110" s="171"/>
      <c r="H110" s="171"/>
      <c r="I110" s="171"/>
      <c r="J110" s="220"/>
    </row>
    <row r="111" spans="1:10" x14ac:dyDescent="0.25">
      <c r="A111" s="171"/>
      <c r="B111" s="171"/>
      <c r="C111" s="171"/>
      <c r="D111" s="171"/>
      <c r="E111" s="171"/>
      <c r="F111" s="171"/>
      <c r="G111" s="171" t="s">
        <v>120</v>
      </c>
      <c r="H111" s="171"/>
      <c r="I111" s="171"/>
      <c r="J111" s="176">
        <f>ROUND(SUM(J104:J110),5)</f>
        <v>96333.33</v>
      </c>
    </row>
    <row r="112" spans="1:10" x14ac:dyDescent="0.25">
      <c r="A112" s="171"/>
      <c r="B112" s="171"/>
      <c r="C112" s="171"/>
      <c r="D112" s="171"/>
      <c r="E112" s="171"/>
      <c r="F112" s="171"/>
      <c r="G112" s="171" t="s">
        <v>121</v>
      </c>
      <c r="H112" s="171"/>
      <c r="I112" s="171"/>
      <c r="J112" s="176"/>
    </row>
    <row r="113" spans="1:10" x14ac:dyDescent="0.25">
      <c r="A113" s="171"/>
      <c r="B113" s="171"/>
      <c r="C113" s="171"/>
      <c r="D113" s="171"/>
      <c r="E113" s="171"/>
      <c r="F113" s="171"/>
      <c r="G113" s="171"/>
      <c r="H113" s="171" t="s">
        <v>539</v>
      </c>
      <c r="I113" s="171"/>
      <c r="J113" s="176">
        <v>4374.0600000000004</v>
      </c>
    </row>
    <row r="114" spans="1:10" ht="15.75" thickBot="1" x14ac:dyDescent="0.3">
      <c r="A114" s="171"/>
      <c r="B114" s="171"/>
      <c r="C114" s="171"/>
      <c r="D114" s="171"/>
      <c r="E114" s="171"/>
      <c r="F114" s="171"/>
      <c r="G114" s="171"/>
      <c r="H114" s="171" t="s">
        <v>460</v>
      </c>
      <c r="I114" s="171"/>
      <c r="J114" s="220">
        <v>10427.540000000001</v>
      </c>
    </row>
    <row r="115" spans="1:10" x14ac:dyDescent="0.25">
      <c r="A115" s="171"/>
      <c r="B115" s="171"/>
      <c r="C115" s="171"/>
      <c r="D115" s="171"/>
      <c r="E115" s="171"/>
      <c r="F115" s="171"/>
      <c r="G115" s="171" t="s">
        <v>122</v>
      </c>
      <c r="H115" s="171"/>
      <c r="I115" s="171"/>
      <c r="J115" s="176">
        <f>ROUND(SUM(J112:J114),5)</f>
        <v>14801.6</v>
      </c>
    </row>
    <row r="116" spans="1:10" x14ac:dyDescent="0.25">
      <c r="A116" s="171"/>
      <c r="B116" s="171"/>
      <c r="C116" s="171"/>
      <c r="D116" s="171"/>
      <c r="E116" s="171"/>
      <c r="F116" s="171"/>
      <c r="G116" s="171" t="s">
        <v>123</v>
      </c>
      <c r="H116" s="171"/>
      <c r="I116" s="171"/>
      <c r="J116" s="176"/>
    </row>
    <row r="117" spans="1:10" ht="15.75" thickBot="1" x14ac:dyDescent="0.3">
      <c r="A117" s="171"/>
      <c r="B117" s="171"/>
      <c r="C117" s="171"/>
      <c r="D117" s="171"/>
      <c r="E117" s="171"/>
      <c r="F117" s="171"/>
      <c r="G117" s="171"/>
      <c r="H117" s="171" t="s">
        <v>462</v>
      </c>
      <c r="I117" s="171"/>
      <c r="J117" s="220">
        <v>1200</v>
      </c>
    </row>
    <row r="118" spans="1:10" x14ac:dyDescent="0.25">
      <c r="A118" s="171"/>
      <c r="B118" s="171"/>
      <c r="C118" s="171"/>
      <c r="D118" s="171"/>
      <c r="E118" s="171"/>
      <c r="F118" s="171"/>
      <c r="G118" s="171" t="s">
        <v>125</v>
      </c>
      <c r="H118" s="171"/>
      <c r="I118" s="171"/>
      <c r="J118" s="176">
        <f>ROUND(SUM(J116:J117),5)</f>
        <v>1200</v>
      </c>
    </row>
    <row r="119" spans="1:10" x14ac:dyDescent="0.25">
      <c r="A119" s="171"/>
      <c r="B119" s="171"/>
      <c r="C119" s="171"/>
      <c r="D119" s="171"/>
      <c r="E119" s="171"/>
      <c r="F119" s="171"/>
      <c r="G119" s="171" t="s">
        <v>126</v>
      </c>
      <c r="H119" s="171"/>
      <c r="I119" s="171"/>
      <c r="J119" s="176"/>
    </row>
    <row r="120" spans="1:10" x14ac:dyDescent="0.25">
      <c r="A120" s="171"/>
      <c r="B120" s="171"/>
      <c r="C120" s="171"/>
      <c r="D120" s="171"/>
      <c r="E120" s="171"/>
      <c r="F120" s="171"/>
      <c r="G120" s="171"/>
      <c r="H120" s="171" t="s">
        <v>128</v>
      </c>
      <c r="I120" s="171"/>
      <c r="J120" s="176">
        <v>20726</v>
      </c>
    </row>
    <row r="121" spans="1:10" ht="15.75" thickBot="1" x14ac:dyDescent="0.3">
      <c r="A121" s="171"/>
      <c r="B121" s="171"/>
      <c r="C121" s="171"/>
      <c r="D121" s="171"/>
      <c r="E121" s="171"/>
      <c r="F121" s="171"/>
      <c r="G121" s="171"/>
      <c r="H121" s="171" t="s">
        <v>129</v>
      </c>
      <c r="I121" s="171"/>
      <c r="J121" s="8">
        <v>3517</v>
      </c>
    </row>
    <row r="122" spans="1:10" ht="15.75" thickBot="1" x14ac:dyDescent="0.3">
      <c r="A122" s="171"/>
      <c r="B122" s="171"/>
      <c r="C122" s="171"/>
      <c r="D122" s="171"/>
      <c r="E122" s="171"/>
      <c r="F122" s="171"/>
      <c r="G122" s="171" t="s">
        <v>130</v>
      </c>
      <c r="H122" s="171"/>
      <c r="I122" s="171"/>
      <c r="J122" s="10">
        <f>ROUND(SUM(J119:J121),5)</f>
        <v>24243</v>
      </c>
    </row>
    <row r="123" spans="1:10" x14ac:dyDescent="0.25">
      <c r="A123" s="171"/>
      <c r="B123" s="171"/>
      <c r="C123" s="171"/>
      <c r="D123" s="171"/>
      <c r="E123" s="171"/>
      <c r="F123" s="171" t="s">
        <v>134</v>
      </c>
      <c r="G123" s="171"/>
      <c r="H123" s="171"/>
      <c r="I123" s="171"/>
      <c r="J123" s="176">
        <f>ROUND(J92+J103+J111+J115+J118+J122,5)</f>
        <v>406558.84</v>
      </c>
    </row>
    <row r="124" spans="1:10" x14ac:dyDescent="0.25">
      <c r="A124" s="171"/>
      <c r="B124" s="171"/>
      <c r="C124" s="171"/>
      <c r="D124" s="171"/>
      <c r="E124" s="171"/>
      <c r="F124" s="171" t="s">
        <v>135</v>
      </c>
      <c r="G124" s="171"/>
      <c r="H124" s="171"/>
      <c r="I124" s="171"/>
      <c r="J124" s="176"/>
    </row>
    <row r="125" spans="1:10" x14ac:dyDescent="0.25">
      <c r="A125" s="171"/>
      <c r="B125" s="171"/>
      <c r="C125" s="171"/>
      <c r="D125" s="171"/>
      <c r="E125" s="171"/>
      <c r="F125" s="171"/>
      <c r="G125" s="171" t="s">
        <v>192</v>
      </c>
      <c r="H125" s="171"/>
      <c r="I125" s="171"/>
      <c r="J125" s="176"/>
    </row>
    <row r="126" spans="1:10" x14ac:dyDescent="0.25">
      <c r="A126" s="171"/>
      <c r="B126" s="171"/>
      <c r="C126" s="171"/>
      <c r="D126" s="171"/>
      <c r="E126" s="171"/>
      <c r="F126" s="171"/>
      <c r="G126" s="171"/>
      <c r="H126" s="171" t="s">
        <v>193</v>
      </c>
      <c r="I126" s="171"/>
      <c r="J126" s="176">
        <v>4800</v>
      </c>
    </row>
    <row r="127" spans="1:10" ht="15.75" thickBot="1" x14ac:dyDescent="0.3">
      <c r="A127" s="171"/>
      <c r="B127" s="171"/>
      <c r="C127" s="171"/>
      <c r="D127" s="171"/>
      <c r="E127" s="171"/>
      <c r="F127" s="171"/>
      <c r="G127" s="171"/>
      <c r="H127" s="171" t="s">
        <v>544</v>
      </c>
      <c r="I127" s="171"/>
      <c r="J127" s="220">
        <v>11604</v>
      </c>
    </row>
    <row r="128" spans="1:10" x14ac:dyDescent="0.25">
      <c r="A128" s="171"/>
      <c r="B128" s="171"/>
      <c r="C128" s="171"/>
      <c r="D128" s="171"/>
      <c r="E128" s="171"/>
      <c r="F128" s="171"/>
      <c r="G128" s="171" t="s">
        <v>194</v>
      </c>
      <c r="H128" s="171"/>
      <c r="I128" s="171"/>
      <c r="J128" s="176">
        <f>ROUND(SUM(J125:J127),5)</f>
        <v>16404</v>
      </c>
    </row>
    <row r="129" spans="1:10" x14ac:dyDescent="0.25">
      <c r="A129" s="171"/>
      <c r="B129" s="171"/>
      <c r="C129" s="171"/>
      <c r="D129" s="171"/>
      <c r="E129" s="171"/>
      <c r="F129" s="171"/>
      <c r="G129" s="171" t="s">
        <v>195</v>
      </c>
      <c r="H129" s="171"/>
      <c r="I129" s="171"/>
      <c r="J129" s="176"/>
    </row>
    <row r="130" spans="1:10" x14ac:dyDescent="0.25">
      <c r="A130" s="171"/>
      <c r="B130" s="171"/>
      <c r="C130" s="171"/>
      <c r="D130" s="171"/>
      <c r="E130" s="171"/>
      <c r="F130" s="171"/>
      <c r="G130" s="171"/>
      <c r="H130" s="171" t="s">
        <v>136</v>
      </c>
      <c r="I130" s="171"/>
      <c r="J130" s="176">
        <v>1950</v>
      </c>
    </row>
    <row r="131" spans="1:10" ht="15.75" thickBot="1" x14ac:dyDescent="0.3">
      <c r="A131" s="171"/>
      <c r="B131" s="171"/>
      <c r="C131" s="171"/>
      <c r="D131" s="171"/>
      <c r="E131" s="171"/>
      <c r="F131" s="171"/>
      <c r="G131" s="171"/>
      <c r="H131" s="171" t="s">
        <v>137</v>
      </c>
      <c r="I131" s="171"/>
      <c r="J131" s="8">
        <v>44130</v>
      </c>
    </row>
    <row r="132" spans="1:10" ht="15.75" thickBot="1" x14ac:dyDescent="0.3">
      <c r="A132" s="171"/>
      <c r="B132" s="171"/>
      <c r="C132" s="171"/>
      <c r="D132" s="171"/>
      <c r="E132" s="171"/>
      <c r="F132" s="171"/>
      <c r="G132" s="171" t="s">
        <v>196</v>
      </c>
      <c r="H132" s="171"/>
      <c r="I132" s="171"/>
      <c r="J132" s="10">
        <f>ROUND(SUM(J129:J131),5)</f>
        <v>46080</v>
      </c>
    </row>
    <row r="133" spans="1:10" x14ac:dyDescent="0.25">
      <c r="A133" s="171"/>
      <c r="B133" s="171"/>
      <c r="C133" s="171"/>
      <c r="D133" s="171"/>
      <c r="E133" s="171"/>
      <c r="F133" s="171" t="s">
        <v>138</v>
      </c>
      <c r="G133" s="171"/>
      <c r="H133" s="171"/>
      <c r="I133" s="171"/>
      <c r="J133" s="176">
        <f>ROUND(J124+J128+J132,5)</f>
        <v>62484</v>
      </c>
    </row>
    <row r="134" spans="1:10" x14ac:dyDescent="0.25">
      <c r="A134" s="171"/>
      <c r="B134" s="171"/>
      <c r="C134" s="171"/>
      <c r="D134" s="171"/>
      <c r="E134" s="171"/>
      <c r="F134" s="171" t="s">
        <v>206</v>
      </c>
      <c r="G134" s="171"/>
      <c r="H134" s="171"/>
      <c r="I134" s="171"/>
      <c r="J134" s="176"/>
    </row>
    <row r="135" spans="1:10" x14ac:dyDescent="0.25">
      <c r="A135" s="171"/>
      <c r="B135" s="171"/>
      <c r="C135" s="171"/>
      <c r="D135" s="171"/>
      <c r="E135" s="171"/>
      <c r="F135" s="171"/>
      <c r="G135" s="171" t="s">
        <v>184</v>
      </c>
      <c r="H135" s="171"/>
      <c r="I135" s="171"/>
      <c r="J135" s="176"/>
    </row>
    <row r="136" spans="1:10" x14ac:dyDescent="0.25">
      <c r="A136" s="171"/>
      <c r="B136" s="171"/>
      <c r="C136" s="171"/>
      <c r="D136" s="171"/>
      <c r="E136" s="171"/>
      <c r="F136" s="171"/>
      <c r="G136" s="171"/>
      <c r="H136" s="171" t="s">
        <v>185</v>
      </c>
      <c r="I136" s="171"/>
      <c r="J136" s="176"/>
    </row>
    <row r="137" spans="1:10" x14ac:dyDescent="0.25">
      <c r="A137" s="171"/>
      <c r="B137" s="171"/>
      <c r="C137" s="171"/>
      <c r="D137" s="171"/>
      <c r="E137" s="171"/>
      <c r="F137" s="171"/>
      <c r="G137" s="171"/>
      <c r="H137" s="171"/>
      <c r="I137" s="171" t="s">
        <v>262</v>
      </c>
      <c r="J137" s="176">
        <v>28779</v>
      </c>
    </row>
    <row r="138" spans="1:10" ht="15.75" thickBot="1" x14ac:dyDescent="0.3">
      <c r="A138" s="171"/>
      <c r="B138" s="171"/>
      <c r="C138" s="171"/>
      <c r="D138" s="171"/>
      <c r="E138" s="171"/>
      <c r="F138" s="171"/>
      <c r="G138" s="171"/>
      <c r="H138" s="171"/>
      <c r="I138" s="171" t="s">
        <v>552</v>
      </c>
      <c r="J138" s="8">
        <v>110</v>
      </c>
    </row>
    <row r="139" spans="1:10" ht="15.75" thickBot="1" x14ac:dyDescent="0.3">
      <c r="A139" s="171"/>
      <c r="B139" s="171"/>
      <c r="C139" s="171"/>
      <c r="D139" s="171"/>
      <c r="E139" s="171"/>
      <c r="F139" s="171"/>
      <c r="G139" s="171"/>
      <c r="H139" s="171" t="s">
        <v>263</v>
      </c>
      <c r="I139" s="171"/>
      <c r="J139" s="10">
        <f>ROUND(SUM(J136:J138),5)</f>
        <v>28889</v>
      </c>
    </row>
    <row r="140" spans="1:10" x14ac:dyDescent="0.25">
      <c r="A140" s="171"/>
      <c r="B140" s="171"/>
      <c r="C140" s="171"/>
      <c r="D140" s="171"/>
      <c r="E140" s="171"/>
      <c r="F140" s="171"/>
      <c r="G140" s="171" t="s">
        <v>186</v>
      </c>
      <c r="H140" s="171"/>
      <c r="I140" s="171"/>
      <c r="J140" s="176">
        <f>ROUND(J135+J139,5)</f>
        <v>28889</v>
      </c>
    </row>
    <row r="141" spans="1:10" x14ac:dyDescent="0.25">
      <c r="A141" s="171"/>
      <c r="B141" s="171"/>
      <c r="C141" s="171"/>
      <c r="D141" s="171"/>
      <c r="E141" s="171"/>
      <c r="F141" s="171"/>
      <c r="G141" s="171" t="s">
        <v>207</v>
      </c>
      <c r="H141" s="171"/>
      <c r="I141" s="171"/>
      <c r="J141" s="176"/>
    </row>
    <row r="142" spans="1:10" x14ac:dyDescent="0.25">
      <c r="A142" s="171"/>
      <c r="B142" s="171"/>
      <c r="C142" s="171"/>
      <c r="D142" s="171"/>
      <c r="E142" s="171"/>
      <c r="F142" s="171"/>
      <c r="G142" s="171"/>
      <c r="H142" s="171" t="s">
        <v>211</v>
      </c>
      <c r="I142" s="171"/>
      <c r="J142" s="176">
        <v>50000</v>
      </c>
    </row>
    <row r="143" spans="1:10" x14ac:dyDescent="0.25">
      <c r="A143" s="171"/>
      <c r="B143" s="171"/>
      <c r="C143" s="171"/>
      <c r="D143" s="171"/>
      <c r="E143" s="171"/>
      <c r="F143" s="171"/>
      <c r="G143" s="171"/>
      <c r="H143" s="171" t="s">
        <v>554</v>
      </c>
      <c r="I143" s="171"/>
      <c r="J143" s="176">
        <v>4800</v>
      </c>
    </row>
    <row r="144" spans="1:10" x14ac:dyDescent="0.25">
      <c r="A144" s="171"/>
      <c r="B144" s="171"/>
      <c r="C144" s="171"/>
      <c r="D144" s="171"/>
      <c r="E144" s="171"/>
      <c r="F144" s="171"/>
      <c r="G144" s="171"/>
      <c r="H144" s="171" t="s">
        <v>555</v>
      </c>
      <c r="I144" s="171"/>
      <c r="J144" s="176">
        <v>1200</v>
      </c>
    </row>
    <row r="145" spans="1:11" ht="15.75" thickBot="1" x14ac:dyDescent="0.3">
      <c r="A145" s="171"/>
      <c r="B145" s="171"/>
      <c r="C145" s="171"/>
      <c r="D145" s="171"/>
      <c r="E145" s="171"/>
      <c r="F145" s="171"/>
      <c r="G145" s="171"/>
      <c r="H145" s="171" t="s">
        <v>648</v>
      </c>
      <c r="I145" s="171"/>
      <c r="J145" s="220">
        <v>3666.67</v>
      </c>
    </row>
    <row r="146" spans="1:11" x14ac:dyDescent="0.25">
      <c r="A146" s="171"/>
      <c r="B146" s="171"/>
      <c r="C146" s="171"/>
      <c r="D146" s="171"/>
      <c r="E146" s="171"/>
      <c r="F146" s="171"/>
      <c r="G146" s="171" t="s">
        <v>208</v>
      </c>
      <c r="H146" s="171"/>
      <c r="I146" s="171"/>
      <c r="J146" s="176">
        <f>ROUND(SUM(J141:J145),5)</f>
        <v>59666.67</v>
      </c>
    </row>
    <row r="147" spans="1:11" x14ac:dyDescent="0.25">
      <c r="A147" s="171"/>
      <c r="B147" s="171"/>
      <c r="C147" s="171"/>
      <c r="D147" s="171"/>
      <c r="E147" s="171"/>
      <c r="F147" s="171"/>
      <c r="G147" s="171" t="s">
        <v>187</v>
      </c>
      <c r="H147" s="171"/>
      <c r="I147" s="171"/>
      <c r="J147" s="176"/>
    </row>
    <row r="148" spans="1:11" x14ac:dyDescent="0.25">
      <c r="A148" s="171"/>
      <c r="B148" s="171"/>
      <c r="C148" s="171"/>
      <c r="D148" s="171"/>
      <c r="E148" s="171"/>
      <c r="F148" s="171"/>
      <c r="G148" s="171"/>
      <c r="H148" s="171" t="s">
        <v>556</v>
      </c>
      <c r="I148" s="171"/>
      <c r="J148" s="176">
        <v>104994.86</v>
      </c>
    </row>
    <row r="149" spans="1:11" ht="15.75" thickBot="1" x14ac:dyDescent="0.3">
      <c r="A149" s="171"/>
      <c r="B149" s="171"/>
      <c r="C149" s="171"/>
      <c r="D149" s="171"/>
      <c r="E149" s="171"/>
      <c r="F149" s="171"/>
      <c r="G149" s="171"/>
      <c r="H149" s="171" t="s">
        <v>209</v>
      </c>
      <c r="I149" s="171"/>
      <c r="J149" s="8">
        <v>45000</v>
      </c>
    </row>
    <row r="150" spans="1:11" ht="15.75" thickBot="1" x14ac:dyDescent="0.3">
      <c r="A150" s="171"/>
      <c r="B150" s="171"/>
      <c r="C150" s="171"/>
      <c r="D150" s="171"/>
      <c r="E150" s="171"/>
      <c r="F150" s="171"/>
      <c r="G150" s="171" t="s">
        <v>188</v>
      </c>
      <c r="H150" s="171"/>
      <c r="I150" s="171"/>
      <c r="J150" s="10">
        <f>ROUND(SUM(J147:J149),5)</f>
        <v>149994.85999999999</v>
      </c>
    </row>
    <row r="151" spans="1:11" x14ac:dyDescent="0.25">
      <c r="A151" s="171"/>
      <c r="B151" s="171"/>
      <c r="C151" s="171"/>
      <c r="D151" s="171"/>
      <c r="E151" s="171"/>
      <c r="F151" s="171" t="s">
        <v>210</v>
      </c>
      <c r="G151" s="171"/>
      <c r="H151" s="171"/>
      <c r="I151" s="171"/>
      <c r="J151" s="176">
        <f>ROUND(J134+J140+J146+J150,5)</f>
        <v>238550.53</v>
      </c>
    </row>
    <row r="152" spans="1:11" x14ac:dyDescent="0.25">
      <c r="A152" s="171"/>
      <c r="B152" s="171"/>
      <c r="C152" s="171"/>
      <c r="D152" s="171"/>
      <c r="E152" s="171"/>
      <c r="F152" s="171" t="s">
        <v>465</v>
      </c>
      <c r="G152" s="171"/>
      <c r="H152" s="171"/>
      <c r="I152" s="171"/>
      <c r="J152" s="176"/>
    </row>
    <row r="153" spans="1:11" ht="15.75" thickBot="1" x14ac:dyDescent="0.3">
      <c r="A153" s="171"/>
      <c r="B153" s="171"/>
      <c r="C153" s="171"/>
      <c r="D153" s="171"/>
      <c r="E153" s="171"/>
      <c r="F153" s="171"/>
      <c r="G153" s="171" t="s">
        <v>466</v>
      </c>
      <c r="H153" s="171"/>
      <c r="I153" s="171"/>
      <c r="J153" s="220">
        <v>120156</v>
      </c>
    </row>
    <row r="154" spans="1:11" x14ac:dyDescent="0.25">
      <c r="A154" s="171"/>
      <c r="B154" s="171"/>
      <c r="C154" s="171"/>
      <c r="D154" s="171"/>
      <c r="E154" s="171"/>
      <c r="F154" s="171" t="s">
        <v>467</v>
      </c>
      <c r="G154" s="171"/>
      <c r="H154" s="171"/>
      <c r="I154" s="171"/>
      <c r="J154" s="176">
        <f>ROUND(SUM(J152:J153),5)</f>
        <v>120156</v>
      </c>
    </row>
    <row r="155" spans="1:11" x14ac:dyDescent="0.25">
      <c r="A155" s="171"/>
      <c r="B155" s="171"/>
      <c r="C155" s="171"/>
      <c r="D155" s="171"/>
      <c r="E155" s="171"/>
      <c r="F155" s="171" t="s">
        <v>139</v>
      </c>
      <c r="G155" s="171"/>
      <c r="H155" s="171"/>
      <c r="I155" s="171"/>
      <c r="J155" s="176"/>
    </row>
    <row r="156" spans="1:11" x14ac:dyDescent="0.25">
      <c r="A156" s="171"/>
      <c r="B156" s="171"/>
      <c r="C156" s="171"/>
      <c r="D156" s="171"/>
      <c r="E156" s="171"/>
      <c r="F156" s="171"/>
      <c r="G156" s="171" t="s">
        <v>468</v>
      </c>
      <c r="H156" s="171"/>
      <c r="I156" s="171"/>
      <c r="J156" s="176"/>
    </row>
    <row r="157" spans="1:11" x14ac:dyDescent="0.25">
      <c r="A157" s="171"/>
      <c r="B157" s="171"/>
      <c r="C157" s="171"/>
      <c r="D157" s="171"/>
      <c r="E157" s="171"/>
      <c r="F157" s="171"/>
      <c r="G157" s="171"/>
      <c r="H157" s="171" t="s">
        <v>649</v>
      </c>
      <c r="I157" s="213"/>
      <c r="J157" s="231">
        <v>48000</v>
      </c>
      <c r="K157" s="215"/>
    </row>
    <row r="158" spans="1:11" x14ac:dyDescent="0.25">
      <c r="A158" s="171"/>
      <c r="B158" s="171"/>
      <c r="C158" s="171"/>
      <c r="D158" s="171"/>
      <c r="E158" s="171"/>
      <c r="F158" s="171"/>
      <c r="G158" s="171"/>
      <c r="H158" s="171" t="s">
        <v>650</v>
      </c>
      <c r="I158" s="171"/>
      <c r="J158" s="176">
        <v>12000</v>
      </c>
    </row>
    <row r="159" spans="1:11" x14ac:dyDescent="0.25">
      <c r="A159" s="171"/>
      <c r="B159" s="171"/>
      <c r="C159" s="171"/>
      <c r="D159" s="171"/>
      <c r="E159" s="171"/>
      <c r="F159" s="171"/>
      <c r="G159" s="171"/>
      <c r="H159" s="171" t="s">
        <v>140</v>
      </c>
      <c r="I159" s="171"/>
      <c r="J159" s="176">
        <v>350000</v>
      </c>
    </row>
    <row r="160" spans="1:11" x14ac:dyDescent="0.25">
      <c r="A160" s="171"/>
      <c r="B160" s="171"/>
      <c r="C160" s="171"/>
      <c r="D160" s="171"/>
      <c r="E160" s="171"/>
      <c r="F160" s="171"/>
      <c r="G160" s="171"/>
      <c r="H160" s="171" t="s">
        <v>573</v>
      </c>
      <c r="I160" s="171"/>
      <c r="J160" s="176">
        <v>32083.33</v>
      </c>
    </row>
    <row r="161" spans="1:12" ht="15.75" thickBot="1" x14ac:dyDescent="0.3">
      <c r="A161" s="171"/>
      <c r="B161" s="171"/>
      <c r="C161" s="171"/>
      <c r="D161" s="171"/>
      <c r="E161" s="171"/>
      <c r="F161" s="171"/>
      <c r="G161" s="171"/>
      <c r="H161" s="171" t="s">
        <v>741</v>
      </c>
      <c r="I161" s="171"/>
      <c r="J161" s="220">
        <v>133000</v>
      </c>
      <c r="L161" s="154">
        <f>133000/1000/147.27</f>
        <v>0.90310314388538049</v>
      </c>
    </row>
    <row r="162" spans="1:12" x14ac:dyDescent="0.25">
      <c r="A162" s="171"/>
      <c r="B162" s="171"/>
      <c r="C162" s="171"/>
      <c r="D162" s="171"/>
      <c r="E162" s="171"/>
      <c r="F162" s="171"/>
      <c r="G162" s="171" t="s">
        <v>469</v>
      </c>
      <c r="H162" s="171"/>
      <c r="I162" s="171"/>
      <c r="J162" s="176">
        <f>ROUND(SUM(J156:J161),5)</f>
        <v>575083.32999999996</v>
      </c>
    </row>
    <row r="163" spans="1:12" x14ac:dyDescent="0.25">
      <c r="A163" s="171"/>
      <c r="B163" s="171"/>
      <c r="C163" s="171"/>
      <c r="D163" s="171"/>
      <c r="E163" s="171"/>
      <c r="F163" s="171"/>
      <c r="G163" s="171" t="s">
        <v>141</v>
      </c>
      <c r="H163" s="171"/>
      <c r="I163" s="171"/>
      <c r="J163" s="176"/>
    </row>
    <row r="164" spans="1:12" x14ac:dyDescent="0.25">
      <c r="A164" s="171"/>
      <c r="B164" s="171"/>
      <c r="C164" s="171"/>
      <c r="D164" s="171"/>
      <c r="E164" s="171"/>
      <c r="F164" s="171"/>
      <c r="G164" s="171"/>
      <c r="H164" s="171" t="s">
        <v>143</v>
      </c>
      <c r="I164" s="171"/>
      <c r="J164" s="176">
        <v>0</v>
      </c>
    </row>
    <row r="165" spans="1:12" x14ac:dyDescent="0.25">
      <c r="A165" s="171"/>
      <c r="B165" s="171"/>
      <c r="C165" s="171"/>
      <c r="D165" s="171"/>
      <c r="E165" s="171"/>
      <c r="F165" s="171"/>
      <c r="G165" s="171"/>
      <c r="H165" s="171" t="s">
        <v>470</v>
      </c>
      <c r="I165" s="171"/>
      <c r="J165" s="176">
        <v>19000</v>
      </c>
    </row>
    <row r="166" spans="1:12" x14ac:dyDescent="0.25">
      <c r="A166" s="171"/>
      <c r="B166" s="171"/>
      <c r="C166" s="171"/>
      <c r="D166" s="171"/>
      <c r="E166" s="171"/>
      <c r="F166" s="171"/>
      <c r="G166" s="171"/>
      <c r="H166" s="171" t="s">
        <v>144</v>
      </c>
      <c r="I166" s="171"/>
      <c r="J166" s="176">
        <v>0</v>
      </c>
    </row>
    <row r="167" spans="1:12" x14ac:dyDescent="0.25">
      <c r="A167" s="171"/>
      <c r="B167" s="171"/>
      <c r="C167" s="171"/>
      <c r="D167" s="171"/>
      <c r="E167" s="171"/>
      <c r="F167" s="171"/>
      <c r="G167" s="171"/>
      <c r="H167" s="171" t="s">
        <v>145</v>
      </c>
      <c r="I167" s="171"/>
      <c r="J167" s="176">
        <v>0</v>
      </c>
    </row>
    <row r="168" spans="1:12" x14ac:dyDescent="0.25">
      <c r="A168" s="171"/>
      <c r="B168" s="171"/>
      <c r="C168" s="171"/>
      <c r="D168" s="171"/>
      <c r="E168" s="171"/>
      <c r="F168" s="171"/>
      <c r="G168" s="171"/>
      <c r="H168" s="171" t="s">
        <v>146</v>
      </c>
      <c r="I168" s="171"/>
      <c r="J168" s="176">
        <v>0</v>
      </c>
    </row>
    <row r="169" spans="1:12" x14ac:dyDescent="0.25">
      <c r="A169" s="171"/>
      <c r="B169" s="171"/>
      <c r="C169" s="171"/>
      <c r="D169" s="171"/>
      <c r="E169" s="171"/>
      <c r="F169" s="171"/>
      <c r="G169" s="171"/>
      <c r="H169" s="171" t="s">
        <v>484</v>
      </c>
      <c r="I169" s="171"/>
      <c r="J169" s="176">
        <v>0</v>
      </c>
    </row>
    <row r="170" spans="1:12" x14ac:dyDescent="0.25">
      <c r="A170" s="171"/>
      <c r="B170" s="171"/>
      <c r="C170" s="171"/>
      <c r="D170" s="171"/>
      <c r="E170" s="171"/>
      <c r="F170" s="171"/>
      <c r="G170" s="171"/>
      <c r="H170" s="171" t="s">
        <v>582</v>
      </c>
      <c r="I170" s="171"/>
      <c r="J170" s="176">
        <v>237206</v>
      </c>
    </row>
    <row r="171" spans="1:12" ht="15.75" thickBot="1" x14ac:dyDescent="0.3">
      <c r="A171" s="171"/>
      <c r="B171" s="171"/>
      <c r="C171" s="171"/>
      <c r="D171" s="171"/>
      <c r="E171" s="171"/>
      <c r="F171" s="171"/>
      <c r="G171" s="171"/>
      <c r="H171" s="171" t="s">
        <v>147</v>
      </c>
      <c r="I171" s="171"/>
      <c r="J171" s="220">
        <v>28790</v>
      </c>
    </row>
    <row r="172" spans="1:12" x14ac:dyDescent="0.25">
      <c r="A172" s="171"/>
      <c r="B172" s="171"/>
      <c r="C172" s="171"/>
      <c r="D172" s="171"/>
      <c r="E172" s="171"/>
      <c r="F172" s="171"/>
      <c r="G172" s="171" t="s">
        <v>148</v>
      </c>
      <c r="H172" s="171"/>
      <c r="I172" s="171"/>
      <c r="J172" s="176">
        <f>ROUND(SUM(J163:J171),5)</f>
        <v>284996</v>
      </c>
    </row>
    <row r="173" spans="1:12" x14ac:dyDescent="0.25">
      <c r="A173" s="171"/>
      <c r="B173" s="171"/>
      <c r="C173" s="171"/>
      <c r="D173" s="171"/>
      <c r="E173" s="171"/>
      <c r="F173" s="171"/>
      <c r="G173" s="171" t="s">
        <v>149</v>
      </c>
      <c r="H173" s="171"/>
      <c r="I173" s="171"/>
      <c r="J173" s="176"/>
    </row>
    <row r="174" spans="1:12" x14ac:dyDescent="0.25">
      <c r="A174" s="171"/>
      <c r="B174" s="171"/>
      <c r="C174" s="171"/>
      <c r="D174" s="171"/>
      <c r="E174" s="171"/>
      <c r="F174" s="171"/>
      <c r="G174" s="171"/>
      <c r="H174" s="171" t="s">
        <v>584</v>
      </c>
      <c r="I174" s="171"/>
      <c r="J174" s="176">
        <v>23662.5</v>
      </c>
    </row>
    <row r="175" spans="1:12" x14ac:dyDescent="0.25">
      <c r="A175" s="171"/>
      <c r="B175" s="171"/>
      <c r="C175" s="171"/>
      <c r="D175" s="171"/>
      <c r="E175" s="171"/>
      <c r="F175" s="171"/>
      <c r="G175" s="171"/>
      <c r="H175" s="171" t="s">
        <v>150</v>
      </c>
      <c r="I175" s="171"/>
      <c r="J175" s="176">
        <v>0</v>
      </c>
    </row>
    <row r="176" spans="1:12" x14ac:dyDescent="0.25">
      <c r="A176" s="171"/>
      <c r="B176" s="171"/>
      <c r="C176" s="171"/>
      <c r="D176" s="171"/>
      <c r="E176" s="171"/>
      <c r="F176" s="171"/>
      <c r="G176" s="171"/>
      <c r="H176" s="171" t="s">
        <v>151</v>
      </c>
      <c r="I176" s="171"/>
      <c r="J176" s="176">
        <v>-1000</v>
      </c>
    </row>
    <row r="177" spans="1:10" x14ac:dyDescent="0.25">
      <c r="A177" s="171"/>
      <c r="B177" s="171"/>
      <c r="C177" s="171"/>
      <c r="D177" s="171"/>
      <c r="E177" s="171"/>
      <c r="F177" s="171"/>
      <c r="G177" s="171"/>
      <c r="H177" s="171" t="s">
        <v>152</v>
      </c>
      <c r="I177" s="171"/>
      <c r="J177" s="176">
        <v>0</v>
      </c>
    </row>
    <row r="178" spans="1:10" x14ac:dyDescent="0.25">
      <c r="A178" s="171"/>
      <c r="B178" s="171"/>
      <c r="C178" s="171"/>
      <c r="D178" s="171"/>
      <c r="E178" s="171"/>
      <c r="F178" s="171"/>
      <c r="G178" s="171"/>
      <c r="H178" s="171" t="s">
        <v>471</v>
      </c>
      <c r="I178" s="171"/>
      <c r="J178" s="176">
        <v>0</v>
      </c>
    </row>
    <row r="179" spans="1:10" x14ac:dyDescent="0.25">
      <c r="A179" s="171"/>
      <c r="B179" s="171"/>
      <c r="C179" s="171"/>
      <c r="D179" s="171"/>
      <c r="E179" s="171"/>
      <c r="F179" s="171"/>
      <c r="G179" s="171"/>
      <c r="H179" s="171" t="s">
        <v>472</v>
      </c>
      <c r="I179" s="171"/>
      <c r="J179" s="176">
        <v>3655.73</v>
      </c>
    </row>
    <row r="180" spans="1:10" x14ac:dyDescent="0.25">
      <c r="A180" s="171"/>
      <c r="B180" s="171"/>
      <c r="C180" s="171"/>
      <c r="D180" s="171"/>
      <c r="E180" s="171"/>
      <c r="F180" s="171"/>
      <c r="G180" s="171"/>
      <c r="H180" s="171" t="s">
        <v>585</v>
      </c>
      <c r="I180" s="171"/>
      <c r="J180" s="176">
        <v>-639.21</v>
      </c>
    </row>
    <row r="181" spans="1:10" ht="15.75" thickBot="1" x14ac:dyDescent="0.3">
      <c r="A181" s="171"/>
      <c r="B181" s="171"/>
      <c r="C181" s="171"/>
      <c r="D181" s="171"/>
      <c r="E181" s="171"/>
      <c r="F181" s="171"/>
      <c r="G181" s="171"/>
      <c r="H181" s="171" t="s">
        <v>742</v>
      </c>
      <c r="I181" s="171"/>
      <c r="J181" s="220">
        <v>1000</v>
      </c>
    </row>
    <row r="182" spans="1:10" x14ac:dyDescent="0.25">
      <c r="A182" s="171"/>
      <c r="B182" s="171"/>
      <c r="C182" s="171"/>
      <c r="D182" s="171"/>
      <c r="E182" s="171"/>
      <c r="F182" s="171"/>
      <c r="G182" s="171" t="s">
        <v>153</v>
      </c>
      <c r="H182" s="171"/>
      <c r="I182" s="171"/>
      <c r="J182" s="176">
        <f>ROUND(SUM(J173:J181),5)</f>
        <v>26679.02</v>
      </c>
    </row>
    <row r="183" spans="1:10" x14ac:dyDescent="0.25">
      <c r="A183" s="171"/>
      <c r="B183" s="171"/>
      <c r="C183" s="171"/>
      <c r="D183" s="171"/>
      <c r="E183" s="171"/>
      <c r="F183" s="171"/>
      <c r="G183" s="171" t="s">
        <v>154</v>
      </c>
      <c r="H183" s="171"/>
      <c r="I183" s="171"/>
      <c r="J183" s="176"/>
    </row>
    <row r="184" spans="1:10" x14ac:dyDescent="0.25">
      <c r="A184" s="171"/>
      <c r="B184" s="171"/>
      <c r="C184" s="171"/>
      <c r="D184" s="171"/>
      <c r="E184" s="171"/>
      <c r="F184" s="171"/>
      <c r="G184" s="171"/>
      <c r="H184" s="171" t="s">
        <v>155</v>
      </c>
      <c r="I184" s="171"/>
      <c r="J184" s="176">
        <v>0</v>
      </c>
    </row>
    <row r="185" spans="1:10" x14ac:dyDescent="0.25">
      <c r="A185" s="171"/>
      <c r="B185" s="171"/>
      <c r="C185" s="171"/>
      <c r="D185" s="171"/>
      <c r="E185" s="171"/>
      <c r="F185" s="171"/>
      <c r="G185" s="171"/>
      <c r="H185" s="171" t="s">
        <v>156</v>
      </c>
      <c r="I185" s="171"/>
      <c r="J185" s="176">
        <v>0</v>
      </c>
    </row>
    <row r="186" spans="1:10" x14ac:dyDescent="0.25">
      <c r="A186" s="171"/>
      <c r="B186" s="171"/>
      <c r="C186" s="171"/>
      <c r="D186" s="171"/>
      <c r="E186" s="171"/>
      <c r="F186" s="171"/>
      <c r="G186" s="171"/>
      <c r="H186" s="171" t="s">
        <v>157</v>
      </c>
      <c r="I186" s="171"/>
      <c r="J186" s="176">
        <v>0</v>
      </c>
    </row>
    <row r="187" spans="1:10" x14ac:dyDescent="0.25">
      <c r="A187" s="171"/>
      <c r="B187" s="171"/>
      <c r="C187" s="171"/>
      <c r="D187" s="171"/>
      <c r="E187" s="171"/>
      <c r="F187" s="171"/>
      <c r="G187" s="171"/>
      <c r="H187" s="171" t="s">
        <v>158</v>
      </c>
      <c r="I187" s="171"/>
      <c r="J187" s="176">
        <v>0</v>
      </c>
    </row>
    <row r="188" spans="1:10" ht="15.75" thickBot="1" x14ac:dyDescent="0.3">
      <c r="A188" s="171"/>
      <c r="B188" s="171"/>
      <c r="C188" s="171"/>
      <c r="D188" s="171"/>
      <c r="E188" s="171"/>
      <c r="F188" s="171"/>
      <c r="G188" s="171"/>
      <c r="H188" s="171" t="s">
        <v>587</v>
      </c>
      <c r="I188" s="171"/>
      <c r="J188" s="220">
        <v>0</v>
      </c>
    </row>
    <row r="189" spans="1:10" x14ac:dyDescent="0.25">
      <c r="A189" s="171"/>
      <c r="B189" s="171"/>
      <c r="C189" s="171"/>
      <c r="D189" s="171"/>
      <c r="E189" s="171"/>
      <c r="F189" s="171"/>
      <c r="G189" s="171" t="s">
        <v>159</v>
      </c>
      <c r="H189" s="171"/>
      <c r="I189" s="171"/>
      <c r="J189" s="176">
        <f>ROUND(SUM(J183:J188),5)</f>
        <v>0</v>
      </c>
    </row>
    <row r="190" spans="1:10" x14ac:dyDescent="0.25">
      <c r="A190" s="171"/>
      <c r="B190" s="171"/>
      <c r="C190" s="171"/>
      <c r="D190" s="171"/>
      <c r="E190" s="171"/>
      <c r="F190" s="171"/>
      <c r="G190" s="171" t="s">
        <v>160</v>
      </c>
      <c r="H190" s="171"/>
      <c r="I190" s="171"/>
      <c r="J190" s="176"/>
    </row>
    <row r="191" spans="1:10" x14ac:dyDescent="0.25">
      <c r="A191" s="171"/>
      <c r="B191" s="171"/>
      <c r="C191" s="171"/>
      <c r="D191" s="171"/>
      <c r="E191" s="171"/>
      <c r="F191" s="171"/>
      <c r="G191" s="171"/>
      <c r="H191" s="171" t="s">
        <v>161</v>
      </c>
      <c r="I191" s="171"/>
      <c r="J191" s="176">
        <v>0</v>
      </c>
    </row>
    <row r="192" spans="1:10" x14ac:dyDescent="0.25">
      <c r="A192" s="171"/>
      <c r="B192" s="171"/>
      <c r="C192" s="171"/>
      <c r="D192" s="171"/>
      <c r="E192" s="171"/>
      <c r="F192" s="171"/>
      <c r="G192" s="171"/>
      <c r="H192" s="171" t="s">
        <v>162</v>
      </c>
      <c r="I192" s="171"/>
      <c r="J192" s="176">
        <v>0</v>
      </c>
    </row>
    <row r="193" spans="1:10" x14ac:dyDescent="0.25">
      <c r="A193" s="171"/>
      <c r="B193" s="171"/>
      <c r="C193" s="171"/>
      <c r="D193" s="171"/>
      <c r="E193" s="171"/>
      <c r="F193" s="171"/>
      <c r="G193" s="171"/>
      <c r="H193" s="171" t="s">
        <v>485</v>
      </c>
      <c r="I193" s="171"/>
      <c r="J193" s="176"/>
    </row>
    <row r="194" spans="1:10" x14ac:dyDescent="0.25">
      <c r="A194" s="171"/>
      <c r="B194" s="171"/>
      <c r="C194" s="171"/>
      <c r="D194" s="171"/>
      <c r="E194" s="171"/>
      <c r="F194" s="171"/>
      <c r="G194" s="171"/>
      <c r="H194" s="171"/>
      <c r="I194" s="171" t="s">
        <v>487</v>
      </c>
      <c r="J194" s="176">
        <v>0</v>
      </c>
    </row>
    <row r="195" spans="1:10" ht="15.75" thickBot="1" x14ac:dyDescent="0.3">
      <c r="A195" s="171"/>
      <c r="B195" s="171"/>
      <c r="C195" s="171"/>
      <c r="D195" s="171"/>
      <c r="E195" s="171"/>
      <c r="F195" s="171"/>
      <c r="G195" s="171"/>
      <c r="H195" s="171"/>
      <c r="I195" s="171" t="s">
        <v>590</v>
      </c>
      <c r="J195" s="8">
        <v>0</v>
      </c>
    </row>
    <row r="196" spans="1:10" ht="15.75" thickBot="1" x14ac:dyDescent="0.3">
      <c r="A196" s="171"/>
      <c r="B196" s="171"/>
      <c r="C196" s="171"/>
      <c r="D196" s="171"/>
      <c r="E196" s="171"/>
      <c r="F196" s="171"/>
      <c r="G196" s="171"/>
      <c r="H196" s="171" t="s">
        <v>489</v>
      </c>
      <c r="I196" s="171"/>
      <c r="J196" s="10">
        <f>ROUND(SUM(J193:J195),5)</f>
        <v>0</v>
      </c>
    </row>
    <row r="197" spans="1:10" x14ac:dyDescent="0.25">
      <c r="A197" s="171"/>
      <c r="B197" s="171"/>
      <c r="C197" s="171"/>
      <c r="D197" s="171"/>
      <c r="E197" s="171"/>
      <c r="F197" s="171"/>
      <c r="G197" s="171" t="s">
        <v>163</v>
      </c>
      <c r="H197" s="171"/>
      <c r="I197" s="171"/>
      <c r="J197" s="176">
        <f>ROUND(SUM(J190:J192)+J196,5)</f>
        <v>0</v>
      </c>
    </row>
    <row r="198" spans="1:10" x14ac:dyDescent="0.25">
      <c r="A198" s="171"/>
      <c r="B198" s="171"/>
      <c r="C198" s="171"/>
      <c r="D198" s="171"/>
      <c r="E198" s="171"/>
      <c r="F198" s="171"/>
      <c r="G198" s="171" t="s">
        <v>164</v>
      </c>
      <c r="H198" s="171"/>
      <c r="I198" s="171"/>
      <c r="J198" s="176"/>
    </row>
    <row r="199" spans="1:10" ht="15.75" thickBot="1" x14ac:dyDescent="0.3">
      <c r="A199" s="171"/>
      <c r="B199" s="171"/>
      <c r="C199" s="171"/>
      <c r="D199" s="171"/>
      <c r="E199" s="171"/>
      <c r="F199" s="171"/>
      <c r="G199" s="171"/>
      <c r="H199" s="171" t="s">
        <v>165</v>
      </c>
      <c r="I199" s="171"/>
      <c r="J199" s="220">
        <v>1450</v>
      </c>
    </row>
    <row r="200" spans="1:10" x14ac:dyDescent="0.25">
      <c r="A200" s="171"/>
      <c r="B200" s="171"/>
      <c r="C200" s="171"/>
      <c r="D200" s="171"/>
      <c r="E200" s="171"/>
      <c r="F200" s="171"/>
      <c r="G200" s="171" t="s">
        <v>166</v>
      </c>
      <c r="H200" s="171"/>
      <c r="I200" s="171"/>
      <c r="J200" s="176">
        <f>ROUND(SUM(J198:J199),5)</f>
        <v>1450</v>
      </c>
    </row>
    <row r="201" spans="1:10" x14ac:dyDescent="0.25">
      <c r="A201" s="171"/>
      <c r="B201" s="171"/>
      <c r="C201" s="171"/>
      <c r="D201" s="171"/>
      <c r="E201" s="171"/>
      <c r="F201" s="171"/>
      <c r="G201" s="171" t="s">
        <v>167</v>
      </c>
      <c r="H201" s="171"/>
      <c r="I201" s="171"/>
      <c r="J201" s="176"/>
    </row>
    <row r="202" spans="1:10" x14ac:dyDescent="0.25">
      <c r="A202" s="171"/>
      <c r="B202" s="171"/>
      <c r="C202" s="171"/>
      <c r="D202" s="171"/>
      <c r="E202" s="171"/>
      <c r="F202" s="171"/>
      <c r="G202" s="171"/>
      <c r="H202" s="171" t="s">
        <v>168</v>
      </c>
      <c r="I202" s="171"/>
      <c r="J202" s="176">
        <v>76220.160000000003</v>
      </c>
    </row>
    <row r="203" spans="1:10" x14ac:dyDescent="0.25">
      <c r="A203" s="171"/>
      <c r="B203" s="171"/>
      <c r="C203" s="171"/>
      <c r="D203" s="171"/>
      <c r="E203" s="171"/>
      <c r="F203" s="171"/>
      <c r="G203" s="171"/>
      <c r="H203" s="171" t="s">
        <v>473</v>
      </c>
      <c r="I203" s="171"/>
      <c r="J203" s="176">
        <v>97849.52</v>
      </c>
    </row>
    <row r="204" spans="1:10" x14ac:dyDescent="0.25">
      <c r="A204" s="171"/>
      <c r="B204" s="171"/>
      <c r="C204" s="171"/>
      <c r="D204" s="171"/>
      <c r="E204" s="171"/>
      <c r="F204" s="171"/>
      <c r="G204" s="171"/>
      <c r="H204" s="171" t="s">
        <v>169</v>
      </c>
      <c r="I204" s="171"/>
      <c r="J204" s="176">
        <v>961808.66</v>
      </c>
    </row>
    <row r="205" spans="1:10" ht="15.75" thickBot="1" x14ac:dyDescent="0.3">
      <c r="A205" s="171"/>
      <c r="B205" s="171"/>
      <c r="C205" s="171"/>
      <c r="D205" s="171"/>
      <c r="E205" s="171"/>
      <c r="F205" s="171"/>
      <c r="G205" s="171"/>
      <c r="H205" s="171" t="s">
        <v>490</v>
      </c>
      <c r="I205" s="171"/>
      <c r="J205" s="220">
        <v>0</v>
      </c>
    </row>
    <row r="206" spans="1:10" x14ac:dyDescent="0.25">
      <c r="A206" s="171"/>
      <c r="B206" s="171"/>
      <c r="C206" s="171"/>
      <c r="D206" s="171"/>
      <c r="E206" s="171"/>
      <c r="F206" s="171"/>
      <c r="G206" s="171" t="s">
        <v>172</v>
      </c>
      <c r="H206" s="171"/>
      <c r="I206" s="171"/>
      <c r="J206" s="176">
        <f>ROUND(SUM(J201:J205),5)</f>
        <v>1135878.3400000001</v>
      </c>
    </row>
    <row r="207" spans="1:10" ht="15.75" thickBot="1" x14ac:dyDescent="0.3">
      <c r="A207" s="171"/>
      <c r="B207" s="171"/>
      <c r="C207" s="171"/>
      <c r="D207" s="171"/>
      <c r="E207" s="171"/>
      <c r="F207" s="171"/>
      <c r="G207" s="171" t="s">
        <v>734</v>
      </c>
      <c r="H207" s="171"/>
      <c r="I207" s="171"/>
      <c r="J207" s="8">
        <v>4230</v>
      </c>
    </row>
    <row r="208" spans="1:10" ht="15.75" thickBot="1" x14ac:dyDescent="0.3">
      <c r="A208" s="171"/>
      <c r="B208" s="171"/>
      <c r="C208" s="171"/>
      <c r="D208" s="171"/>
      <c r="E208" s="171"/>
      <c r="F208" s="171" t="s">
        <v>173</v>
      </c>
      <c r="G208" s="171"/>
      <c r="H208" s="171"/>
      <c r="I208" s="171"/>
      <c r="J208" s="10">
        <f>ROUND(J155+J162+J172+J182+J189+J197+J200+SUM(J206:J207),5)</f>
        <v>2028316.69</v>
      </c>
    </row>
    <row r="209" spans="1:10" x14ac:dyDescent="0.25">
      <c r="A209" s="171"/>
      <c r="B209" s="171"/>
      <c r="C209" s="171"/>
      <c r="D209" s="171"/>
      <c r="E209" s="171" t="s">
        <v>174</v>
      </c>
      <c r="F209" s="171"/>
      <c r="G209" s="171"/>
      <c r="H209" s="171"/>
      <c r="I209" s="171"/>
      <c r="J209" s="176">
        <f>ROUND(J48+J91+J123+J133+J151+J154+J208,5)</f>
        <v>3904603.14</v>
      </c>
    </row>
    <row r="210" spans="1:10" ht="15.75" thickBot="1" x14ac:dyDescent="0.3">
      <c r="A210" s="171"/>
      <c r="B210" s="171"/>
      <c r="C210" s="171"/>
      <c r="D210" s="171"/>
      <c r="E210" s="171" t="s">
        <v>729</v>
      </c>
      <c r="F210" s="171"/>
      <c r="G210" s="171"/>
      <c r="H210" s="171"/>
      <c r="I210" s="171"/>
      <c r="J210" s="8">
        <v>-598700</v>
      </c>
    </row>
    <row r="211" spans="1:10" ht="15.75" thickBot="1" x14ac:dyDescent="0.3">
      <c r="A211" s="171"/>
      <c r="B211" s="171"/>
      <c r="C211" s="171"/>
      <c r="D211" s="171" t="s">
        <v>175</v>
      </c>
      <c r="E211" s="171"/>
      <c r="F211" s="171"/>
      <c r="G211" s="171"/>
      <c r="H211" s="171"/>
      <c r="I211" s="171"/>
      <c r="J211" s="10">
        <f>ROUND(J47+SUM(J209:J210),5)</f>
        <v>3305903.14</v>
      </c>
    </row>
    <row r="212" spans="1:10" x14ac:dyDescent="0.25">
      <c r="A212" s="171"/>
      <c r="B212" s="171" t="s">
        <v>176</v>
      </c>
      <c r="C212" s="171"/>
      <c r="D212" s="171"/>
      <c r="E212" s="171"/>
      <c r="F212" s="171"/>
      <c r="G212" s="171"/>
      <c r="H212" s="171"/>
      <c r="I212" s="171"/>
      <c r="J212" s="176">
        <f>ROUND(J2+J46-J211,5)</f>
        <v>3019486.7696000002</v>
      </c>
    </row>
    <row r="213" spans="1:10" x14ac:dyDescent="0.25">
      <c r="A213" s="171"/>
      <c r="B213" s="171" t="s">
        <v>632</v>
      </c>
      <c r="C213" s="171"/>
      <c r="D213" s="171"/>
      <c r="E213" s="171"/>
      <c r="F213" s="171"/>
      <c r="G213" s="171"/>
      <c r="H213" s="171"/>
      <c r="I213" s="171"/>
      <c r="J213" s="176"/>
    </row>
    <row r="214" spans="1:10" x14ac:dyDescent="0.25">
      <c r="A214" s="171"/>
      <c r="B214" s="171"/>
      <c r="C214" s="171" t="s">
        <v>633</v>
      </c>
      <c r="D214" s="171"/>
      <c r="E214" s="171"/>
      <c r="F214" s="171"/>
      <c r="G214" s="171"/>
      <c r="H214" s="171"/>
      <c r="I214" s="171"/>
      <c r="J214" s="176"/>
    </row>
    <row r="215" spans="1:10" x14ac:dyDescent="0.25">
      <c r="A215" s="171"/>
      <c r="B215" s="171"/>
      <c r="C215" s="171"/>
      <c r="D215" s="171" t="s">
        <v>634</v>
      </c>
      <c r="E215" s="171"/>
      <c r="F215" s="171"/>
      <c r="G215" s="171"/>
      <c r="H215" s="171"/>
      <c r="I215" s="171"/>
      <c r="J215" s="176"/>
    </row>
    <row r="216" spans="1:10" ht="15.75" thickBot="1" x14ac:dyDescent="0.3">
      <c r="A216" s="171"/>
      <c r="B216" s="171"/>
      <c r="C216" s="171"/>
      <c r="D216" s="171"/>
      <c r="E216" s="171" t="s">
        <v>635</v>
      </c>
      <c r="F216" s="171"/>
      <c r="G216" s="171"/>
      <c r="H216" s="171"/>
      <c r="I216" s="171"/>
      <c r="J216" s="8">
        <v>2200</v>
      </c>
    </row>
    <row r="217" spans="1:10" ht="15.75" thickBot="1" x14ac:dyDescent="0.3">
      <c r="A217" s="171"/>
      <c r="B217" s="171"/>
      <c r="C217" s="171"/>
      <c r="D217" s="171" t="s">
        <v>637</v>
      </c>
      <c r="E217" s="171"/>
      <c r="F217" s="171"/>
      <c r="G217" s="171"/>
      <c r="H217" s="171"/>
      <c r="I217" s="171"/>
      <c r="J217" s="10">
        <f>ROUND(SUM(J215:J216),5)</f>
        <v>2200</v>
      </c>
    </row>
    <row r="218" spans="1:10" x14ac:dyDescent="0.25">
      <c r="A218" s="171"/>
      <c r="B218" s="171"/>
      <c r="C218" s="171" t="s">
        <v>638</v>
      </c>
      <c r="D218" s="171"/>
      <c r="E218" s="171"/>
      <c r="F218" s="171"/>
      <c r="G218" s="171"/>
      <c r="H218" s="171"/>
      <c r="I218" s="171"/>
      <c r="J218" s="176">
        <f>ROUND(J214+J217,5)</f>
        <v>2200</v>
      </c>
    </row>
    <row r="219" spans="1:10" x14ac:dyDescent="0.25">
      <c r="A219" s="171"/>
      <c r="B219" s="171"/>
      <c r="C219" s="171" t="s">
        <v>639</v>
      </c>
      <c r="D219" s="171"/>
      <c r="E219" s="171"/>
      <c r="F219" s="171"/>
      <c r="G219" s="171"/>
      <c r="H219" s="171"/>
      <c r="I219" s="171"/>
      <c r="J219" s="176"/>
    </row>
    <row r="220" spans="1:10" ht="15.75" thickBot="1" x14ac:dyDescent="0.3">
      <c r="A220" s="171"/>
      <c r="B220" s="171"/>
      <c r="C220" s="171"/>
      <c r="D220" s="171" t="s">
        <v>640</v>
      </c>
      <c r="E220" s="171"/>
      <c r="F220" s="171"/>
      <c r="G220" s="171"/>
      <c r="H220" s="171"/>
      <c r="I220" s="171"/>
      <c r="J220" s="8">
        <v>0</v>
      </c>
    </row>
    <row r="221" spans="1:10" ht="15.75" thickBot="1" x14ac:dyDescent="0.3">
      <c r="A221" s="171"/>
      <c r="B221" s="171"/>
      <c r="C221" s="171" t="s">
        <v>641</v>
      </c>
      <c r="D221" s="171"/>
      <c r="E221" s="171"/>
      <c r="F221" s="171"/>
      <c r="G221" s="171"/>
      <c r="H221" s="171"/>
      <c r="I221" s="171"/>
      <c r="J221" s="11">
        <f>ROUND(SUM(J219:J220),5)</f>
        <v>0</v>
      </c>
    </row>
    <row r="222" spans="1:10" ht="15.75" thickBot="1" x14ac:dyDescent="0.3">
      <c r="A222" s="171"/>
      <c r="B222" s="171" t="s">
        <v>642</v>
      </c>
      <c r="C222" s="171"/>
      <c r="D222" s="171"/>
      <c r="E222" s="171"/>
      <c r="F222" s="171"/>
      <c r="G222" s="171"/>
      <c r="H222" s="171"/>
      <c r="I222" s="171"/>
      <c r="J222" s="11">
        <f>ROUND(J213+J218-J221,5)</f>
        <v>2200</v>
      </c>
    </row>
    <row r="223" spans="1:10" s="156" customFormat="1" ht="12" thickBot="1" x14ac:dyDescent="0.25">
      <c r="A223" s="171" t="s">
        <v>177</v>
      </c>
      <c r="B223" s="171"/>
      <c r="C223" s="171"/>
      <c r="D223" s="171"/>
      <c r="E223" s="171"/>
      <c r="F223" s="171"/>
      <c r="G223" s="171"/>
      <c r="H223" s="171"/>
      <c r="I223" s="171"/>
      <c r="J223" s="12">
        <f>ROUND(J212+J222,5)</f>
        <v>3021686.7696000002</v>
      </c>
    </row>
    <row r="224" spans="1:10" ht="15.75" thickTop="1" x14ac:dyDescent="0.25"/>
  </sheetData>
  <pageMargins left="0.7" right="0.7" top="0.75" bottom="0.75" header="0.25" footer="0.3"/>
  <pageSetup orientation="portrait" r:id="rId1"/>
  <headerFooter>
    <oddHeader>&amp;L&amp;"Arial,Bold"&amp;8 11:12 PM
&amp;"Arial,Bold"&amp;8 09/07/16
&amp;"Arial,Bold"&amp;8 Accrual Basis&amp;C&amp;"Arial,Bold"&amp;12 Tropical Fish International (Pvt) Limited
&amp;"Arial,Bold"&amp;14 Profit &amp;&amp; Loss
&amp;"Arial,Bold"&amp;10 July 29 through August 25, 2016</oddHeader>
    <oddFooter>&amp;R&amp;"Arial,Bold"&amp;8 Page &amp;P of &amp;N</oddFooter>
  </headerFooter>
  <drawing r:id="rId2"/>
  <legacyDrawing r:id="rId3"/>
  <controls>
    <mc:AlternateContent xmlns:mc="http://schemas.openxmlformats.org/markup-compatibility/2006">
      <mc:Choice Requires="x14">
        <control shapeId="303106"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303106" r:id="rId4" name="HEADER"/>
      </mc:Fallback>
    </mc:AlternateContent>
    <mc:AlternateContent xmlns:mc="http://schemas.openxmlformats.org/markup-compatibility/2006">
      <mc:Choice Requires="x14">
        <control shapeId="303105"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303105" r:id="rId6" name="FILTER"/>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tint="-0.249977111117893"/>
  </sheetPr>
  <dimension ref="A1:Q247"/>
  <sheetViews>
    <sheetView workbookViewId="0">
      <pane xSplit="9" ySplit="1" topLeftCell="J176" activePane="bottomRight" state="frozenSplit"/>
      <selection pane="topRight" activeCell="J1" sqref="J1"/>
      <selection pane="bottomLeft" activeCell="A2" sqref="A2"/>
      <selection pane="bottomRight" activeCell="O184" sqref="O184"/>
    </sheetView>
  </sheetViews>
  <sheetFormatPr defaultRowHeight="15" x14ac:dyDescent="0.25"/>
  <cols>
    <col min="1" max="8" width="3" style="159" customWidth="1"/>
    <col min="9" max="9" width="38.140625" style="159" customWidth="1"/>
    <col min="10" max="10" width="10.85546875" style="5" bestFit="1" customWidth="1"/>
    <col min="11" max="11" width="9.140625" style="154"/>
    <col min="12" max="12" width="11.5703125" style="154" hidden="1" customWidth="1"/>
    <col min="13" max="13" width="13.28515625" style="154" hidden="1" customWidth="1"/>
    <col min="14" max="14" width="9.140625" style="154"/>
    <col min="15" max="15" width="27.7109375" style="154" bestFit="1" customWidth="1"/>
    <col min="16" max="16" width="16.7109375" style="154" customWidth="1"/>
    <col min="17" max="17" width="5.140625" style="154" customWidth="1"/>
    <col min="18" max="16384" width="9.140625" style="154"/>
  </cols>
  <sheetData>
    <row r="1" spans="1:17" s="158" customFormat="1" ht="15.75" thickBot="1" x14ac:dyDescent="0.3">
      <c r="A1" s="157"/>
      <c r="B1" s="157"/>
      <c r="C1" s="157"/>
      <c r="D1" s="157"/>
      <c r="E1" s="157"/>
      <c r="F1" s="157"/>
      <c r="G1" s="157"/>
      <c r="H1" s="157"/>
      <c r="I1" s="157"/>
      <c r="J1" s="178" t="s">
        <v>730</v>
      </c>
      <c r="O1" s="108" t="s">
        <v>381</v>
      </c>
      <c r="P1" s="200" t="s">
        <v>380</v>
      </c>
      <c r="Q1" s="154"/>
    </row>
    <row r="2" spans="1:17" ht="15.75" thickTop="1" x14ac:dyDescent="0.25">
      <c r="A2" s="171"/>
      <c r="B2" s="171" t="s">
        <v>20</v>
      </c>
      <c r="C2" s="171"/>
      <c r="D2" s="171"/>
      <c r="E2" s="171"/>
      <c r="F2" s="171"/>
      <c r="G2" s="171"/>
      <c r="H2" s="171"/>
      <c r="I2" s="171"/>
      <c r="J2" s="176"/>
      <c r="O2" s="46" t="s">
        <v>269</v>
      </c>
      <c r="P2" s="184">
        <f>J73</f>
        <v>439925</v>
      </c>
    </row>
    <row r="3" spans="1:17" x14ac:dyDescent="0.25">
      <c r="A3" s="171"/>
      <c r="B3" s="171"/>
      <c r="C3" s="171"/>
      <c r="D3" s="171" t="s">
        <v>21</v>
      </c>
      <c r="E3" s="171"/>
      <c r="F3" s="171"/>
      <c r="G3" s="171"/>
      <c r="H3" s="171"/>
      <c r="I3" s="171"/>
      <c r="J3" s="176"/>
      <c r="O3" s="46" t="s">
        <v>270</v>
      </c>
      <c r="P3" s="184">
        <f>J119</f>
        <v>76333.33</v>
      </c>
    </row>
    <row r="4" spans="1:17" x14ac:dyDescent="0.25">
      <c r="A4" s="171"/>
      <c r="B4" s="171"/>
      <c r="C4" s="171"/>
      <c r="D4" s="171"/>
      <c r="E4" s="171" t="s">
        <v>22</v>
      </c>
      <c r="F4" s="171"/>
      <c r="G4" s="171"/>
      <c r="H4" s="171"/>
      <c r="I4" s="171"/>
      <c r="J4" s="176"/>
      <c r="O4" s="46" t="s">
        <v>597</v>
      </c>
      <c r="P4" s="184">
        <f>J171</f>
        <v>59666.67</v>
      </c>
    </row>
    <row r="5" spans="1:17" x14ac:dyDescent="0.25">
      <c r="A5" s="171"/>
      <c r="B5" s="171"/>
      <c r="C5" s="171"/>
      <c r="D5" s="171"/>
      <c r="E5" s="171"/>
      <c r="F5" s="171" t="s">
        <v>23</v>
      </c>
      <c r="G5" s="171"/>
      <c r="H5" s="171"/>
      <c r="I5" s="171"/>
      <c r="J5" s="176">
        <v>11174163.99</v>
      </c>
      <c r="L5" s="20">
        <f>[4]INVOICE!$P$28</f>
        <v>272979.84960000002</v>
      </c>
      <c r="M5" s="20">
        <f>[5]INVOICE!$O$90</f>
        <v>1566470.4458400006</v>
      </c>
      <c r="O5" s="119" t="s">
        <v>606</v>
      </c>
      <c r="P5" s="184"/>
    </row>
    <row r="6" spans="1:17" x14ac:dyDescent="0.25">
      <c r="A6" s="171"/>
      <c r="B6" s="171"/>
      <c r="C6" s="171"/>
      <c r="D6" s="171"/>
      <c r="E6" s="171"/>
      <c r="F6" s="171" t="s">
        <v>26</v>
      </c>
      <c r="G6" s="171"/>
      <c r="H6" s="171"/>
      <c r="I6" s="171"/>
      <c r="J6" s="176">
        <v>612934.56000000006</v>
      </c>
      <c r="L6" s="154">
        <f>[4]INVOICE!$P$31</f>
        <v>24842.16</v>
      </c>
      <c r="M6" s="20">
        <f>[5]INVOICE!$O$93</f>
        <v>139595.4</v>
      </c>
      <c r="O6" s="67" t="s">
        <v>598</v>
      </c>
      <c r="P6" s="184">
        <f>J188</f>
        <v>412083.33</v>
      </c>
    </row>
    <row r="7" spans="1:17" x14ac:dyDescent="0.25">
      <c r="A7" s="171"/>
      <c r="B7" s="171"/>
      <c r="C7" s="171"/>
      <c r="D7" s="171"/>
      <c r="E7" s="171"/>
      <c r="F7" s="171" t="s">
        <v>27</v>
      </c>
      <c r="G7" s="171"/>
      <c r="H7" s="171"/>
      <c r="I7" s="171"/>
      <c r="J7" s="176">
        <v>7133967.79</v>
      </c>
      <c r="L7" s="154">
        <f>[4]INVOICE!$P$32</f>
        <v>413095.17712499993</v>
      </c>
      <c r="M7" s="20">
        <f>[5]INVOICE!$O$94</f>
        <v>746104.17599999998</v>
      </c>
      <c r="O7" s="106" t="s">
        <v>12</v>
      </c>
      <c r="P7" s="201">
        <f>SUM(P2:P6)</f>
        <v>988008.33000000007</v>
      </c>
    </row>
    <row r="8" spans="1:17" x14ac:dyDescent="0.25">
      <c r="A8" s="171"/>
      <c r="B8" s="171"/>
      <c r="C8" s="171"/>
      <c r="D8" s="171"/>
      <c r="E8" s="171"/>
      <c r="F8" s="171" t="s">
        <v>28</v>
      </c>
      <c r="G8" s="171"/>
      <c r="H8" s="171"/>
      <c r="I8" s="171"/>
      <c r="J8" s="176">
        <v>109161.99</v>
      </c>
      <c r="L8" s="154">
        <f>[4]INVOICE!$P$33</f>
        <v>5532.3775862068969</v>
      </c>
      <c r="M8" s="20">
        <f>[5]INVOICE!$O$95</f>
        <v>5526.7655172413797</v>
      </c>
      <c r="O8" s="46"/>
      <c r="P8" s="190"/>
    </row>
    <row r="9" spans="1:17" x14ac:dyDescent="0.25">
      <c r="A9" s="171"/>
      <c r="B9" s="171"/>
      <c r="C9" s="171"/>
      <c r="D9" s="171"/>
      <c r="E9" s="171"/>
      <c r="F9" s="171" t="s">
        <v>29</v>
      </c>
      <c r="G9" s="171"/>
      <c r="H9" s="171"/>
      <c r="I9" s="171"/>
      <c r="J9" s="176"/>
      <c r="O9" s="104"/>
      <c r="P9" s="202"/>
    </row>
    <row r="10" spans="1:17" ht="15.75" thickBot="1" x14ac:dyDescent="0.3">
      <c r="A10" s="171"/>
      <c r="B10" s="171"/>
      <c r="C10" s="171"/>
      <c r="D10" s="171"/>
      <c r="E10" s="171"/>
      <c r="F10" s="171"/>
      <c r="G10" s="171" t="s">
        <v>30</v>
      </c>
      <c r="H10" s="171"/>
      <c r="I10" s="171"/>
      <c r="J10" s="220">
        <v>7547.08</v>
      </c>
      <c r="O10" s="65" t="s">
        <v>397</v>
      </c>
      <c r="P10" s="203" t="s">
        <v>380</v>
      </c>
    </row>
    <row r="11" spans="1:17" x14ac:dyDescent="0.25">
      <c r="A11" s="171"/>
      <c r="B11" s="171"/>
      <c r="C11" s="171"/>
      <c r="D11" s="171"/>
      <c r="E11" s="171"/>
      <c r="F11" s="171" t="s">
        <v>38</v>
      </c>
      <c r="G11" s="171"/>
      <c r="H11" s="171"/>
      <c r="I11" s="171"/>
      <c r="J11" s="176">
        <f>ROUND(SUM(J9:J10),5)</f>
        <v>7547.08</v>
      </c>
      <c r="O11" s="46" t="s">
        <v>269</v>
      </c>
      <c r="P11" s="190">
        <f>J101-P2</f>
        <v>861181.66999999993</v>
      </c>
      <c r="Q11" s="17"/>
    </row>
    <row r="12" spans="1:17" ht="15.75" thickBot="1" x14ac:dyDescent="0.3">
      <c r="A12" s="171"/>
      <c r="B12" s="171"/>
      <c r="C12" s="171"/>
      <c r="D12" s="171"/>
      <c r="E12" s="171"/>
      <c r="F12" s="171" t="s">
        <v>618</v>
      </c>
      <c r="G12" s="171"/>
      <c r="H12" s="171"/>
      <c r="I12" s="171"/>
      <c r="J12" s="8">
        <v>511480.17</v>
      </c>
      <c r="O12" s="46" t="s">
        <v>270</v>
      </c>
      <c r="P12" s="190">
        <f>J140-P3</f>
        <v>550137.54</v>
      </c>
    </row>
    <row r="13" spans="1:17" ht="15.75" thickBot="1" x14ac:dyDescent="0.3">
      <c r="A13" s="171"/>
      <c r="B13" s="171"/>
      <c r="C13" s="171"/>
      <c r="D13" s="171"/>
      <c r="E13" s="171" t="s">
        <v>39</v>
      </c>
      <c r="F13" s="171"/>
      <c r="G13" s="171"/>
      <c r="H13" s="171"/>
      <c r="I13" s="171"/>
      <c r="J13" s="10">
        <f>ROUND(SUM(J4:J8)+SUM(J11:J12),5)</f>
        <v>19549255.579999998</v>
      </c>
      <c r="O13" s="194" t="s">
        <v>609</v>
      </c>
      <c r="P13" s="190">
        <f>J152</f>
        <v>83131.399999999994</v>
      </c>
    </row>
    <row r="14" spans="1:17" x14ac:dyDescent="0.25">
      <c r="A14" s="171"/>
      <c r="B14" s="171"/>
      <c r="C14" s="171"/>
      <c r="D14" s="171" t="s">
        <v>40</v>
      </c>
      <c r="E14" s="171"/>
      <c r="F14" s="171"/>
      <c r="G14" s="171"/>
      <c r="H14" s="171"/>
      <c r="I14" s="171"/>
      <c r="J14" s="176">
        <f>ROUND(J3+J13,5)</f>
        <v>19549255.579999998</v>
      </c>
      <c r="O14" s="194" t="s">
        <v>610</v>
      </c>
      <c r="P14" s="190">
        <f>J173-P4</f>
        <v>133612</v>
      </c>
    </row>
    <row r="15" spans="1:17" x14ac:dyDescent="0.25">
      <c r="A15" s="171"/>
      <c r="B15" s="171"/>
      <c r="C15" s="171"/>
      <c r="D15" s="171" t="s">
        <v>41</v>
      </c>
      <c r="E15" s="171"/>
      <c r="F15" s="171"/>
      <c r="G15" s="171"/>
      <c r="H15" s="171"/>
      <c r="I15" s="171"/>
      <c r="J15" s="176"/>
      <c r="O15" s="66" t="s">
        <v>611</v>
      </c>
      <c r="P15" s="190">
        <f>J178</f>
        <v>258011.67</v>
      </c>
    </row>
    <row r="16" spans="1:17" x14ac:dyDescent="0.25">
      <c r="A16" s="171"/>
      <c r="B16" s="171"/>
      <c r="C16" s="171"/>
      <c r="D16" s="171"/>
      <c r="E16" s="171" t="s">
        <v>619</v>
      </c>
      <c r="F16" s="171"/>
      <c r="G16" s="171"/>
      <c r="H16" s="171"/>
      <c r="I16" s="171"/>
      <c r="J16" s="176">
        <v>8464.2800000000007</v>
      </c>
      <c r="O16" s="193" t="s">
        <v>612</v>
      </c>
      <c r="P16" s="190"/>
    </row>
    <row r="17" spans="1:17" x14ac:dyDescent="0.25">
      <c r="A17" s="171"/>
      <c r="B17" s="171"/>
      <c r="C17" s="171"/>
      <c r="D17" s="171"/>
      <c r="E17" s="171" t="s">
        <v>42</v>
      </c>
      <c r="F17" s="171"/>
      <c r="G17" s="171"/>
      <c r="H17" s="171"/>
      <c r="I17" s="171"/>
      <c r="J17" s="176"/>
      <c r="O17" s="67" t="s">
        <v>383</v>
      </c>
      <c r="P17" s="184">
        <f>J198</f>
        <v>79847.710000000006</v>
      </c>
      <c r="Q17" s="17"/>
    </row>
    <row r="18" spans="1:17" x14ac:dyDescent="0.25">
      <c r="A18" s="171"/>
      <c r="B18" s="171"/>
      <c r="C18" s="171"/>
      <c r="D18" s="171"/>
      <c r="E18" s="171"/>
      <c r="F18" s="171" t="s">
        <v>43</v>
      </c>
      <c r="G18" s="171"/>
      <c r="H18" s="171"/>
      <c r="I18" s="171"/>
      <c r="J18" s="176"/>
      <c r="O18" s="67" t="s">
        <v>386</v>
      </c>
      <c r="P18" s="190">
        <f>J230</f>
        <v>956667.27</v>
      </c>
    </row>
    <row r="19" spans="1:17" x14ac:dyDescent="0.25">
      <c r="A19" s="171"/>
      <c r="B19" s="171"/>
      <c r="C19" s="171"/>
      <c r="D19" s="171"/>
      <c r="E19" s="171"/>
      <c r="F19" s="171"/>
      <c r="G19" s="171" t="s">
        <v>44</v>
      </c>
      <c r="H19" s="171"/>
      <c r="I19" s="171"/>
      <c r="J19" s="176">
        <v>3317988.08</v>
      </c>
      <c r="O19" s="46"/>
      <c r="P19" s="190"/>
    </row>
    <row r="20" spans="1:17" x14ac:dyDescent="0.25">
      <c r="A20" s="171"/>
      <c r="B20" s="171"/>
      <c r="C20" s="171"/>
      <c r="D20" s="171"/>
      <c r="E20" s="171"/>
      <c r="F20" s="171"/>
      <c r="G20" s="171" t="s">
        <v>45</v>
      </c>
      <c r="H20" s="171"/>
      <c r="I20" s="171"/>
      <c r="J20" s="176">
        <v>665880.44999999995</v>
      </c>
      <c r="O20" s="61" t="s">
        <v>12</v>
      </c>
      <c r="P20" s="204">
        <f>SUM(P11:P18)</f>
        <v>2922589.26</v>
      </c>
    </row>
    <row r="21" spans="1:17" x14ac:dyDescent="0.25">
      <c r="A21" s="171"/>
      <c r="B21" s="171"/>
      <c r="C21" s="171"/>
      <c r="D21" s="171"/>
      <c r="E21" s="171"/>
      <c r="F21" s="171"/>
      <c r="G21" s="171" t="s">
        <v>46</v>
      </c>
      <c r="H21" s="171"/>
      <c r="I21" s="171"/>
      <c r="J21" s="176">
        <v>24000</v>
      </c>
    </row>
    <row r="22" spans="1:17" ht="15.75" thickBot="1" x14ac:dyDescent="0.3">
      <c r="A22" s="171"/>
      <c r="B22" s="171"/>
      <c r="C22" s="171"/>
      <c r="D22" s="171"/>
      <c r="E22" s="171"/>
      <c r="F22" s="171"/>
      <c r="G22" s="171" t="s">
        <v>47</v>
      </c>
      <c r="H22" s="171"/>
      <c r="I22" s="171"/>
      <c r="J22" s="220">
        <v>397145</v>
      </c>
    </row>
    <row r="23" spans="1:17" x14ac:dyDescent="0.25">
      <c r="A23" s="171"/>
      <c r="B23" s="171"/>
      <c r="C23" s="171"/>
      <c r="D23" s="171"/>
      <c r="E23" s="171"/>
      <c r="F23" s="171" t="s">
        <v>48</v>
      </c>
      <c r="G23" s="171"/>
      <c r="H23" s="171"/>
      <c r="I23" s="171"/>
      <c r="J23" s="176">
        <f>ROUND(SUM(J18:J22),5)</f>
        <v>4405013.53</v>
      </c>
    </row>
    <row r="24" spans="1:17" x14ac:dyDescent="0.25">
      <c r="A24" s="171"/>
      <c r="B24" s="171"/>
      <c r="C24" s="171"/>
      <c r="D24" s="171"/>
      <c r="E24" s="171"/>
      <c r="F24" s="171" t="s">
        <v>49</v>
      </c>
      <c r="G24" s="171"/>
      <c r="H24" s="171"/>
      <c r="I24" s="171"/>
      <c r="J24" s="176"/>
    </row>
    <row r="25" spans="1:17" ht="15.75" thickBot="1" x14ac:dyDescent="0.3">
      <c r="A25" s="171"/>
      <c r="B25" s="171"/>
      <c r="C25" s="171"/>
      <c r="D25" s="171"/>
      <c r="E25" s="171"/>
      <c r="F25" s="171"/>
      <c r="G25" s="171" t="s">
        <v>51</v>
      </c>
      <c r="H25" s="171"/>
      <c r="I25" s="171"/>
      <c r="J25" s="220">
        <v>5000</v>
      </c>
    </row>
    <row r="26" spans="1:17" x14ac:dyDescent="0.25">
      <c r="A26" s="171"/>
      <c r="B26" s="171"/>
      <c r="C26" s="171"/>
      <c r="D26" s="171"/>
      <c r="E26" s="171"/>
      <c r="F26" s="171" t="s">
        <v>54</v>
      </c>
      <c r="G26" s="171"/>
      <c r="H26" s="171"/>
      <c r="I26" s="171"/>
      <c r="J26" s="176">
        <f>ROUND(SUM(J24:J25),5)</f>
        <v>5000</v>
      </c>
    </row>
    <row r="27" spans="1:17" x14ac:dyDescent="0.25">
      <c r="A27" s="171"/>
      <c r="B27" s="171"/>
      <c r="C27" s="171"/>
      <c r="D27" s="171"/>
      <c r="E27" s="171"/>
      <c r="F27" s="171" t="s">
        <v>55</v>
      </c>
      <c r="G27" s="171"/>
      <c r="H27" s="171"/>
      <c r="I27" s="171"/>
      <c r="J27" s="176"/>
    </row>
    <row r="28" spans="1:17" x14ac:dyDescent="0.25">
      <c r="A28" s="171"/>
      <c r="B28" s="171"/>
      <c r="C28" s="171"/>
      <c r="D28" s="171"/>
      <c r="E28" s="171"/>
      <c r="F28" s="171"/>
      <c r="G28" s="171" t="s">
        <v>56</v>
      </c>
      <c r="H28" s="171"/>
      <c r="I28" s="171"/>
      <c r="J28" s="176">
        <v>6250537.2800000003</v>
      </c>
    </row>
    <row r="29" spans="1:17" x14ac:dyDescent="0.25">
      <c r="A29" s="171"/>
      <c r="B29" s="171"/>
      <c r="C29" s="171"/>
      <c r="D29" s="171"/>
      <c r="E29" s="171"/>
      <c r="F29" s="171"/>
      <c r="G29" s="171" t="s">
        <v>59</v>
      </c>
      <c r="H29" s="171"/>
      <c r="I29" s="171"/>
      <c r="J29" s="176">
        <v>47976.6</v>
      </c>
    </row>
    <row r="30" spans="1:17" ht="15.75" thickBot="1" x14ac:dyDescent="0.3">
      <c r="A30" s="171"/>
      <c r="B30" s="171"/>
      <c r="C30" s="171"/>
      <c r="D30" s="171"/>
      <c r="E30" s="171"/>
      <c r="F30" s="171"/>
      <c r="G30" s="171" t="s">
        <v>60</v>
      </c>
      <c r="H30" s="171"/>
      <c r="I30" s="171"/>
      <c r="J30" s="220">
        <v>28492</v>
      </c>
    </row>
    <row r="31" spans="1:17" x14ac:dyDescent="0.25">
      <c r="A31" s="171"/>
      <c r="B31" s="171"/>
      <c r="C31" s="171"/>
      <c r="D31" s="171"/>
      <c r="E31" s="171"/>
      <c r="F31" s="171" t="s">
        <v>61</v>
      </c>
      <c r="G31" s="171"/>
      <c r="H31" s="171"/>
      <c r="I31" s="171"/>
      <c r="J31" s="176">
        <f>ROUND(SUM(J27:J30),5)</f>
        <v>6327005.8799999999</v>
      </c>
    </row>
    <row r="32" spans="1:17" x14ac:dyDescent="0.25">
      <c r="A32" s="171"/>
      <c r="B32" s="171"/>
      <c r="C32" s="171"/>
      <c r="D32" s="171"/>
      <c r="E32" s="171"/>
      <c r="F32" s="171" t="s">
        <v>62</v>
      </c>
      <c r="G32" s="171"/>
      <c r="H32" s="171"/>
      <c r="I32" s="171"/>
      <c r="J32" s="176"/>
    </row>
    <row r="33" spans="1:10" x14ac:dyDescent="0.25">
      <c r="A33" s="171"/>
      <c r="B33" s="171"/>
      <c r="C33" s="171"/>
      <c r="D33" s="171"/>
      <c r="E33" s="171"/>
      <c r="F33" s="171"/>
      <c r="G33" s="171" t="s">
        <v>63</v>
      </c>
      <c r="H33" s="171"/>
      <c r="I33" s="171"/>
      <c r="J33" s="176">
        <v>1108130</v>
      </c>
    </row>
    <row r="34" spans="1:10" x14ac:dyDescent="0.25">
      <c r="A34" s="171"/>
      <c r="B34" s="171"/>
      <c r="C34" s="171"/>
      <c r="D34" s="171"/>
      <c r="E34" s="171"/>
      <c r="F34" s="171"/>
      <c r="G34" s="171" t="s">
        <v>512</v>
      </c>
      <c r="H34" s="171"/>
      <c r="I34" s="171"/>
      <c r="J34" s="176">
        <v>138927.6</v>
      </c>
    </row>
    <row r="35" spans="1:10" x14ac:dyDescent="0.25">
      <c r="A35" s="171"/>
      <c r="B35" s="171"/>
      <c r="C35" s="171"/>
      <c r="D35" s="171"/>
      <c r="E35" s="171"/>
      <c r="F35" s="171"/>
      <c r="G35" s="171" t="s">
        <v>513</v>
      </c>
      <c r="H35" s="171"/>
      <c r="I35" s="171"/>
      <c r="J35" s="176">
        <v>34731.9</v>
      </c>
    </row>
    <row r="36" spans="1:10" x14ac:dyDescent="0.25">
      <c r="A36" s="171"/>
      <c r="B36" s="171"/>
      <c r="C36" s="171"/>
      <c r="D36" s="171"/>
      <c r="E36" s="171"/>
      <c r="F36" s="171"/>
      <c r="G36" s="171" t="s">
        <v>64</v>
      </c>
      <c r="H36" s="171"/>
      <c r="I36" s="171"/>
      <c r="J36" s="176">
        <v>402060.61</v>
      </c>
    </row>
    <row r="37" spans="1:10" x14ac:dyDescent="0.25">
      <c r="A37" s="171"/>
      <c r="B37" s="171"/>
      <c r="C37" s="171"/>
      <c r="D37" s="171"/>
      <c r="E37" s="171"/>
      <c r="F37" s="171"/>
      <c r="G37" s="171" t="s">
        <v>65</v>
      </c>
      <c r="H37" s="171"/>
      <c r="I37" s="171"/>
      <c r="J37" s="176">
        <v>130891.84</v>
      </c>
    </row>
    <row r="38" spans="1:10" x14ac:dyDescent="0.25">
      <c r="A38" s="171"/>
      <c r="B38" s="171"/>
      <c r="C38" s="171"/>
      <c r="D38" s="171"/>
      <c r="E38" s="171"/>
      <c r="F38" s="171"/>
      <c r="G38" s="171" t="s">
        <v>66</v>
      </c>
      <c r="H38" s="171"/>
      <c r="I38" s="171"/>
      <c r="J38" s="176">
        <v>35715.629999999997</v>
      </c>
    </row>
    <row r="39" spans="1:10" ht="15.75" thickBot="1" x14ac:dyDescent="0.3">
      <c r="A39" s="171"/>
      <c r="B39" s="171"/>
      <c r="C39" s="171"/>
      <c r="D39" s="171"/>
      <c r="E39" s="171"/>
      <c r="F39" s="171"/>
      <c r="G39" s="171" t="s">
        <v>645</v>
      </c>
      <c r="H39" s="171"/>
      <c r="I39" s="171"/>
      <c r="J39" s="220">
        <v>89027.13</v>
      </c>
    </row>
    <row r="40" spans="1:10" x14ac:dyDescent="0.25">
      <c r="A40" s="171"/>
      <c r="B40" s="171"/>
      <c r="C40" s="171"/>
      <c r="D40" s="171"/>
      <c r="E40" s="171"/>
      <c r="F40" s="171" t="s">
        <v>67</v>
      </c>
      <c r="G40" s="171"/>
      <c r="H40" s="171"/>
      <c r="I40" s="171"/>
      <c r="J40" s="176">
        <f>SUM(J33:J39)</f>
        <v>1939484.71</v>
      </c>
    </row>
    <row r="41" spans="1:10" x14ac:dyDescent="0.25">
      <c r="A41" s="171"/>
      <c r="B41" s="171"/>
      <c r="C41" s="171"/>
      <c r="D41" s="171"/>
      <c r="E41" s="171"/>
      <c r="F41" s="171" t="s">
        <v>68</v>
      </c>
      <c r="G41" s="171"/>
      <c r="H41" s="171"/>
      <c r="I41" s="171"/>
      <c r="J41" s="176"/>
    </row>
    <row r="42" spans="1:10" x14ac:dyDescent="0.25">
      <c r="A42" s="171"/>
      <c r="B42" s="171"/>
      <c r="C42" s="171"/>
      <c r="D42" s="171"/>
      <c r="E42" s="171"/>
      <c r="F42" s="171"/>
      <c r="G42" s="171" t="s">
        <v>690</v>
      </c>
      <c r="H42" s="171"/>
      <c r="I42" s="171"/>
      <c r="J42" s="176">
        <v>28425</v>
      </c>
    </row>
    <row r="43" spans="1:10" x14ac:dyDescent="0.25">
      <c r="A43" s="171"/>
      <c r="B43" s="171"/>
      <c r="C43" s="171"/>
      <c r="D43" s="171"/>
      <c r="E43" s="171"/>
      <c r="F43" s="171"/>
      <c r="G43" s="171" t="s">
        <v>691</v>
      </c>
      <c r="H43" s="171"/>
      <c r="I43" s="171"/>
      <c r="J43" s="176">
        <v>17900</v>
      </c>
    </row>
    <row r="44" spans="1:10" x14ac:dyDescent="0.25">
      <c r="A44" s="171"/>
      <c r="B44" s="171"/>
      <c r="C44" s="171"/>
      <c r="D44" s="171"/>
      <c r="E44" s="171"/>
      <c r="F44" s="171" t="s">
        <v>70</v>
      </c>
      <c r="G44" s="171"/>
      <c r="H44" s="171"/>
      <c r="I44" s="171"/>
      <c r="J44" s="176">
        <v>46325</v>
      </c>
    </row>
    <row r="45" spans="1:10" ht="15.75" thickBot="1" x14ac:dyDescent="0.3">
      <c r="A45" s="171"/>
      <c r="B45" s="171"/>
      <c r="C45" s="171"/>
      <c r="D45" s="171"/>
      <c r="E45" s="171"/>
      <c r="F45" s="171" t="s">
        <v>624</v>
      </c>
      <c r="G45" s="171"/>
      <c r="H45" s="171"/>
      <c r="I45" s="171"/>
      <c r="J45" s="8">
        <v>107916.28</v>
      </c>
    </row>
    <row r="46" spans="1:10" ht="15.75" thickBot="1" x14ac:dyDescent="0.3">
      <c r="A46" s="171"/>
      <c r="B46" s="171"/>
      <c r="C46" s="171"/>
      <c r="D46" s="171"/>
      <c r="E46" s="171" t="s">
        <v>71</v>
      </c>
      <c r="F46" s="171"/>
      <c r="G46" s="171"/>
      <c r="H46" s="171"/>
      <c r="I46" s="171"/>
      <c r="J46" s="11">
        <f>ROUND(J17+J23+J26+SUM(J31:J45),5)</f>
        <v>14816555.109999999</v>
      </c>
    </row>
    <row r="47" spans="1:10" ht="15.75" thickBot="1" x14ac:dyDescent="0.3">
      <c r="A47" s="171"/>
      <c r="B47" s="171"/>
      <c r="C47" s="171"/>
      <c r="D47" s="171" t="s">
        <v>72</v>
      </c>
      <c r="E47" s="171"/>
      <c r="F47" s="171"/>
      <c r="G47" s="171"/>
      <c r="H47" s="171"/>
      <c r="I47" s="171"/>
      <c r="J47" s="10">
        <f>ROUND(SUM(J15:J16)+J46,5)</f>
        <v>14825019.390000001</v>
      </c>
    </row>
    <row r="48" spans="1:10" x14ac:dyDescent="0.25">
      <c r="A48" s="171"/>
      <c r="B48" s="171"/>
      <c r="C48" s="171" t="s">
        <v>73</v>
      </c>
      <c r="D48" s="171"/>
      <c r="E48" s="171"/>
      <c r="F48" s="171"/>
      <c r="G48" s="171"/>
      <c r="H48" s="171"/>
      <c r="I48" s="171"/>
      <c r="J48" s="176">
        <f>ROUND(J14-J47,5)</f>
        <v>4724236.1900000004</v>
      </c>
    </row>
    <row r="49" spans="1:10" x14ac:dyDescent="0.25">
      <c r="A49" s="171"/>
      <c r="B49" s="171"/>
      <c r="C49" s="171"/>
      <c r="D49" s="171" t="s">
        <v>74</v>
      </c>
      <c r="E49" s="171"/>
      <c r="F49" s="171"/>
      <c r="G49" s="171"/>
      <c r="H49" s="171"/>
      <c r="I49" s="171"/>
      <c r="J49" s="176"/>
    </row>
    <row r="50" spans="1:10" x14ac:dyDescent="0.25">
      <c r="A50" s="171"/>
      <c r="B50" s="171"/>
      <c r="C50" s="171"/>
      <c r="D50" s="171"/>
      <c r="E50" s="171" t="s">
        <v>75</v>
      </c>
      <c r="F50" s="171"/>
      <c r="G50" s="171"/>
      <c r="H50" s="171"/>
      <c r="I50" s="171"/>
      <c r="J50" s="176"/>
    </row>
    <row r="51" spans="1:10" x14ac:dyDescent="0.25">
      <c r="A51" s="171"/>
      <c r="B51" s="171"/>
      <c r="C51" s="171"/>
      <c r="D51" s="171"/>
      <c r="E51" s="171"/>
      <c r="F51" s="171" t="s">
        <v>189</v>
      </c>
      <c r="G51" s="171"/>
      <c r="H51" s="171"/>
      <c r="I51" s="171"/>
      <c r="J51" s="176"/>
    </row>
    <row r="52" spans="1:10" x14ac:dyDescent="0.25">
      <c r="A52" s="171"/>
      <c r="B52" s="171"/>
      <c r="C52" s="171"/>
      <c r="D52" s="171"/>
      <c r="E52" s="171"/>
      <c r="F52" s="171"/>
      <c r="G52" s="171" t="s">
        <v>76</v>
      </c>
      <c r="H52" s="171"/>
      <c r="I52" s="171"/>
      <c r="J52" s="176"/>
    </row>
    <row r="53" spans="1:10" x14ac:dyDescent="0.25">
      <c r="A53" s="171"/>
      <c r="B53" s="171"/>
      <c r="C53" s="171"/>
      <c r="D53" s="171"/>
      <c r="E53" s="171"/>
      <c r="F53" s="171"/>
      <c r="G53" s="171"/>
      <c r="H53" s="171" t="s">
        <v>77</v>
      </c>
      <c r="I53" s="171"/>
      <c r="J53" s="176">
        <v>6000</v>
      </c>
    </row>
    <row r="54" spans="1:10" x14ac:dyDescent="0.25">
      <c r="A54" s="171"/>
      <c r="B54" s="171"/>
      <c r="C54" s="171"/>
      <c r="D54" s="171"/>
      <c r="E54" s="171"/>
      <c r="F54" s="171"/>
      <c r="G54" s="171"/>
      <c r="H54" s="171" t="s">
        <v>78</v>
      </c>
      <c r="I54" s="171"/>
      <c r="J54" s="176">
        <v>42349.2</v>
      </c>
    </row>
    <row r="55" spans="1:10" x14ac:dyDescent="0.25">
      <c r="A55" s="171"/>
      <c r="B55" s="171"/>
      <c r="C55" s="171"/>
      <c r="D55" s="171"/>
      <c r="E55" s="171"/>
      <c r="F55" s="171"/>
      <c r="G55" s="171"/>
      <c r="H55" s="171" t="s">
        <v>79</v>
      </c>
      <c r="I55" s="171"/>
      <c r="J55" s="176">
        <v>4000</v>
      </c>
    </row>
    <row r="56" spans="1:10" x14ac:dyDescent="0.25">
      <c r="A56" s="171"/>
      <c r="B56" s="171"/>
      <c r="C56" s="171"/>
      <c r="D56" s="171"/>
      <c r="E56" s="171"/>
      <c r="F56" s="171"/>
      <c r="G56" s="171"/>
      <c r="H56" s="171" t="s">
        <v>80</v>
      </c>
      <c r="I56" s="171"/>
      <c r="J56" s="176">
        <v>3990</v>
      </c>
    </row>
    <row r="57" spans="1:10" x14ac:dyDescent="0.25">
      <c r="A57" s="171"/>
      <c r="B57" s="171"/>
      <c r="C57" s="171"/>
      <c r="D57" s="171"/>
      <c r="E57" s="171"/>
      <c r="F57" s="171"/>
      <c r="G57" s="171"/>
      <c r="H57" s="171" t="s">
        <v>453</v>
      </c>
      <c r="I57" s="171"/>
      <c r="J57" s="176">
        <v>2570.4</v>
      </c>
    </row>
    <row r="58" spans="1:10" x14ac:dyDescent="0.25">
      <c r="A58" s="171"/>
      <c r="B58" s="171"/>
      <c r="C58" s="171"/>
      <c r="D58" s="171"/>
      <c r="E58" s="171"/>
      <c r="F58" s="171"/>
      <c r="G58" s="171"/>
      <c r="H58" s="171" t="s">
        <v>81</v>
      </c>
      <c r="I58" s="171"/>
      <c r="J58" s="176"/>
    </row>
    <row r="59" spans="1:10" ht="15.75" thickBot="1" x14ac:dyDescent="0.3">
      <c r="A59" s="171"/>
      <c r="B59" s="171"/>
      <c r="C59" s="171"/>
      <c r="D59" s="171"/>
      <c r="E59" s="171"/>
      <c r="F59" s="171"/>
      <c r="G59" s="171"/>
      <c r="H59" s="171"/>
      <c r="I59" s="171" t="s">
        <v>82</v>
      </c>
      <c r="J59" s="220">
        <v>18010</v>
      </c>
    </row>
    <row r="60" spans="1:10" x14ac:dyDescent="0.25">
      <c r="A60" s="171"/>
      <c r="B60" s="171"/>
      <c r="C60" s="171"/>
      <c r="D60" s="171"/>
      <c r="E60" s="171"/>
      <c r="F60" s="171"/>
      <c r="G60" s="171"/>
      <c r="H60" s="171" t="s">
        <v>83</v>
      </c>
      <c r="I60" s="171"/>
      <c r="J60" s="176">
        <f>ROUND(SUM(J58:J59),5)</f>
        <v>18010</v>
      </c>
    </row>
    <row r="61" spans="1:10" x14ac:dyDescent="0.25">
      <c r="A61" s="171"/>
      <c r="B61" s="171"/>
      <c r="C61" s="171"/>
      <c r="D61" s="171"/>
      <c r="E61" s="171"/>
      <c r="F61" s="171"/>
      <c r="G61" s="171"/>
      <c r="H61" s="171" t="s">
        <v>190</v>
      </c>
      <c r="I61" s="171"/>
      <c r="J61" s="176">
        <v>89481</v>
      </c>
    </row>
    <row r="62" spans="1:10" x14ac:dyDescent="0.25">
      <c r="A62" s="171"/>
      <c r="B62" s="171"/>
      <c r="C62" s="171"/>
      <c r="D62" s="171"/>
      <c r="E62" s="171"/>
      <c r="F62" s="171"/>
      <c r="G62" s="171"/>
      <c r="H62" s="171" t="s">
        <v>667</v>
      </c>
      <c r="I62" s="171"/>
      <c r="J62" s="176">
        <v>3200</v>
      </c>
    </row>
    <row r="63" spans="1:10" ht="15.75" thickBot="1" x14ac:dyDescent="0.3">
      <c r="A63" s="171"/>
      <c r="B63" s="171"/>
      <c r="C63" s="171"/>
      <c r="D63" s="171"/>
      <c r="E63" s="171"/>
      <c r="F63" s="171"/>
      <c r="G63" s="171"/>
      <c r="H63" s="171" t="s">
        <v>84</v>
      </c>
      <c r="I63" s="171"/>
      <c r="J63" s="220">
        <v>54180</v>
      </c>
    </row>
    <row r="64" spans="1:10" x14ac:dyDescent="0.25">
      <c r="A64" s="171"/>
      <c r="B64" s="171"/>
      <c r="C64" s="171"/>
      <c r="D64" s="171"/>
      <c r="E64" s="171"/>
      <c r="F64" s="171"/>
      <c r="G64" s="171" t="s">
        <v>85</v>
      </c>
      <c r="H64" s="171"/>
      <c r="I64" s="171"/>
      <c r="J64" s="176">
        <f>ROUND(SUM(J52:J57)+SUM(J60:J63),5)</f>
        <v>223780.6</v>
      </c>
    </row>
    <row r="65" spans="1:11" x14ac:dyDescent="0.25">
      <c r="A65" s="171"/>
      <c r="B65" s="171"/>
      <c r="C65" s="171"/>
      <c r="D65" s="171"/>
      <c r="E65" s="171"/>
      <c r="F65" s="171"/>
      <c r="G65" s="71" t="s">
        <v>86</v>
      </c>
      <c r="H65" s="71"/>
      <c r="I65" s="71"/>
      <c r="J65" s="45"/>
      <c r="K65" s="15"/>
    </row>
    <row r="66" spans="1:11" x14ac:dyDescent="0.25">
      <c r="A66" s="171"/>
      <c r="B66" s="171"/>
      <c r="C66" s="171"/>
      <c r="D66" s="171"/>
      <c r="E66" s="171"/>
      <c r="F66" s="171"/>
      <c r="G66" s="71"/>
      <c r="H66" s="71" t="s">
        <v>87</v>
      </c>
      <c r="I66" s="71"/>
      <c r="J66" s="45">
        <v>271500</v>
      </c>
      <c r="K66" s="15"/>
    </row>
    <row r="67" spans="1:11" x14ac:dyDescent="0.25">
      <c r="A67" s="171"/>
      <c r="B67" s="171"/>
      <c r="C67" s="171"/>
      <c r="D67" s="171"/>
      <c r="E67" s="171"/>
      <c r="F67" s="171"/>
      <c r="G67" s="71"/>
      <c r="H67" s="71" t="s">
        <v>522</v>
      </c>
      <c r="I67" s="71"/>
      <c r="J67" s="45">
        <v>32580</v>
      </c>
      <c r="K67" s="15"/>
    </row>
    <row r="68" spans="1:11" x14ac:dyDescent="0.25">
      <c r="A68" s="171"/>
      <c r="B68" s="171"/>
      <c r="C68" s="171"/>
      <c r="D68" s="171"/>
      <c r="E68" s="171"/>
      <c r="F68" s="171"/>
      <c r="G68" s="71"/>
      <c r="H68" s="71" t="s">
        <v>523</v>
      </c>
      <c r="I68" s="71"/>
      <c r="J68" s="45">
        <v>8145</v>
      </c>
      <c r="K68" s="15"/>
    </row>
    <row r="69" spans="1:11" x14ac:dyDescent="0.25">
      <c r="A69" s="171"/>
      <c r="B69" s="171"/>
      <c r="C69" s="171"/>
      <c r="D69" s="171"/>
      <c r="E69" s="171"/>
      <c r="F69" s="171"/>
      <c r="G69" s="71"/>
      <c r="H69" s="71" t="s">
        <v>524</v>
      </c>
      <c r="I69" s="71"/>
      <c r="J69" s="45">
        <v>73000</v>
      </c>
      <c r="K69" s="15"/>
    </row>
    <row r="70" spans="1:11" x14ac:dyDescent="0.25">
      <c r="A70" s="171"/>
      <c r="B70" s="171"/>
      <c r="C70" s="171"/>
      <c r="D70" s="171"/>
      <c r="E70" s="171"/>
      <c r="F70" s="171"/>
      <c r="G70" s="71"/>
      <c r="H70" s="71" t="s">
        <v>88</v>
      </c>
      <c r="I70" s="71"/>
      <c r="J70" s="45">
        <v>5500</v>
      </c>
      <c r="K70" s="15"/>
    </row>
    <row r="71" spans="1:11" x14ac:dyDescent="0.25">
      <c r="A71" s="171"/>
      <c r="B71" s="171"/>
      <c r="C71" s="171"/>
      <c r="D71" s="171"/>
      <c r="E71" s="171"/>
      <c r="F71" s="171"/>
      <c r="G71" s="71"/>
      <c r="H71" s="71" t="s">
        <v>89</v>
      </c>
      <c r="I71" s="71"/>
      <c r="J71" s="45">
        <v>25000</v>
      </c>
      <c r="K71" s="15"/>
    </row>
    <row r="72" spans="1:11" ht="15.75" thickBot="1" x14ac:dyDescent="0.3">
      <c r="A72" s="171"/>
      <c r="B72" s="171"/>
      <c r="C72" s="171"/>
      <c r="D72" s="171"/>
      <c r="E72" s="171"/>
      <c r="F72" s="171"/>
      <c r="G72" s="71"/>
      <c r="H72" s="71" t="s">
        <v>646</v>
      </c>
      <c r="I72" s="71"/>
      <c r="J72" s="320">
        <v>24200</v>
      </c>
      <c r="K72" s="15"/>
    </row>
    <row r="73" spans="1:11" x14ac:dyDescent="0.25">
      <c r="A73" s="171"/>
      <c r="B73" s="171"/>
      <c r="C73" s="171"/>
      <c r="D73" s="171"/>
      <c r="E73" s="171"/>
      <c r="F73" s="171"/>
      <c r="G73" s="71" t="s">
        <v>91</v>
      </c>
      <c r="H73" s="71"/>
      <c r="I73" s="71"/>
      <c r="J73" s="45">
        <f>SUM(J66:J72)</f>
        <v>439925</v>
      </c>
      <c r="K73" s="15"/>
    </row>
    <row r="74" spans="1:11" x14ac:dyDescent="0.25">
      <c r="A74" s="171"/>
      <c r="B74" s="171"/>
      <c r="C74" s="171"/>
      <c r="D74" s="171"/>
      <c r="E74" s="171"/>
      <c r="F74" s="171"/>
      <c r="G74" s="71"/>
      <c r="H74" s="71"/>
      <c r="I74" s="71"/>
      <c r="J74" s="45"/>
      <c r="K74" s="15"/>
    </row>
    <row r="75" spans="1:11" x14ac:dyDescent="0.25">
      <c r="A75" s="171"/>
      <c r="B75" s="171"/>
      <c r="C75" s="171"/>
      <c r="D75" s="171"/>
      <c r="E75" s="171"/>
      <c r="F75" s="171"/>
      <c r="G75" s="171" t="s">
        <v>92</v>
      </c>
      <c r="H75" s="171"/>
      <c r="I75" s="171"/>
      <c r="J75" s="176"/>
    </row>
    <row r="76" spans="1:11" x14ac:dyDescent="0.25">
      <c r="A76" s="171"/>
      <c r="B76" s="171"/>
      <c r="C76" s="171"/>
      <c r="D76" s="171"/>
      <c r="E76" s="171"/>
      <c r="F76" s="171"/>
      <c r="G76" s="171"/>
      <c r="H76" s="171" t="s">
        <v>93</v>
      </c>
      <c r="I76" s="171"/>
      <c r="J76" s="176">
        <v>440.74</v>
      </c>
    </row>
    <row r="77" spans="1:11" x14ac:dyDescent="0.25">
      <c r="A77" s="171"/>
      <c r="B77" s="171"/>
      <c r="C77" s="171"/>
      <c r="D77" s="171"/>
      <c r="E77" s="171"/>
      <c r="F77" s="171"/>
      <c r="G77" s="171"/>
      <c r="H77" s="171" t="s">
        <v>525</v>
      </c>
      <c r="I77" s="171"/>
      <c r="J77" s="176">
        <v>6700.27</v>
      </c>
    </row>
    <row r="78" spans="1:11" ht="15.75" thickBot="1" x14ac:dyDescent="0.3">
      <c r="A78" s="171"/>
      <c r="B78" s="171"/>
      <c r="C78" s="171"/>
      <c r="D78" s="171"/>
      <c r="E78" s="171"/>
      <c r="F78" s="171"/>
      <c r="G78" s="171"/>
      <c r="H78" s="171" t="s">
        <v>526</v>
      </c>
      <c r="I78" s="171"/>
      <c r="J78" s="220">
        <v>43301.88</v>
      </c>
    </row>
    <row r="79" spans="1:11" x14ac:dyDescent="0.25">
      <c r="A79" s="171"/>
      <c r="B79" s="171"/>
      <c r="C79" s="171"/>
      <c r="D79" s="171"/>
      <c r="E79" s="171"/>
      <c r="F79" s="171"/>
      <c r="G79" s="171" t="s">
        <v>96</v>
      </c>
      <c r="H79" s="171"/>
      <c r="I79" s="171"/>
      <c r="J79" s="176">
        <f>ROUND(SUM(J75:J78),5)</f>
        <v>50442.89</v>
      </c>
    </row>
    <row r="80" spans="1:11" x14ac:dyDescent="0.25">
      <c r="A80" s="171"/>
      <c r="B80" s="171"/>
      <c r="C80" s="171"/>
      <c r="D80" s="171"/>
      <c r="E80" s="171"/>
      <c r="F80" s="171"/>
      <c r="G80" s="171" t="s">
        <v>97</v>
      </c>
      <c r="H80" s="171"/>
      <c r="I80" s="171"/>
      <c r="J80" s="176"/>
    </row>
    <row r="81" spans="1:10" x14ac:dyDescent="0.25">
      <c r="A81" s="171"/>
      <c r="B81" s="171"/>
      <c r="C81" s="171"/>
      <c r="D81" s="171"/>
      <c r="E81" s="171"/>
      <c r="F81" s="171"/>
      <c r="G81" s="171"/>
      <c r="H81" s="171" t="s">
        <v>98</v>
      </c>
      <c r="I81" s="171"/>
      <c r="J81" s="176">
        <v>220</v>
      </c>
    </row>
    <row r="82" spans="1:10" x14ac:dyDescent="0.25">
      <c r="A82" s="171"/>
      <c r="B82" s="171"/>
      <c r="C82" s="171"/>
      <c r="D82" s="171"/>
      <c r="E82" s="171"/>
      <c r="F82" s="171"/>
      <c r="G82" s="171"/>
      <c r="H82" s="171" t="s">
        <v>668</v>
      </c>
      <c r="I82" s="171"/>
      <c r="J82" s="176">
        <v>410</v>
      </c>
    </row>
    <row r="83" spans="1:10" x14ac:dyDescent="0.25">
      <c r="A83" s="171"/>
      <c r="B83" s="171"/>
      <c r="C83" s="171"/>
      <c r="D83" s="171"/>
      <c r="E83" s="171"/>
      <c r="F83" s="171"/>
      <c r="G83" s="171"/>
      <c r="H83" s="171" t="s">
        <v>99</v>
      </c>
      <c r="I83" s="171"/>
      <c r="J83" s="176">
        <v>1500</v>
      </c>
    </row>
    <row r="84" spans="1:10" x14ac:dyDescent="0.25">
      <c r="A84" s="171"/>
      <c r="B84" s="171"/>
      <c r="C84" s="171"/>
      <c r="D84" s="171"/>
      <c r="E84" s="171"/>
      <c r="F84" s="171"/>
      <c r="G84" s="171"/>
      <c r="H84" s="171" t="s">
        <v>100</v>
      </c>
      <c r="I84" s="171"/>
      <c r="J84" s="176">
        <v>52548</v>
      </c>
    </row>
    <row r="85" spans="1:10" ht="15.75" thickBot="1" x14ac:dyDescent="0.3">
      <c r="A85" s="171"/>
      <c r="B85" s="171"/>
      <c r="C85" s="171"/>
      <c r="D85" s="171"/>
      <c r="E85" s="171"/>
      <c r="F85" s="171"/>
      <c r="G85" s="171"/>
      <c r="H85" s="171" t="s">
        <v>527</v>
      </c>
      <c r="I85" s="171"/>
      <c r="J85" s="220">
        <v>22350</v>
      </c>
    </row>
    <row r="86" spans="1:10" x14ac:dyDescent="0.25">
      <c r="A86" s="171"/>
      <c r="B86" s="171"/>
      <c r="C86" s="171"/>
      <c r="D86" s="171"/>
      <c r="E86" s="171"/>
      <c r="F86" s="171"/>
      <c r="G86" s="171" t="s">
        <v>102</v>
      </c>
      <c r="H86" s="171"/>
      <c r="I86" s="171"/>
      <c r="J86" s="176">
        <f>ROUND(SUM(J80:J85),5)</f>
        <v>77028</v>
      </c>
    </row>
    <row r="87" spans="1:10" x14ac:dyDescent="0.25">
      <c r="A87" s="171"/>
      <c r="B87" s="171"/>
      <c r="C87" s="171"/>
      <c r="D87" s="171"/>
      <c r="E87" s="171"/>
      <c r="F87" s="171"/>
      <c r="G87" s="171" t="s">
        <v>103</v>
      </c>
      <c r="H87" s="171"/>
      <c r="I87" s="171"/>
      <c r="J87" s="176"/>
    </row>
    <row r="88" spans="1:10" x14ac:dyDescent="0.25">
      <c r="A88" s="171"/>
      <c r="B88" s="171"/>
      <c r="C88" s="171"/>
      <c r="D88" s="171"/>
      <c r="E88" s="171"/>
      <c r="F88" s="171"/>
      <c r="G88" s="171"/>
      <c r="H88" s="171" t="s">
        <v>104</v>
      </c>
      <c r="I88" s="171"/>
      <c r="J88" s="176">
        <v>34903</v>
      </c>
    </row>
    <row r="89" spans="1:10" x14ac:dyDescent="0.25">
      <c r="A89" s="171"/>
      <c r="B89" s="171"/>
      <c r="C89" s="171"/>
      <c r="D89" s="171"/>
      <c r="E89" s="171"/>
      <c r="F89" s="171"/>
      <c r="G89" s="171"/>
      <c r="H89" s="171" t="s">
        <v>731</v>
      </c>
      <c r="I89" s="171"/>
      <c r="J89" s="176">
        <v>200</v>
      </c>
    </row>
    <row r="90" spans="1:10" x14ac:dyDescent="0.25">
      <c r="A90" s="171"/>
      <c r="B90" s="171"/>
      <c r="C90" s="171"/>
      <c r="D90" s="171"/>
      <c r="E90" s="171"/>
      <c r="F90" s="171"/>
      <c r="G90" s="171"/>
      <c r="H90" s="171" t="s">
        <v>106</v>
      </c>
      <c r="I90" s="171"/>
      <c r="J90" s="176">
        <v>1385</v>
      </c>
    </row>
    <row r="91" spans="1:10" x14ac:dyDescent="0.25">
      <c r="A91" s="171"/>
      <c r="B91" s="171"/>
      <c r="C91" s="171"/>
      <c r="D91" s="171"/>
      <c r="E91" s="171"/>
      <c r="F91" s="171"/>
      <c r="G91" s="171"/>
      <c r="H91" s="171" t="s">
        <v>528</v>
      </c>
      <c r="I91" s="213"/>
      <c r="J91" s="231">
        <v>136850.54</v>
      </c>
    </row>
    <row r="92" spans="1:10" x14ac:dyDescent="0.25">
      <c r="A92" s="171"/>
      <c r="B92" s="171"/>
      <c r="C92" s="171"/>
      <c r="D92" s="171"/>
      <c r="E92" s="171"/>
      <c r="F92" s="171"/>
      <c r="G92" s="171"/>
      <c r="H92" s="171" t="s">
        <v>529</v>
      </c>
      <c r="I92" s="213"/>
      <c r="J92" s="231">
        <v>134366.23000000001</v>
      </c>
    </row>
    <row r="93" spans="1:10" x14ac:dyDescent="0.25">
      <c r="A93" s="171"/>
      <c r="B93" s="171"/>
      <c r="C93" s="171"/>
      <c r="D93" s="171"/>
      <c r="E93" s="171"/>
      <c r="F93" s="171"/>
      <c r="G93" s="171"/>
      <c r="H93" s="171" t="s">
        <v>530</v>
      </c>
      <c r="I93" s="213"/>
      <c r="J93" s="231">
        <v>85420.41</v>
      </c>
    </row>
    <row r="94" spans="1:10" x14ac:dyDescent="0.25">
      <c r="A94" s="171"/>
      <c r="B94" s="171"/>
      <c r="C94" s="171"/>
      <c r="D94" s="171"/>
      <c r="E94" s="171"/>
      <c r="F94" s="171"/>
      <c r="G94" s="171"/>
      <c r="H94" s="171" t="s">
        <v>455</v>
      </c>
      <c r="I94" s="171"/>
      <c r="J94" s="176">
        <v>87210</v>
      </c>
    </row>
    <row r="95" spans="1:10" x14ac:dyDescent="0.25">
      <c r="A95" s="171"/>
      <c r="B95" s="171"/>
      <c r="C95" s="171"/>
      <c r="D95" s="171"/>
      <c r="E95" s="171"/>
      <c r="F95" s="171"/>
      <c r="G95" s="171"/>
      <c r="H95" s="171" t="s">
        <v>107</v>
      </c>
      <c r="I95" s="171"/>
      <c r="J95" s="176">
        <v>1400</v>
      </c>
    </row>
    <row r="96" spans="1:10" ht="15.75" thickBot="1" x14ac:dyDescent="0.3">
      <c r="A96" s="171"/>
      <c r="B96" s="171"/>
      <c r="C96" s="171"/>
      <c r="D96" s="171"/>
      <c r="E96" s="171"/>
      <c r="F96" s="171"/>
      <c r="G96" s="171"/>
      <c r="H96" s="171" t="s">
        <v>475</v>
      </c>
      <c r="I96" s="171"/>
      <c r="J96" s="220">
        <v>3195</v>
      </c>
    </row>
    <row r="97" spans="1:10" x14ac:dyDescent="0.25">
      <c r="A97" s="171"/>
      <c r="B97" s="171"/>
      <c r="C97" s="171"/>
      <c r="D97" s="171"/>
      <c r="E97" s="171"/>
      <c r="F97" s="171"/>
      <c r="G97" s="171" t="s">
        <v>108</v>
      </c>
      <c r="H97" s="171"/>
      <c r="I97" s="171"/>
      <c r="J97" s="176">
        <f>ROUND(SUM(J87:J96),5)</f>
        <v>484930.18</v>
      </c>
    </row>
    <row r="98" spans="1:10" x14ac:dyDescent="0.25">
      <c r="A98" s="171"/>
      <c r="B98" s="171"/>
      <c r="C98" s="171"/>
      <c r="D98" s="171"/>
      <c r="E98" s="171"/>
      <c r="F98" s="171"/>
      <c r="G98" s="171" t="s">
        <v>456</v>
      </c>
      <c r="H98" s="171"/>
      <c r="I98" s="171"/>
      <c r="J98" s="176"/>
    </row>
    <row r="99" spans="1:10" ht="15.75" thickBot="1" x14ac:dyDescent="0.3">
      <c r="A99" s="171"/>
      <c r="B99" s="171"/>
      <c r="C99" s="171"/>
      <c r="D99" s="171"/>
      <c r="E99" s="171"/>
      <c r="F99" s="171"/>
      <c r="G99" s="171"/>
      <c r="H99" s="171" t="s">
        <v>732</v>
      </c>
      <c r="I99" s="171"/>
      <c r="J99" s="8">
        <v>25000</v>
      </c>
    </row>
    <row r="100" spans="1:10" ht="15.75" thickBot="1" x14ac:dyDescent="0.3">
      <c r="A100" s="171"/>
      <c r="B100" s="171"/>
      <c r="C100" s="171"/>
      <c r="D100" s="171"/>
      <c r="E100" s="171"/>
      <c r="F100" s="171"/>
      <c r="G100" s="171" t="s">
        <v>458</v>
      </c>
      <c r="H100" s="171"/>
      <c r="I100" s="171"/>
      <c r="J100" s="10">
        <f>ROUND(SUM(J98:J99),5)</f>
        <v>25000</v>
      </c>
    </row>
    <row r="101" spans="1:10" x14ac:dyDescent="0.25">
      <c r="A101" s="171"/>
      <c r="B101" s="171"/>
      <c r="C101" s="171"/>
      <c r="D101" s="171"/>
      <c r="E101" s="171"/>
      <c r="F101" s="171" t="s">
        <v>191</v>
      </c>
      <c r="G101" s="171"/>
      <c r="H101" s="171"/>
      <c r="I101" s="171"/>
      <c r="J101" s="176">
        <f>ROUND(J51+J64+J79+J86+J97+J100+J73,5)</f>
        <v>1301106.67</v>
      </c>
    </row>
    <row r="102" spans="1:10" x14ac:dyDescent="0.25">
      <c r="A102" s="171"/>
      <c r="B102" s="171"/>
      <c r="C102" s="171"/>
      <c r="D102" s="171"/>
      <c r="E102" s="171"/>
      <c r="F102" s="171" t="s">
        <v>109</v>
      </c>
      <c r="G102" s="171"/>
      <c r="H102" s="171"/>
      <c r="I102" s="171"/>
      <c r="J102" s="176"/>
    </row>
    <row r="103" spans="1:10" x14ac:dyDescent="0.25">
      <c r="A103" s="171"/>
      <c r="B103" s="171"/>
      <c r="C103" s="171"/>
      <c r="D103" s="171"/>
      <c r="E103" s="171"/>
      <c r="F103" s="171"/>
      <c r="G103" s="171" t="s">
        <v>110</v>
      </c>
      <c r="H103" s="171"/>
      <c r="I103" s="171"/>
      <c r="J103" s="176"/>
    </row>
    <row r="104" spans="1:10" x14ac:dyDescent="0.25">
      <c r="A104" s="171"/>
      <c r="B104" s="171"/>
      <c r="C104" s="171"/>
      <c r="D104" s="171"/>
      <c r="E104" s="171"/>
      <c r="F104" s="171"/>
      <c r="G104" s="171"/>
      <c r="H104" s="171" t="s">
        <v>112</v>
      </c>
      <c r="I104" s="171"/>
      <c r="J104" s="176">
        <v>82022.8</v>
      </c>
    </row>
    <row r="105" spans="1:10" x14ac:dyDescent="0.25">
      <c r="A105" s="171"/>
      <c r="B105" s="171"/>
      <c r="C105" s="171"/>
      <c r="D105" s="171"/>
      <c r="E105" s="171"/>
      <c r="F105" s="171"/>
      <c r="G105" s="171"/>
      <c r="H105" s="171" t="s">
        <v>481</v>
      </c>
      <c r="I105" s="171"/>
      <c r="J105" s="176">
        <v>6000</v>
      </c>
    </row>
    <row r="106" spans="1:10" x14ac:dyDescent="0.25">
      <c r="A106" s="171"/>
      <c r="B106" s="171"/>
      <c r="C106" s="171"/>
      <c r="D106" s="171"/>
      <c r="E106" s="171"/>
      <c r="F106" s="171"/>
      <c r="G106" s="171"/>
      <c r="H106" s="171" t="s">
        <v>113</v>
      </c>
      <c r="I106" s="171"/>
      <c r="J106" s="176">
        <v>113668.49</v>
      </c>
    </row>
    <row r="107" spans="1:10" x14ac:dyDescent="0.25">
      <c r="A107" s="171"/>
      <c r="B107" s="171"/>
      <c r="C107" s="171"/>
      <c r="D107" s="171"/>
      <c r="E107" s="171"/>
      <c r="F107" s="171"/>
      <c r="G107" s="171"/>
      <c r="H107" s="171" t="s">
        <v>532</v>
      </c>
      <c r="I107" s="171"/>
      <c r="J107" s="176">
        <v>51470</v>
      </c>
    </row>
    <row r="108" spans="1:10" x14ac:dyDescent="0.25">
      <c r="A108" s="171"/>
      <c r="B108" s="171"/>
      <c r="C108" s="171"/>
      <c r="D108" s="171"/>
      <c r="E108" s="171"/>
      <c r="F108" s="171"/>
      <c r="G108" s="171"/>
      <c r="H108" s="171" t="s">
        <v>114</v>
      </c>
      <c r="I108" s="171"/>
      <c r="J108" s="176">
        <v>7737.16</v>
      </c>
    </row>
    <row r="109" spans="1:10" x14ac:dyDescent="0.25">
      <c r="A109" s="171"/>
      <c r="B109" s="171"/>
      <c r="C109" s="171"/>
      <c r="D109" s="171"/>
      <c r="E109" s="171"/>
      <c r="F109" s="171"/>
      <c r="G109" s="171"/>
      <c r="H109" s="171" t="s">
        <v>459</v>
      </c>
      <c r="I109" s="171"/>
      <c r="J109" s="176">
        <v>9639</v>
      </c>
    </row>
    <row r="110" spans="1:10" x14ac:dyDescent="0.25">
      <c r="A110" s="171"/>
      <c r="B110" s="171"/>
      <c r="C110" s="171"/>
      <c r="D110" s="171"/>
      <c r="E110" s="171"/>
      <c r="F110" s="171"/>
      <c r="G110" s="171"/>
      <c r="H110" s="171" t="s">
        <v>115</v>
      </c>
      <c r="I110" s="171"/>
      <c r="J110" s="176">
        <v>18101</v>
      </c>
    </row>
    <row r="111" spans="1:10" ht="15.75" thickBot="1" x14ac:dyDescent="0.3">
      <c r="A111" s="171"/>
      <c r="B111" s="171"/>
      <c r="C111" s="171"/>
      <c r="D111" s="171"/>
      <c r="E111" s="171"/>
      <c r="F111" s="171"/>
      <c r="G111" s="171"/>
      <c r="H111" s="171" t="s">
        <v>535</v>
      </c>
      <c r="I111" s="171"/>
      <c r="J111" s="220">
        <v>23425</v>
      </c>
    </row>
    <row r="112" spans="1:10" x14ac:dyDescent="0.25">
      <c r="A112" s="171"/>
      <c r="B112" s="171"/>
      <c r="C112" s="171"/>
      <c r="D112" s="171"/>
      <c r="E112" s="171"/>
      <c r="F112" s="171"/>
      <c r="G112" s="171" t="s">
        <v>116</v>
      </c>
      <c r="H112" s="171"/>
      <c r="I112" s="171"/>
      <c r="J112" s="176">
        <f>ROUND(SUM(J103:J111),5)</f>
        <v>312063.45</v>
      </c>
    </row>
    <row r="113" spans="1:10" x14ac:dyDescent="0.25">
      <c r="A113" s="171"/>
      <c r="B113" s="171"/>
      <c r="C113" s="171"/>
      <c r="D113" s="171"/>
      <c r="E113" s="171"/>
      <c r="F113" s="171"/>
      <c r="G113" s="171" t="s">
        <v>117</v>
      </c>
      <c r="H113" s="171"/>
      <c r="I113" s="171"/>
      <c r="J113" s="176"/>
    </row>
    <row r="114" spans="1:10" x14ac:dyDescent="0.25">
      <c r="A114" s="171"/>
      <c r="B114" s="171"/>
      <c r="C114" s="171"/>
      <c r="D114" s="171"/>
      <c r="E114" s="171"/>
      <c r="F114" s="171"/>
      <c r="G114" s="171"/>
      <c r="H114" s="213" t="s">
        <v>118</v>
      </c>
      <c r="I114" s="213"/>
      <c r="J114" s="231">
        <v>37500</v>
      </c>
    </row>
    <row r="115" spans="1:10" x14ac:dyDescent="0.25">
      <c r="A115" s="171"/>
      <c r="B115" s="171"/>
      <c r="C115" s="171"/>
      <c r="D115" s="171"/>
      <c r="E115" s="171"/>
      <c r="F115" s="171"/>
      <c r="G115" s="171"/>
      <c r="H115" s="213" t="s">
        <v>536</v>
      </c>
      <c r="I115" s="213"/>
      <c r="J115" s="231">
        <v>4500</v>
      </c>
    </row>
    <row r="116" spans="1:10" x14ac:dyDescent="0.25">
      <c r="A116" s="171"/>
      <c r="B116" s="171"/>
      <c r="C116" s="171"/>
      <c r="D116" s="171"/>
      <c r="E116" s="171"/>
      <c r="F116" s="171"/>
      <c r="G116" s="171"/>
      <c r="H116" s="213" t="s">
        <v>537</v>
      </c>
      <c r="I116" s="213"/>
      <c r="J116" s="231">
        <v>1125</v>
      </c>
    </row>
    <row r="117" spans="1:10" x14ac:dyDescent="0.25">
      <c r="A117" s="171"/>
      <c r="B117" s="171"/>
      <c r="C117" s="171"/>
      <c r="D117" s="171"/>
      <c r="E117" s="171"/>
      <c r="F117" s="171"/>
      <c r="G117" s="171"/>
      <c r="H117" s="213" t="s">
        <v>119</v>
      </c>
      <c r="I117" s="213"/>
      <c r="J117" s="231">
        <v>30000</v>
      </c>
    </row>
    <row r="118" spans="1:10" ht="15.75" thickBot="1" x14ac:dyDescent="0.3">
      <c r="A118" s="171"/>
      <c r="B118" s="171"/>
      <c r="C118" s="171"/>
      <c r="D118" s="171"/>
      <c r="E118" s="171"/>
      <c r="F118" s="171"/>
      <c r="G118" s="171"/>
      <c r="H118" s="213" t="s">
        <v>647</v>
      </c>
      <c r="I118" s="213"/>
      <c r="J118" s="238">
        <v>3208.33</v>
      </c>
    </row>
    <row r="119" spans="1:10" ht="17.25" customHeight="1" x14ac:dyDescent="0.25">
      <c r="A119" s="171"/>
      <c r="B119" s="171"/>
      <c r="C119" s="171"/>
      <c r="D119" s="171"/>
      <c r="E119" s="171"/>
      <c r="F119" s="171"/>
      <c r="G119" s="171" t="s">
        <v>120</v>
      </c>
      <c r="H119" s="171"/>
      <c r="I119" s="171"/>
      <c r="J119" s="176">
        <f>SUM(J114:J118)</f>
        <v>76333.33</v>
      </c>
    </row>
    <row r="120" spans="1:10" ht="17.25" customHeight="1" x14ac:dyDescent="0.25">
      <c r="A120" s="171"/>
      <c r="B120" s="171"/>
      <c r="C120" s="171"/>
      <c r="D120" s="171"/>
      <c r="E120" s="171"/>
      <c r="F120" s="171"/>
      <c r="G120" s="171" t="s">
        <v>121</v>
      </c>
      <c r="H120" s="171"/>
      <c r="I120" s="171"/>
      <c r="J120" s="176"/>
    </row>
    <row r="121" spans="1:10" ht="17.25" customHeight="1" x14ac:dyDescent="0.25">
      <c r="A121" s="171"/>
      <c r="B121" s="171"/>
      <c r="C121" s="171"/>
      <c r="D121" s="171"/>
      <c r="E121" s="171"/>
      <c r="F121" s="171"/>
      <c r="G121" s="171"/>
      <c r="H121" s="171" t="s">
        <v>538</v>
      </c>
      <c r="I121" s="213"/>
      <c r="J121" s="231">
        <v>26590.98</v>
      </c>
    </row>
    <row r="122" spans="1:10" ht="17.25" customHeight="1" x14ac:dyDescent="0.25">
      <c r="A122" s="171"/>
      <c r="B122" s="171"/>
      <c r="C122" s="171"/>
      <c r="D122" s="171"/>
      <c r="E122" s="171"/>
      <c r="F122" s="171"/>
      <c r="G122" s="171"/>
      <c r="H122" s="171" t="s">
        <v>539</v>
      </c>
      <c r="I122" s="213"/>
      <c r="J122" s="231">
        <v>25336.29</v>
      </c>
    </row>
    <row r="123" spans="1:10" x14ac:dyDescent="0.25">
      <c r="A123" s="171"/>
      <c r="B123" s="171"/>
      <c r="C123" s="171"/>
      <c r="D123" s="171"/>
      <c r="E123" s="171"/>
      <c r="F123" s="171"/>
      <c r="G123" s="171"/>
      <c r="H123" s="171" t="s">
        <v>460</v>
      </c>
      <c r="I123" s="171"/>
      <c r="J123" s="176">
        <v>3433.89</v>
      </c>
    </row>
    <row r="124" spans="1:10" ht="15.75" thickBot="1" x14ac:dyDescent="0.3">
      <c r="A124" s="171"/>
      <c r="B124" s="171"/>
      <c r="C124" s="171"/>
      <c r="D124" s="171"/>
      <c r="E124" s="171"/>
      <c r="F124" s="171"/>
      <c r="G124" s="171"/>
      <c r="H124" s="171" t="s">
        <v>461</v>
      </c>
      <c r="I124" s="171"/>
      <c r="J124" s="220">
        <v>5500.01</v>
      </c>
    </row>
    <row r="125" spans="1:10" x14ac:dyDescent="0.25">
      <c r="A125" s="171"/>
      <c r="B125" s="171"/>
      <c r="C125" s="171"/>
      <c r="D125" s="171"/>
      <c r="E125" s="171"/>
      <c r="F125" s="171"/>
      <c r="G125" s="171" t="s">
        <v>122</v>
      </c>
      <c r="H125" s="171"/>
      <c r="I125" s="171"/>
      <c r="J125" s="176">
        <f>ROUND(SUM(J121:J124),5)</f>
        <v>60861.17</v>
      </c>
    </row>
    <row r="126" spans="1:10" x14ac:dyDescent="0.25">
      <c r="A126" s="171"/>
      <c r="B126" s="171"/>
      <c r="C126" s="171"/>
      <c r="D126" s="171"/>
      <c r="E126" s="171"/>
      <c r="F126" s="171"/>
      <c r="G126" s="171" t="s">
        <v>123</v>
      </c>
      <c r="H126" s="171"/>
      <c r="I126" s="171"/>
      <c r="J126" s="176"/>
    </row>
    <row r="127" spans="1:10" ht="15.75" thickBot="1" x14ac:dyDescent="0.3">
      <c r="A127" s="171"/>
      <c r="B127" s="171"/>
      <c r="C127" s="171"/>
      <c r="D127" s="171"/>
      <c r="E127" s="171"/>
      <c r="F127" s="171"/>
      <c r="G127" s="171"/>
      <c r="H127" s="171" t="s">
        <v>462</v>
      </c>
      <c r="I127" s="171"/>
      <c r="J127" s="220">
        <v>36540</v>
      </c>
    </row>
    <row r="128" spans="1:10" x14ac:dyDescent="0.25">
      <c r="A128" s="171"/>
      <c r="B128" s="171"/>
      <c r="C128" s="171"/>
      <c r="D128" s="171"/>
      <c r="E128" s="171"/>
      <c r="F128" s="171"/>
      <c r="G128" s="171" t="s">
        <v>125</v>
      </c>
      <c r="H128" s="171"/>
      <c r="I128" s="171"/>
      <c r="J128" s="176">
        <f>ROUND(SUM(J126:J127),5)</f>
        <v>36540</v>
      </c>
    </row>
    <row r="129" spans="1:10" x14ac:dyDescent="0.25">
      <c r="A129" s="171"/>
      <c r="B129" s="171"/>
      <c r="C129" s="171"/>
      <c r="D129" s="171"/>
      <c r="E129" s="171"/>
      <c r="F129" s="171"/>
      <c r="G129" s="171" t="s">
        <v>126</v>
      </c>
      <c r="H129" s="171"/>
      <c r="I129" s="171"/>
      <c r="J129" s="176"/>
    </row>
    <row r="130" spans="1:10" x14ac:dyDescent="0.25">
      <c r="A130" s="171"/>
      <c r="B130" s="171"/>
      <c r="C130" s="171"/>
      <c r="D130" s="171"/>
      <c r="E130" s="171"/>
      <c r="F130" s="171"/>
      <c r="G130" s="171"/>
      <c r="H130" s="171" t="s">
        <v>127</v>
      </c>
      <c r="I130" s="171"/>
      <c r="J130" s="176">
        <v>8297</v>
      </c>
    </row>
    <row r="131" spans="1:10" x14ac:dyDescent="0.25">
      <c r="A131" s="171"/>
      <c r="B131" s="171"/>
      <c r="C131" s="171"/>
      <c r="D131" s="171"/>
      <c r="E131" s="171"/>
      <c r="F131" s="171"/>
      <c r="G131" s="171"/>
      <c r="H131" s="213" t="s">
        <v>542</v>
      </c>
      <c r="I131" s="213"/>
      <c r="J131" s="231">
        <v>46831.96</v>
      </c>
    </row>
    <row r="132" spans="1:10" x14ac:dyDescent="0.25">
      <c r="A132" s="171"/>
      <c r="B132" s="171"/>
      <c r="C132" s="171"/>
      <c r="D132" s="171"/>
      <c r="E132" s="171"/>
      <c r="F132" s="171"/>
      <c r="G132" s="171"/>
      <c r="H132" s="213" t="s">
        <v>543</v>
      </c>
      <c r="I132" s="213"/>
      <c r="J132" s="231">
        <v>54662.96</v>
      </c>
    </row>
    <row r="133" spans="1:10" x14ac:dyDescent="0.25">
      <c r="A133" s="171"/>
      <c r="B133" s="171"/>
      <c r="C133" s="171"/>
      <c r="D133" s="171"/>
      <c r="E133" s="171"/>
      <c r="F133" s="171"/>
      <c r="G133" s="171"/>
      <c r="H133" s="171" t="s">
        <v>128</v>
      </c>
      <c r="I133" s="171"/>
      <c r="J133" s="176">
        <v>24274</v>
      </c>
    </row>
    <row r="134" spans="1:10" ht="15.75" thickBot="1" x14ac:dyDescent="0.3">
      <c r="A134" s="171"/>
      <c r="B134" s="171"/>
      <c r="C134" s="171"/>
      <c r="D134" s="171"/>
      <c r="E134" s="171"/>
      <c r="F134" s="171"/>
      <c r="G134" s="171"/>
      <c r="H134" s="171" t="s">
        <v>129</v>
      </c>
      <c r="I134" s="171"/>
      <c r="J134" s="220">
        <v>3405</v>
      </c>
    </row>
    <row r="135" spans="1:10" x14ac:dyDescent="0.25">
      <c r="A135" s="171"/>
      <c r="B135" s="171"/>
      <c r="C135" s="171"/>
      <c r="D135" s="171"/>
      <c r="E135" s="171"/>
      <c r="F135" s="171"/>
      <c r="G135" s="171" t="s">
        <v>130</v>
      </c>
      <c r="H135" s="171"/>
      <c r="I135" s="171"/>
      <c r="J135" s="176">
        <f>ROUND(SUM(J129:J134),5)</f>
        <v>137470.92000000001</v>
      </c>
    </row>
    <row r="136" spans="1:10" x14ac:dyDescent="0.25">
      <c r="A136" s="171"/>
      <c r="B136" s="171"/>
      <c r="C136" s="171"/>
      <c r="D136" s="171"/>
      <c r="E136" s="171"/>
      <c r="F136" s="171"/>
      <c r="G136" s="171" t="s">
        <v>131</v>
      </c>
      <c r="H136" s="171"/>
      <c r="I136" s="171"/>
      <c r="J136" s="176"/>
    </row>
    <row r="137" spans="1:10" ht="15.75" thickBot="1" x14ac:dyDescent="0.3">
      <c r="A137" s="171"/>
      <c r="B137" s="171"/>
      <c r="C137" s="171"/>
      <c r="D137" s="171"/>
      <c r="E137" s="171"/>
      <c r="F137" s="171"/>
      <c r="G137" s="171"/>
      <c r="H137" s="171" t="s">
        <v>132</v>
      </c>
      <c r="I137" s="171"/>
      <c r="J137" s="220">
        <v>550</v>
      </c>
    </row>
    <row r="138" spans="1:10" x14ac:dyDescent="0.25">
      <c r="A138" s="171"/>
      <c r="B138" s="171"/>
      <c r="C138" s="171"/>
      <c r="D138" s="171"/>
      <c r="E138" s="171"/>
      <c r="F138" s="171"/>
      <c r="G138" s="171" t="s">
        <v>133</v>
      </c>
      <c r="H138" s="171"/>
      <c r="I138" s="171"/>
      <c r="J138" s="176">
        <f>ROUND(SUM(J136:J137),5)</f>
        <v>550</v>
      </c>
    </row>
    <row r="139" spans="1:10" ht="15.75" thickBot="1" x14ac:dyDescent="0.3">
      <c r="A139" s="171"/>
      <c r="B139" s="171"/>
      <c r="C139" s="171"/>
      <c r="D139" s="171"/>
      <c r="E139" s="171"/>
      <c r="F139" s="171"/>
      <c r="G139" s="171" t="s">
        <v>681</v>
      </c>
      <c r="H139" s="171"/>
      <c r="I139" s="171"/>
      <c r="J139" s="220">
        <v>2652</v>
      </c>
    </row>
    <row r="140" spans="1:10" x14ac:dyDescent="0.25">
      <c r="A140" s="171"/>
      <c r="B140" s="171"/>
      <c r="C140" s="171"/>
      <c r="D140" s="171"/>
      <c r="E140" s="171"/>
      <c r="F140" s="171" t="s">
        <v>134</v>
      </c>
      <c r="G140" s="171"/>
      <c r="H140" s="171"/>
      <c r="I140" s="171"/>
      <c r="J140" s="176">
        <f>ROUND(J102+J112+J119+J125+J128+J135+SUM(J138:J139),5)</f>
        <v>626470.87</v>
      </c>
    </row>
    <row r="141" spans="1:10" x14ac:dyDescent="0.25">
      <c r="A141" s="171"/>
      <c r="B141" s="171"/>
      <c r="C141" s="171"/>
      <c r="D141" s="171"/>
      <c r="E141" s="171"/>
      <c r="F141" s="171" t="s">
        <v>135</v>
      </c>
      <c r="G141" s="171"/>
      <c r="H141" s="171"/>
      <c r="I141" s="171"/>
      <c r="J141" s="176"/>
    </row>
    <row r="142" spans="1:10" x14ac:dyDescent="0.25">
      <c r="A142" s="171"/>
      <c r="B142" s="171"/>
      <c r="C142" s="171"/>
      <c r="D142" s="171"/>
      <c r="E142" s="171"/>
      <c r="F142" s="171"/>
      <c r="G142" s="171" t="s">
        <v>192</v>
      </c>
      <c r="H142" s="171"/>
      <c r="I142" s="171"/>
      <c r="J142" s="176"/>
    </row>
    <row r="143" spans="1:10" x14ac:dyDescent="0.25">
      <c r="A143" s="171"/>
      <c r="B143" s="171"/>
      <c r="C143" s="171"/>
      <c r="D143" s="171"/>
      <c r="E143" s="171"/>
      <c r="F143" s="171"/>
      <c r="G143" s="171"/>
      <c r="H143" s="171" t="s">
        <v>193</v>
      </c>
      <c r="I143" s="171"/>
      <c r="J143" s="176">
        <v>4800</v>
      </c>
    </row>
    <row r="144" spans="1:10" x14ac:dyDescent="0.25">
      <c r="A144" s="171"/>
      <c r="B144" s="171"/>
      <c r="C144" s="171"/>
      <c r="D144" s="171"/>
      <c r="E144" s="171"/>
      <c r="F144" s="171"/>
      <c r="G144" s="171"/>
      <c r="H144" s="171" t="s">
        <v>544</v>
      </c>
      <c r="I144" s="171"/>
      <c r="J144" s="176">
        <v>9245</v>
      </c>
    </row>
    <row r="145" spans="1:10" ht="15.75" thickBot="1" x14ac:dyDescent="0.3">
      <c r="A145" s="171"/>
      <c r="B145" s="171"/>
      <c r="C145" s="171"/>
      <c r="D145" s="171"/>
      <c r="E145" s="171"/>
      <c r="F145" s="171"/>
      <c r="G145" s="171"/>
      <c r="H145" s="171" t="s">
        <v>547</v>
      </c>
      <c r="I145" s="171"/>
      <c r="J145" s="220">
        <v>4225</v>
      </c>
    </row>
    <row r="146" spans="1:10" x14ac:dyDescent="0.25">
      <c r="A146" s="171"/>
      <c r="B146" s="171"/>
      <c r="C146" s="171"/>
      <c r="D146" s="171"/>
      <c r="E146" s="171"/>
      <c r="F146" s="171"/>
      <c r="G146" s="171" t="s">
        <v>194</v>
      </c>
      <c r="H146" s="171"/>
      <c r="I146" s="171"/>
      <c r="J146" s="176">
        <f>ROUND(SUM(J142:J145),5)</f>
        <v>18270</v>
      </c>
    </row>
    <row r="147" spans="1:10" x14ac:dyDescent="0.25">
      <c r="A147" s="171"/>
      <c r="B147" s="171"/>
      <c r="C147" s="171"/>
      <c r="D147" s="171"/>
      <c r="E147" s="171"/>
      <c r="F147" s="171"/>
      <c r="G147" s="171" t="s">
        <v>195</v>
      </c>
      <c r="H147" s="171"/>
      <c r="I147" s="171"/>
      <c r="J147" s="176"/>
    </row>
    <row r="148" spans="1:10" x14ac:dyDescent="0.25">
      <c r="A148" s="171"/>
      <c r="B148" s="171"/>
      <c r="C148" s="171"/>
      <c r="D148" s="171"/>
      <c r="E148" s="171"/>
      <c r="F148" s="171"/>
      <c r="G148" s="171"/>
      <c r="H148" s="171" t="s">
        <v>136</v>
      </c>
      <c r="I148" s="171"/>
      <c r="J148" s="176">
        <v>350</v>
      </c>
    </row>
    <row r="149" spans="1:10" x14ac:dyDescent="0.25">
      <c r="A149" s="171"/>
      <c r="B149" s="171"/>
      <c r="C149" s="171"/>
      <c r="D149" s="171"/>
      <c r="E149" s="171"/>
      <c r="F149" s="171"/>
      <c r="G149" s="171"/>
      <c r="H149" s="171" t="s">
        <v>548</v>
      </c>
      <c r="I149" s="171"/>
      <c r="J149" s="176">
        <v>9452.4</v>
      </c>
    </row>
    <row r="150" spans="1:10" ht="15.75" thickBot="1" x14ac:dyDescent="0.3">
      <c r="A150" s="171"/>
      <c r="B150" s="171"/>
      <c r="C150" s="171"/>
      <c r="D150" s="171"/>
      <c r="E150" s="171"/>
      <c r="F150" s="171"/>
      <c r="G150" s="171"/>
      <c r="H150" s="171" t="s">
        <v>137</v>
      </c>
      <c r="I150" s="171"/>
      <c r="J150" s="8">
        <v>55059</v>
      </c>
    </row>
    <row r="151" spans="1:10" ht="15.75" thickBot="1" x14ac:dyDescent="0.3">
      <c r="A151" s="171"/>
      <c r="B151" s="171"/>
      <c r="C151" s="171"/>
      <c r="D151" s="171"/>
      <c r="E151" s="171"/>
      <c r="F151" s="171"/>
      <c r="G151" s="171" t="s">
        <v>196</v>
      </c>
      <c r="H151" s="171"/>
      <c r="I151" s="171"/>
      <c r="J151" s="10">
        <f>ROUND(SUM(J147:J150),5)</f>
        <v>64861.4</v>
      </c>
    </row>
    <row r="152" spans="1:10" x14ac:dyDescent="0.25">
      <c r="A152" s="171"/>
      <c r="B152" s="171"/>
      <c r="C152" s="171"/>
      <c r="D152" s="171"/>
      <c r="E152" s="171"/>
      <c r="F152" s="171" t="s">
        <v>138</v>
      </c>
      <c r="G152" s="171"/>
      <c r="H152" s="171"/>
      <c r="I152" s="171"/>
      <c r="J152" s="176">
        <f>ROUND(J141+J146+J151,5)</f>
        <v>83131.399999999994</v>
      </c>
    </row>
    <row r="153" spans="1:10" x14ac:dyDescent="0.25">
      <c r="A153" s="171"/>
      <c r="B153" s="171"/>
      <c r="C153" s="171"/>
      <c r="D153" s="171"/>
      <c r="E153" s="171"/>
      <c r="F153" s="171" t="s">
        <v>206</v>
      </c>
      <c r="G153" s="171"/>
      <c r="H153" s="171"/>
      <c r="I153" s="171"/>
      <c r="J153" s="176"/>
    </row>
    <row r="154" spans="1:10" x14ac:dyDescent="0.25">
      <c r="A154" s="171"/>
      <c r="B154" s="171"/>
      <c r="C154" s="171"/>
      <c r="D154" s="171"/>
      <c r="E154" s="171"/>
      <c r="F154" s="171"/>
      <c r="G154" s="171" t="s">
        <v>184</v>
      </c>
      <c r="H154" s="171"/>
      <c r="I154" s="171"/>
      <c r="J154" s="176"/>
    </row>
    <row r="155" spans="1:10" x14ac:dyDescent="0.25">
      <c r="A155" s="171"/>
      <c r="B155" s="171"/>
      <c r="C155" s="171"/>
      <c r="D155" s="171"/>
      <c r="E155" s="171"/>
      <c r="F155" s="171"/>
      <c r="G155" s="171"/>
      <c r="H155" s="171" t="s">
        <v>464</v>
      </c>
      <c r="I155" s="171"/>
      <c r="J155" s="176">
        <v>56202</v>
      </c>
    </row>
    <row r="156" spans="1:10" x14ac:dyDescent="0.25">
      <c r="A156" s="171"/>
      <c r="B156" s="171"/>
      <c r="C156" s="171"/>
      <c r="D156" s="171"/>
      <c r="E156" s="171"/>
      <c r="F156" s="171"/>
      <c r="G156" s="171"/>
      <c r="H156" s="171" t="s">
        <v>185</v>
      </c>
      <c r="I156" s="171"/>
      <c r="J156" s="176"/>
    </row>
    <row r="157" spans="1:10" x14ac:dyDescent="0.25">
      <c r="A157" s="171"/>
      <c r="B157" s="171"/>
      <c r="C157" s="171"/>
      <c r="D157" s="171"/>
      <c r="E157" s="171"/>
      <c r="F157" s="171"/>
      <c r="G157" s="171"/>
      <c r="H157" s="171"/>
      <c r="I157" s="171" t="s">
        <v>262</v>
      </c>
      <c r="J157" s="176">
        <v>29250</v>
      </c>
    </row>
    <row r="158" spans="1:10" ht="15.75" thickBot="1" x14ac:dyDescent="0.3">
      <c r="A158" s="171"/>
      <c r="B158" s="171"/>
      <c r="C158" s="171"/>
      <c r="D158" s="171"/>
      <c r="E158" s="171"/>
      <c r="F158" s="171"/>
      <c r="G158" s="171"/>
      <c r="H158" s="171"/>
      <c r="I158" s="171" t="s">
        <v>552</v>
      </c>
      <c r="J158" s="8">
        <v>345</v>
      </c>
    </row>
    <row r="159" spans="1:10" ht="15.75" thickBot="1" x14ac:dyDescent="0.3">
      <c r="A159" s="171"/>
      <c r="B159" s="171"/>
      <c r="C159" s="171"/>
      <c r="D159" s="171"/>
      <c r="E159" s="171"/>
      <c r="F159" s="171"/>
      <c r="G159" s="171"/>
      <c r="H159" s="171" t="s">
        <v>263</v>
      </c>
      <c r="I159" s="171"/>
      <c r="J159" s="10">
        <f>ROUND(SUM(J156:J158),5)</f>
        <v>29595</v>
      </c>
    </row>
    <row r="160" spans="1:10" x14ac:dyDescent="0.25">
      <c r="A160" s="171"/>
      <c r="B160" s="171"/>
      <c r="C160" s="171"/>
      <c r="D160" s="171"/>
      <c r="E160" s="171"/>
      <c r="F160" s="171"/>
      <c r="G160" s="171" t="s">
        <v>186</v>
      </c>
      <c r="H160" s="171"/>
      <c r="I160" s="171"/>
      <c r="J160" s="176">
        <f>ROUND(SUM(J154:J155)+J159,5)</f>
        <v>85797</v>
      </c>
    </row>
    <row r="161" spans="1:10" x14ac:dyDescent="0.25">
      <c r="A161" s="171"/>
      <c r="B161" s="171"/>
      <c r="C161" s="171"/>
      <c r="D161" s="171"/>
      <c r="E161" s="171"/>
      <c r="F161" s="171"/>
      <c r="G161" s="171" t="s">
        <v>187</v>
      </c>
      <c r="H161" s="171"/>
      <c r="I161" s="171"/>
      <c r="J161" s="176"/>
    </row>
    <row r="162" spans="1:10" x14ac:dyDescent="0.25">
      <c r="A162" s="171"/>
      <c r="B162" s="171"/>
      <c r="C162" s="171"/>
      <c r="D162" s="171"/>
      <c r="E162" s="171"/>
      <c r="F162" s="171"/>
      <c r="G162" s="171"/>
      <c r="H162" s="171" t="s">
        <v>556</v>
      </c>
      <c r="I162" s="171"/>
      <c r="J162" s="176">
        <v>2815</v>
      </c>
    </row>
    <row r="163" spans="1:10" ht="15.75" thickBot="1" x14ac:dyDescent="0.3">
      <c r="A163" s="171"/>
      <c r="B163" s="171"/>
      <c r="C163" s="171"/>
      <c r="D163" s="171"/>
      <c r="E163" s="171"/>
      <c r="F163" s="171"/>
      <c r="G163" s="171"/>
      <c r="H163" s="171" t="s">
        <v>209</v>
      </c>
      <c r="I163" s="171"/>
      <c r="J163" s="8">
        <v>45000</v>
      </c>
    </row>
    <row r="164" spans="1:10" ht="15.75" thickBot="1" x14ac:dyDescent="0.3">
      <c r="A164" s="171"/>
      <c r="B164" s="171"/>
      <c r="C164" s="171"/>
      <c r="D164" s="171"/>
      <c r="E164" s="171"/>
      <c r="F164" s="171"/>
      <c r="G164" s="171" t="s">
        <v>188</v>
      </c>
      <c r="H164" s="171"/>
      <c r="I164" s="171"/>
      <c r="J164" s="10">
        <f>ROUND(SUM(J161:J163),5)</f>
        <v>47815</v>
      </c>
    </row>
    <row r="165" spans="1:10" x14ac:dyDescent="0.25">
      <c r="A165" s="171"/>
      <c r="B165" s="171"/>
      <c r="C165" s="171"/>
      <c r="D165" s="171"/>
      <c r="E165" s="171"/>
      <c r="F165" s="171"/>
      <c r="G165" s="171"/>
      <c r="H165" s="171"/>
      <c r="I165" s="171"/>
      <c r="J165" s="8"/>
    </row>
    <row r="166" spans="1:10" x14ac:dyDescent="0.25">
      <c r="A166" s="171"/>
      <c r="B166" s="171"/>
      <c r="C166" s="171"/>
      <c r="D166" s="171"/>
      <c r="E166" s="171"/>
      <c r="F166" s="171"/>
      <c r="G166" s="171" t="s">
        <v>207</v>
      </c>
      <c r="H166" s="171"/>
      <c r="I166" s="171"/>
      <c r="J166" s="8"/>
    </row>
    <row r="167" spans="1:10" x14ac:dyDescent="0.25">
      <c r="A167" s="171"/>
      <c r="B167" s="171"/>
      <c r="C167" s="171"/>
      <c r="D167" s="171"/>
      <c r="E167" s="171"/>
      <c r="F167" s="171"/>
      <c r="G167" s="171"/>
      <c r="H167" s="171" t="s">
        <v>211</v>
      </c>
      <c r="I167" s="171"/>
      <c r="J167" s="8">
        <v>50000</v>
      </c>
    </row>
    <row r="168" spans="1:10" x14ac:dyDescent="0.25">
      <c r="A168" s="171"/>
      <c r="B168" s="171"/>
      <c r="C168" s="171"/>
      <c r="D168" s="171"/>
      <c r="E168" s="171"/>
      <c r="F168" s="171"/>
      <c r="G168" s="171"/>
      <c r="H168" s="171" t="s">
        <v>554</v>
      </c>
      <c r="I168" s="213"/>
      <c r="J168" s="237">
        <v>4800</v>
      </c>
    </row>
    <row r="169" spans="1:10" x14ac:dyDescent="0.25">
      <c r="A169" s="171"/>
      <c r="B169" s="171"/>
      <c r="C169" s="171"/>
      <c r="D169" s="171"/>
      <c r="E169" s="171"/>
      <c r="F169" s="171"/>
      <c r="G169" s="171"/>
      <c r="H169" s="171" t="s">
        <v>555</v>
      </c>
      <c r="I169" s="171"/>
      <c r="J169" s="8">
        <v>1200</v>
      </c>
    </row>
    <row r="170" spans="1:10" ht="15.75" thickBot="1" x14ac:dyDescent="0.3">
      <c r="A170" s="171"/>
      <c r="B170" s="171"/>
      <c r="C170" s="171"/>
      <c r="D170" s="171"/>
      <c r="E170" s="171"/>
      <c r="F170" s="171"/>
      <c r="G170" s="171"/>
      <c r="H170" s="171" t="s">
        <v>648</v>
      </c>
      <c r="I170" s="171"/>
      <c r="J170" s="220">
        <v>3666.67</v>
      </c>
    </row>
    <row r="171" spans="1:10" x14ac:dyDescent="0.25">
      <c r="A171" s="171"/>
      <c r="B171" s="171"/>
      <c r="C171" s="171"/>
      <c r="D171" s="171"/>
      <c r="E171" s="171"/>
      <c r="F171" s="171"/>
      <c r="G171" s="171" t="s">
        <v>208</v>
      </c>
      <c r="H171" s="171"/>
      <c r="I171" s="171"/>
      <c r="J171" s="8">
        <f>SUM(J167:J170)</f>
        <v>59666.67</v>
      </c>
    </row>
    <row r="172" spans="1:10" x14ac:dyDescent="0.25">
      <c r="A172" s="171"/>
      <c r="B172" s="171"/>
      <c r="C172" s="171"/>
      <c r="D172" s="171"/>
      <c r="E172" s="171"/>
      <c r="F172" s="171"/>
      <c r="G172" s="171"/>
      <c r="H172" s="171"/>
      <c r="I172" s="171"/>
      <c r="J172" s="8"/>
    </row>
    <row r="173" spans="1:10" x14ac:dyDescent="0.25">
      <c r="A173" s="171"/>
      <c r="B173" s="171"/>
      <c r="C173" s="171"/>
      <c r="D173" s="171"/>
      <c r="E173" s="171"/>
      <c r="F173" s="171" t="s">
        <v>210</v>
      </c>
      <c r="G173" s="171"/>
      <c r="H173" s="171"/>
      <c r="I173" s="171"/>
      <c r="J173" s="176">
        <f>ROUND(J153+J160+J164+J171,5)</f>
        <v>193278.67</v>
      </c>
    </row>
    <row r="174" spans="1:10" x14ac:dyDescent="0.25">
      <c r="A174" s="171"/>
      <c r="B174" s="171"/>
      <c r="C174" s="171"/>
      <c r="D174" s="171"/>
      <c r="E174" s="171"/>
      <c r="F174" s="171" t="s">
        <v>465</v>
      </c>
      <c r="G174" s="171"/>
      <c r="H174" s="171"/>
      <c r="I174" s="171"/>
      <c r="J174" s="176"/>
    </row>
    <row r="175" spans="1:10" x14ac:dyDescent="0.25">
      <c r="A175" s="171"/>
      <c r="B175" s="171"/>
      <c r="C175" s="171"/>
      <c r="D175" s="171"/>
      <c r="E175" s="171"/>
      <c r="F175" s="171"/>
      <c r="G175" s="171" t="s">
        <v>673</v>
      </c>
      <c r="H175" s="171"/>
      <c r="I175" s="171"/>
      <c r="J175" s="176">
        <v>17500</v>
      </c>
    </row>
    <row r="176" spans="1:10" x14ac:dyDescent="0.25">
      <c r="A176" s="171"/>
      <c r="B176" s="171"/>
      <c r="C176" s="171"/>
      <c r="D176" s="171"/>
      <c r="E176" s="171"/>
      <c r="F176" s="171"/>
      <c r="G176" s="171" t="s">
        <v>557</v>
      </c>
      <c r="H176" s="171"/>
      <c r="I176" s="171"/>
      <c r="J176" s="176">
        <v>182371.67</v>
      </c>
    </row>
    <row r="177" spans="1:15" ht="15.75" thickBot="1" x14ac:dyDescent="0.3">
      <c r="A177" s="171"/>
      <c r="B177" s="171"/>
      <c r="C177" s="171"/>
      <c r="D177" s="171"/>
      <c r="E177" s="171"/>
      <c r="F177" s="171"/>
      <c r="G177" s="171" t="s">
        <v>466</v>
      </c>
      <c r="H177" s="171"/>
      <c r="I177" s="171"/>
      <c r="J177" s="220">
        <v>58140</v>
      </c>
    </row>
    <row r="178" spans="1:15" x14ac:dyDescent="0.25">
      <c r="A178" s="171"/>
      <c r="B178" s="171"/>
      <c r="C178" s="171"/>
      <c r="D178" s="171"/>
      <c r="E178" s="171"/>
      <c r="F178" s="171" t="s">
        <v>467</v>
      </c>
      <c r="G178" s="171"/>
      <c r="H178" s="171"/>
      <c r="I178" s="171"/>
      <c r="J178" s="176">
        <f>ROUND(SUM(J174:J177),5)</f>
        <v>258011.67</v>
      </c>
    </row>
    <row r="179" spans="1:15" x14ac:dyDescent="0.25">
      <c r="A179" s="171"/>
      <c r="B179" s="171"/>
      <c r="C179" s="171"/>
      <c r="D179" s="171"/>
      <c r="E179" s="171"/>
      <c r="F179" s="171" t="s">
        <v>674</v>
      </c>
      <c r="G179" s="171"/>
      <c r="H179" s="171"/>
      <c r="I179" s="171"/>
      <c r="J179" s="176"/>
    </row>
    <row r="180" spans="1:15" ht="15.75" thickBot="1" x14ac:dyDescent="0.3">
      <c r="A180" s="171"/>
      <c r="B180" s="171"/>
      <c r="C180" s="171"/>
      <c r="D180" s="171"/>
      <c r="E180" s="171"/>
      <c r="F180" s="171"/>
      <c r="G180" s="171" t="s">
        <v>675</v>
      </c>
      <c r="H180" s="171"/>
      <c r="I180" s="171"/>
      <c r="J180" s="220">
        <v>12500</v>
      </c>
    </row>
    <row r="181" spans="1:15" x14ac:dyDescent="0.25">
      <c r="A181" s="171"/>
      <c r="B181" s="171"/>
      <c r="C181" s="171"/>
      <c r="D181" s="171"/>
      <c r="E181" s="171"/>
      <c r="F181" s="171" t="s">
        <v>676</v>
      </c>
      <c r="G181" s="171"/>
      <c r="H181" s="171"/>
      <c r="I181" s="171"/>
      <c r="J181" s="176">
        <f>ROUND(SUM(J179:J180),5)</f>
        <v>12500</v>
      </c>
    </row>
    <row r="182" spans="1:15" x14ac:dyDescent="0.25">
      <c r="A182" s="171"/>
      <c r="B182" s="171"/>
      <c r="C182" s="171"/>
      <c r="D182" s="171"/>
      <c r="E182" s="171"/>
      <c r="F182" s="171" t="s">
        <v>139</v>
      </c>
      <c r="G182" s="171"/>
      <c r="H182" s="171"/>
      <c r="I182" s="171"/>
      <c r="J182" s="176"/>
    </row>
    <row r="183" spans="1:15" x14ac:dyDescent="0.25">
      <c r="A183" s="171"/>
      <c r="B183" s="171"/>
      <c r="C183" s="171"/>
      <c r="D183" s="171"/>
      <c r="E183" s="171"/>
      <c r="F183" s="171"/>
      <c r="G183" s="171" t="s">
        <v>468</v>
      </c>
      <c r="H183" s="171"/>
      <c r="I183" s="171"/>
      <c r="J183" s="176"/>
    </row>
    <row r="184" spans="1:15" x14ac:dyDescent="0.25">
      <c r="A184" s="171"/>
      <c r="B184" s="171"/>
      <c r="C184" s="171"/>
      <c r="D184" s="171"/>
      <c r="E184" s="171"/>
      <c r="F184" s="171"/>
      <c r="G184" s="171"/>
      <c r="H184" s="171" t="s">
        <v>649</v>
      </c>
      <c r="I184" s="213"/>
      <c r="J184" s="231">
        <v>24000</v>
      </c>
    </row>
    <row r="185" spans="1:15" x14ac:dyDescent="0.25">
      <c r="A185" s="171"/>
      <c r="B185" s="171"/>
      <c r="C185" s="171"/>
      <c r="D185" s="171"/>
      <c r="E185" s="171"/>
      <c r="F185" s="171"/>
      <c r="G185" s="171"/>
      <c r="H185" s="171" t="s">
        <v>650</v>
      </c>
      <c r="I185" s="171"/>
      <c r="J185" s="176">
        <v>6000</v>
      </c>
    </row>
    <row r="186" spans="1:15" x14ac:dyDescent="0.25">
      <c r="A186" s="171"/>
      <c r="B186" s="171"/>
      <c r="C186" s="171"/>
      <c r="D186" s="171"/>
      <c r="E186" s="171"/>
      <c r="F186" s="171"/>
      <c r="G186" s="171"/>
      <c r="H186" s="171" t="s">
        <v>140</v>
      </c>
      <c r="I186" s="171"/>
      <c r="J186" s="176">
        <v>350000</v>
      </c>
    </row>
    <row r="187" spans="1:15" ht="15.75" thickBot="1" x14ac:dyDescent="0.3">
      <c r="A187" s="171"/>
      <c r="B187" s="171"/>
      <c r="C187" s="171"/>
      <c r="D187" s="171"/>
      <c r="E187" s="171"/>
      <c r="F187" s="171"/>
      <c r="G187" s="171"/>
      <c r="H187" s="171" t="s">
        <v>573</v>
      </c>
      <c r="I187" s="171"/>
      <c r="J187" s="220">
        <v>32083.33</v>
      </c>
    </row>
    <row r="188" spans="1:15" x14ac:dyDescent="0.25">
      <c r="A188" s="171"/>
      <c r="B188" s="171"/>
      <c r="C188" s="171"/>
      <c r="D188" s="171"/>
      <c r="E188" s="171"/>
      <c r="F188" s="171"/>
      <c r="G188" s="171" t="s">
        <v>469</v>
      </c>
      <c r="H188" s="171"/>
      <c r="I188" s="171"/>
      <c r="J188" s="176">
        <f>SUM(J184:J187)</f>
        <v>412083.33</v>
      </c>
      <c r="O188" s="170"/>
    </row>
    <row r="189" spans="1:15" x14ac:dyDescent="0.25">
      <c r="A189" s="171"/>
      <c r="B189" s="171"/>
      <c r="C189" s="171"/>
      <c r="D189" s="171"/>
      <c r="E189" s="171"/>
      <c r="F189" s="171"/>
      <c r="G189" s="171" t="s">
        <v>141</v>
      </c>
      <c r="H189" s="171"/>
      <c r="I189" s="171"/>
      <c r="J189" s="176"/>
    </row>
    <row r="190" spans="1:15" x14ac:dyDescent="0.25">
      <c r="A190" s="171"/>
      <c r="B190" s="171"/>
      <c r="C190" s="171"/>
      <c r="D190" s="171"/>
      <c r="E190" s="171"/>
      <c r="F190" s="171"/>
      <c r="G190" s="171"/>
      <c r="H190" s="171" t="s">
        <v>142</v>
      </c>
      <c r="I190" s="171"/>
      <c r="J190" s="176">
        <v>14000</v>
      </c>
    </row>
    <row r="191" spans="1:15" x14ac:dyDescent="0.25">
      <c r="A191" s="171"/>
      <c r="B191" s="171"/>
      <c r="C191" s="171"/>
      <c r="D191" s="171"/>
      <c r="E191" s="171"/>
      <c r="F191" s="171"/>
      <c r="G191" s="171"/>
      <c r="H191" s="171" t="s">
        <v>143</v>
      </c>
      <c r="I191" s="171"/>
      <c r="J191" s="176"/>
    </row>
    <row r="192" spans="1:15" x14ac:dyDescent="0.25">
      <c r="A192" s="171"/>
      <c r="B192" s="171"/>
      <c r="C192" s="171"/>
      <c r="D192" s="171"/>
      <c r="E192" s="171"/>
      <c r="F192" s="171"/>
      <c r="G192" s="171"/>
      <c r="H192" s="171" t="s">
        <v>579</v>
      </c>
      <c r="I192" s="171"/>
      <c r="J192" s="176">
        <v>7772.38</v>
      </c>
    </row>
    <row r="193" spans="1:10" x14ac:dyDescent="0.25">
      <c r="A193" s="171"/>
      <c r="B193" s="171"/>
      <c r="C193" s="171"/>
      <c r="D193" s="171"/>
      <c r="E193" s="171"/>
      <c r="F193" s="171"/>
      <c r="G193" s="171"/>
      <c r="H193" s="171" t="s">
        <v>580</v>
      </c>
      <c r="I193" s="171"/>
      <c r="J193" s="176">
        <v>57765.33</v>
      </c>
    </row>
    <row r="194" spans="1:10" x14ac:dyDescent="0.25">
      <c r="A194" s="171"/>
      <c r="B194" s="171"/>
      <c r="C194" s="171"/>
      <c r="D194" s="171"/>
      <c r="E194" s="171"/>
      <c r="F194" s="171"/>
      <c r="G194" s="171"/>
      <c r="H194" s="171" t="s">
        <v>144</v>
      </c>
      <c r="I194" s="171"/>
      <c r="J194" s="176"/>
    </row>
    <row r="195" spans="1:10" x14ac:dyDescent="0.25">
      <c r="A195" s="171"/>
      <c r="B195" s="171"/>
      <c r="C195" s="171"/>
      <c r="D195" s="171"/>
      <c r="E195" s="171"/>
      <c r="F195" s="171"/>
      <c r="G195" s="171"/>
      <c r="H195" s="171" t="s">
        <v>145</v>
      </c>
      <c r="I195" s="171"/>
      <c r="J195" s="176"/>
    </row>
    <row r="196" spans="1:10" x14ac:dyDescent="0.25">
      <c r="A196" s="171"/>
      <c r="B196" s="171"/>
      <c r="C196" s="171"/>
      <c r="D196" s="171"/>
      <c r="E196" s="171"/>
      <c r="F196" s="171"/>
      <c r="G196" s="171"/>
      <c r="H196" s="171" t="s">
        <v>146</v>
      </c>
      <c r="I196" s="171"/>
      <c r="J196" s="176">
        <v>310</v>
      </c>
    </row>
    <row r="197" spans="1:10" ht="15.75" thickBot="1" x14ac:dyDescent="0.3">
      <c r="A197" s="171"/>
      <c r="B197" s="171"/>
      <c r="C197" s="171"/>
      <c r="D197" s="171"/>
      <c r="E197" s="171"/>
      <c r="F197" s="171"/>
      <c r="G197" s="171"/>
      <c r="H197" s="171" t="s">
        <v>147</v>
      </c>
      <c r="I197" s="171"/>
      <c r="J197" s="220"/>
    </row>
    <row r="198" spans="1:10" x14ac:dyDescent="0.25">
      <c r="A198" s="171"/>
      <c r="B198" s="171"/>
      <c r="C198" s="171"/>
      <c r="D198" s="171"/>
      <c r="E198" s="171"/>
      <c r="F198" s="171"/>
      <c r="G198" s="171" t="s">
        <v>148</v>
      </c>
      <c r="H198" s="171"/>
      <c r="I198" s="171"/>
      <c r="J198" s="176">
        <f>ROUND(SUM(J189:J197),5)</f>
        <v>79847.710000000006</v>
      </c>
    </row>
    <row r="199" spans="1:10" x14ac:dyDescent="0.25">
      <c r="A199" s="171"/>
      <c r="B199" s="171"/>
      <c r="C199" s="171"/>
      <c r="D199" s="171"/>
      <c r="E199" s="171"/>
      <c r="F199" s="171"/>
      <c r="G199" s="171" t="s">
        <v>149</v>
      </c>
      <c r="H199" s="171"/>
      <c r="I199" s="171"/>
      <c r="J199" s="176"/>
    </row>
    <row r="200" spans="1:10" x14ac:dyDescent="0.25">
      <c r="A200" s="171"/>
      <c r="B200" s="171"/>
      <c r="C200" s="171"/>
      <c r="D200" s="171"/>
      <c r="E200" s="171"/>
      <c r="F200" s="171"/>
      <c r="G200" s="171"/>
      <c r="H200" s="171" t="s">
        <v>584</v>
      </c>
      <c r="I200" s="171"/>
      <c r="J200" s="176"/>
    </row>
    <row r="201" spans="1:10" x14ac:dyDescent="0.25">
      <c r="A201" s="171"/>
      <c r="B201" s="171"/>
      <c r="C201" s="171"/>
      <c r="D201" s="171"/>
      <c r="E201" s="171"/>
      <c r="F201" s="171"/>
      <c r="G201" s="171"/>
      <c r="H201" s="171" t="s">
        <v>150</v>
      </c>
      <c r="I201" s="171"/>
      <c r="J201" s="176"/>
    </row>
    <row r="202" spans="1:10" x14ac:dyDescent="0.25">
      <c r="A202" s="171"/>
      <c r="B202" s="171"/>
      <c r="C202" s="171"/>
      <c r="D202" s="171"/>
      <c r="E202" s="171"/>
      <c r="F202" s="171"/>
      <c r="G202" s="171"/>
      <c r="H202" s="171" t="s">
        <v>151</v>
      </c>
      <c r="I202" s="171"/>
      <c r="J202" s="176"/>
    </row>
    <row r="203" spans="1:10" x14ac:dyDescent="0.25">
      <c r="A203" s="171"/>
      <c r="B203" s="171"/>
      <c r="C203" s="171"/>
      <c r="D203" s="171"/>
      <c r="E203" s="171"/>
      <c r="F203" s="171"/>
      <c r="G203" s="171"/>
      <c r="H203" s="171" t="s">
        <v>152</v>
      </c>
      <c r="I203" s="171"/>
      <c r="J203" s="176"/>
    </row>
    <row r="204" spans="1:10" x14ac:dyDescent="0.25">
      <c r="A204" s="171"/>
      <c r="B204" s="171"/>
      <c r="C204" s="171"/>
      <c r="D204" s="171"/>
      <c r="E204" s="171"/>
      <c r="F204" s="171"/>
      <c r="G204" s="171"/>
      <c r="H204" s="171" t="s">
        <v>471</v>
      </c>
      <c r="I204" s="171"/>
      <c r="J204" s="176"/>
    </row>
    <row r="205" spans="1:10" x14ac:dyDescent="0.25">
      <c r="A205" s="171"/>
      <c r="B205" s="171"/>
      <c r="C205" s="171"/>
      <c r="D205" s="171"/>
      <c r="E205" s="171"/>
      <c r="F205" s="171"/>
      <c r="G205" s="171"/>
      <c r="H205" s="171" t="s">
        <v>472</v>
      </c>
      <c r="I205" s="171"/>
      <c r="J205" s="176"/>
    </row>
    <row r="206" spans="1:10" ht="15.75" thickBot="1" x14ac:dyDescent="0.3">
      <c r="A206" s="171"/>
      <c r="B206" s="171"/>
      <c r="C206" s="171"/>
      <c r="D206" s="171"/>
      <c r="E206" s="171"/>
      <c r="F206" s="171"/>
      <c r="G206" s="171"/>
      <c r="H206" s="171" t="s">
        <v>585</v>
      </c>
      <c r="I206" s="171"/>
      <c r="J206" s="220"/>
    </row>
    <row r="207" spans="1:10" x14ac:dyDescent="0.25">
      <c r="A207" s="171"/>
      <c r="B207" s="171"/>
      <c r="C207" s="171"/>
      <c r="D207" s="171"/>
      <c r="E207" s="171"/>
      <c r="F207" s="171"/>
      <c r="G207" s="171" t="s">
        <v>153</v>
      </c>
      <c r="H207" s="171"/>
      <c r="I207" s="171"/>
      <c r="J207" s="176">
        <f>ROUND(SUM(J199:J206),5)</f>
        <v>0</v>
      </c>
    </row>
    <row r="208" spans="1:10" x14ac:dyDescent="0.25">
      <c r="A208" s="171"/>
      <c r="B208" s="171"/>
      <c r="C208" s="171"/>
      <c r="D208" s="171"/>
      <c r="E208" s="171"/>
      <c r="F208" s="171"/>
      <c r="G208" s="171" t="s">
        <v>154</v>
      </c>
      <c r="H208" s="171"/>
      <c r="I208" s="171"/>
      <c r="J208" s="176"/>
    </row>
    <row r="209" spans="1:10" x14ac:dyDescent="0.25">
      <c r="A209" s="171"/>
      <c r="B209" s="171"/>
      <c r="C209" s="171"/>
      <c r="D209" s="171"/>
      <c r="E209" s="171"/>
      <c r="F209" s="171"/>
      <c r="G209" s="171"/>
      <c r="H209" s="171" t="s">
        <v>155</v>
      </c>
      <c r="I209" s="171"/>
      <c r="J209" s="176"/>
    </row>
    <row r="210" spans="1:10" x14ac:dyDescent="0.25">
      <c r="A210" s="171"/>
      <c r="B210" s="171"/>
      <c r="C210" s="171"/>
      <c r="D210" s="171"/>
      <c r="E210" s="171"/>
      <c r="F210" s="171"/>
      <c r="G210" s="171"/>
      <c r="H210" s="171" t="s">
        <v>156</v>
      </c>
      <c r="I210" s="171"/>
      <c r="J210" s="176"/>
    </row>
    <row r="211" spans="1:10" x14ac:dyDescent="0.25">
      <c r="A211" s="171"/>
      <c r="B211" s="171"/>
      <c r="C211" s="171"/>
      <c r="D211" s="171"/>
      <c r="E211" s="171"/>
      <c r="F211" s="171"/>
      <c r="G211" s="171"/>
      <c r="H211" s="171" t="s">
        <v>157</v>
      </c>
      <c r="I211" s="171"/>
      <c r="J211" s="176"/>
    </row>
    <row r="212" spans="1:10" x14ac:dyDescent="0.25">
      <c r="A212" s="171"/>
      <c r="B212" s="171"/>
      <c r="C212" s="171"/>
      <c r="D212" s="171"/>
      <c r="E212" s="171"/>
      <c r="F212" s="171"/>
      <c r="G212" s="171"/>
      <c r="H212" s="171" t="s">
        <v>158</v>
      </c>
      <c r="I212" s="171"/>
      <c r="J212" s="176"/>
    </row>
    <row r="213" spans="1:10" ht="15.75" thickBot="1" x14ac:dyDescent="0.3">
      <c r="A213" s="171"/>
      <c r="B213" s="171"/>
      <c r="C213" s="171"/>
      <c r="D213" s="171"/>
      <c r="E213" s="171"/>
      <c r="F213" s="171"/>
      <c r="G213" s="171"/>
      <c r="H213" s="171" t="s">
        <v>587</v>
      </c>
      <c r="I213" s="171"/>
      <c r="J213" s="220"/>
    </row>
    <row r="214" spans="1:10" x14ac:dyDescent="0.25">
      <c r="A214" s="171"/>
      <c r="B214" s="171"/>
      <c r="C214" s="171"/>
      <c r="D214" s="171"/>
      <c r="E214" s="171"/>
      <c r="F214" s="171"/>
      <c r="G214" s="171" t="s">
        <v>159</v>
      </c>
      <c r="H214" s="171"/>
      <c r="I214" s="171"/>
      <c r="J214" s="176">
        <f>ROUND(SUM(J208:J213),5)</f>
        <v>0</v>
      </c>
    </row>
    <row r="215" spans="1:10" x14ac:dyDescent="0.25">
      <c r="A215" s="171"/>
      <c r="B215" s="171"/>
      <c r="C215" s="171"/>
      <c r="D215" s="171"/>
      <c r="E215" s="171"/>
      <c r="F215" s="171"/>
      <c r="G215" s="171" t="s">
        <v>160</v>
      </c>
      <c r="H215" s="171"/>
      <c r="I215" s="171"/>
      <c r="J215" s="176"/>
    </row>
    <row r="216" spans="1:10" x14ac:dyDescent="0.25">
      <c r="A216" s="171"/>
      <c r="B216" s="171"/>
      <c r="C216" s="171"/>
      <c r="D216" s="171"/>
      <c r="E216" s="171"/>
      <c r="F216" s="171"/>
      <c r="G216" s="171"/>
      <c r="H216" s="171" t="s">
        <v>161</v>
      </c>
      <c r="I216" s="171"/>
      <c r="J216" s="176">
        <v>5000</v>
      </c>
    </row>
    <row r="217" spans="1:10" x14ac:dyDescent="0.25">
      <c r="A217" s="171"/>
      <c r="B217" s="171"/>
      <c r="C217" s="171"/>
      <c r="D217" s="171"/>
      <c r="E217" s="171"/>
      <c r="F217" s="171"/>
      <c r="G217" s="171"/>
      <c r="H217" s="171" t="s">
        <v>162</v>
      </c>
      <c r="I217" s="171"/>
      <c r="J217" s="176">
        <v>65097</v>
      </c>
    </row>
    <row r="218" spans="1:10" ht="15.75" thickBot="1" x14ac:dyDescent="0.3">
      <c r="A218" s="171"/>
      <c r="B218" s="171"/>
      <c r="C218" s="171"/>
      <c r="D218" s="171"/>
      <c r="E218" s="171"/>
      <c r="F218" s="171"/>
      <c r="G218" s="171"/>
      <c r="H218" s="171" t="s">
        <v>733</v>
      </c>
      <c r="I218" s="171"/>
      <c r="J218" s="220">
        <v>9960</v>
      </c>
    </row>
    <row r="219" spans="1:10" x14ac:dyDescent="0.25">
      <c r="A219" s="171"/>
      <c r="B219" s="171"/>
      <c r="C219" s="171"/>
      <c r="D219" s="171"/>
      <c r="E219" s="171"/>
      <c r="F219" s="171"/>
      <c r="G219" s="171" t="s">
        <v>163</v>
      </c>
      <c r="H219" s="171"/>
      <c r="I219" s="171"/>
      <c r="J219" s="176">
        <f>ROUND(SUM(J215:J218),5)</f>
        <v>80057</v>
      </c>
    </row>
    <row r="220" spans="1:10" x14ac:dyDescent="0.25">
      <c r="A220" s="171"/>
      <c r="B220" s="171"/>
      <c r="C220" s="171"/>
      <c r="D220" s="171"/>
      <c r="E220" s="171"/>
      <c r="F220" s="171"/>
      <c r="G220" s="171" t="s">
        <v>164</v>
      </c>
      <c r="H220" s="171"/>
      <c r="I220" s="171"/>
      <c r="J220" s="176"/>
    </row>
    <row r="221" spans="1:10" ht="15.75" thickBot="1" x14ac:dyDescent="0.3">
      <c r="A221" s="171"/>
      <c r="B221" s="171"/>
      <c r="C221" s="171"/>
      <c r="D221" s="171"/>
      <c r="E221" s="171"/>
      <c r="F221" s="171"/>
      <c r="G221" s="171"/>
      <c r="H221" s="171" t="s">
        <v>165</v>
      </c>
      <c r="I221" s="171"/>
      <c r="J221" s="220">
        <v>1000</v>
      </c>
    </row>
    <row r="222" spans="1:10" x14ac:dyDescent="0.25">
      <c r="A222" s="171"/>
      <c r="B222" s="171"/>
      <c r="C222" s="171"/>
      <c r="D222" s="171"/>
      <c r="E222" s="171"/>
      <c r="F222" s="171"/>
      <c r="G222" s="171" t="s">
        <v>166</v>
      </c>
      <c r="H222" s="171"/>
      <c r="I222" s="171"/>
      <c r="J222" s="176">
        <f>ROUND(SUM(J220:J221),5)</f>
        <v>1000</v>
      </c>
    </row>
    <row r="223" spans="1:10" x14ac:dyDescent="0.25">
      <c r="A223" s="171"/>
      <c r="B223" s="171"/>
      <c r="C223" s="171"/>
      <c r="D223" s="171"/>
      <c r="E223" s="171"/>
      <c r="F223" s="171"/>
      <c r="G223" s="171" t="s">
        <v>167</v>
      </c>
      <c r="H223" s="171"/>
      <c r="I223" s="171"/>
      <c r="J223" s="176"/>
    </row>
    <row r="224" spans="1:10" x14ac:dyDescent="0.25">
      <c r="A224" s="171"/>
      <c r="B224" s="171"/>
      <c r="C224" s="171"/>
      <c r="D224" s="171"/>
      <c r="E224" s="171"/>
      <c r="F224" s="171"/>
      <c r="G224" s="171"/>
      <c r="H224" s="171" t="s">
        <v>168</v>
      </c>
      <c r="I224" s="171"/>
      <c r="J224" s="176">
        <v>11021.59</v>
      </c>
    </row>
    <row r="225" spans="1:12" x14ac:dyDescent="0.25">
      <c r="A225" s="171"/>
      <c r="B225" s="171"/>
      <c r="C225" s="171"/>
      <c r="D225" s="171"/>
      <c r="E225" s="171"/>
      <c r="F225" s="171"/>
      <c r="G225" s="171"/>
      <c r="H225" s="171" t="s">
        <v>473</v>
      </c>
      <c r="I225" s="171"/>
      <c r="J225" s="176">
        <v>54154.42</v>
      </c>
    </row>
    <row r="226" spans="1:12" x14ac:dyDescent="0.25">
      <c r="A226" s="171"/>
      <c r="B226" s="171"/>
      <c r="C226" s="171"/>
      <c r="D226" s="171"/>
      <c r="E226" s="171"/>
      <c r="F226" s="171"/>
      <c r="G226" s="171"/>
      <c r="H226" s="171" t="s">
        <v>169</v>
      </c>
      <c r="I226" s="171"/>
      <c r="J226" s="176">
        <v>825884.12</v>
      </c>
    </row>
    <row r="227" spans="1:12" x14ac:dyDescent="0.25">
      <c r="A227" s="171"/>
      <c r="B227" s="171"/>
      <c r="C227" s="171"/>
      <c r="D227" s="171"/>
      <c r="E227" s="171"/>
      <c r="F227" s="171"/>
      <c r="G227" s="171"/>
      <c r="H227" s="171" t="s">
        <v>490</v>
      </c>
      <c r="I227" s="171"/>
      <c r="J227" s="176">
        <v>6576.14</v>
      </c>
    </row>
    <row r="228" spans="1:12" x14ac:dyDescent="0.25">
      <c r="A228" s="171"/>
      <c r="B228" s="171"/>
      <c r="C228" s="171"/>
      <c r="D228" s="171"/>
      <c r="E228" s="171"/>
      <c r="F228" s="171"/>
      <c r="G228" s="171"/>
      <c r="H228" s="171" t="s">
        <v>694</v>
      </c>
      <c r="I228" s="171"/>
      <c r="J228" s="176">
        <v>15000</v>
      </c>
    </row>
    <row r="229" spans="1:12" ht="15.75" thickBot="1" x14ac:dyDescent="0.3">
      <c r="A229" s="171"/>
      <c r="B229" s="171"/>
      <c r="C229" s="171"/>
      <c r="D229" s="171"/>
      <c r="E229" s="171"/>
      <c r="F229" s="171"/>
      <c r="G229" s="171"/>
      <c r="H229" s="171" t="s">
        <v>171</v>
      </c>
      <c r="I229" s="171"/>
      <c r="J229" s="220">
        <v>44031</v>
      </c>
    </row>
    <row r="230" spans="1:12" x14ac:dyDescent="0.25">
      <c r="A230" s="171"/>
      <c r="B230" s="171"/>
      <c r="C230" s="171"/>
      <c r="D230" s="171"/>
      <c r="E230" s="171"/>
      <c r="F230" s="171"/>
      <c r="G230" s="171" t="s">
        <v>172</v>
      </c>
      <c r="H230" s="171"/>
      <c r="I230" s="171"/>
      <c r="J230" s="176">
        <f>ROUND(SUM(J223:J229),5)</f>
        <v>956667.27</v>
      </c>
    </row>
    <row r="231" spans="1:12" ht="15.75" thickBot="1" x14ac:dyDescent="0.3">
      <c r="A231" s="171"/>
      <c r="B231" s="171"/>
      <c r="C231" s="171"/>
      <c r="D231" s="171"/>
      <c r="E231" s="171"/>
      <c r="F231" s="171"/>
      <c r="G231" s="171" t="s">
        <v>734</v>
      </c>
      <c r="H231" s="171"/>
      <c r="I231" s="171"/>
      <c r="J231" s="8">
        <v>3020</v>
      </c>
    </row>
    <row r="232" spans="1:12" ht="15.75" thickBot="1" x14ac:dyDescent="0.3">
      <c r="A232" s="171"/>
      <c r="B232" s="171"/>
      <c r="C232" s="171"/>
      <c r="D232" s="171"/>
      <c r="E232" s="171"/>
      <c r="F232" s="171" t="s">
        <v>173</v>
      </c>
      <c r="G232" s="171"/>
      <c r="H232" s="171"/>
      <c r="I232" s="171"/>
      <c r="J232" s="11">
        <f>ROUND(J188+J182+J198+J207+J214+J219+J222+SUM(J230:J231),5)</f>
        <v>1532675.31</v>
      </c>
      <c r="L232" s="222"/>
    </row>
    <row r="233" spans="1:12" ht="15.75" thickBot="1" x14ac:dyDescent="0.3">
      <c r="A233" s="171"/>
      <c r="B233" s="171"/>
      <c r="C233" s="171"/>
      <c r="D233" s="171"/>
      <c r="E233" s="171" t="s">
        <v>174</v>
      </c>
      <c r="F233" s="171"/>
      <c r="G233" s="171"/>
      <c r="H233" s="171"/>
      <c r="I233" s="171"/>
      <c r="J233" s="11">
        <f>ROUND(J50+J101+J140+J152+J173+J178+J181+J232,5)</f>
        <v>4007174.59</v>
      </c>
    </row>
    <row r="234" spans="1:12" ht="15.75" thickBot="1" x14ac:dyDescent="0.3">
      <c r="A234" s="171"/>
      <c r="B234" s="171"/>
      <c r="C234" s="171"/>
      <c r="D234" s="171" t="s">
        <v>175</v>
      </c>
      <c r="E234" s="171"/>
      <c r="F234" s="171"/>
      <c r="G234" s="171"/>
      <c r="H234" s="171"/>
      <c r="I234" s="171"/>
      <c r="J234" s="10">
        <f>ROUND(J49+J233,5)</f>
        <v>4007174.59</v>
      </c>
    </row>
    <row r="235" spans="1:12" x14ac:dyDescent="0.25">
      <c r="A235" s="171"/>
      <c r="B235" s="171" t="s">
        <v>176</v>
      </c>
      <c r="C235" s="171"/>
      <c r="D235" s="171"/>
      <c r="E235" s="171"/>
      <c r="F235" s="171"/>
      <c r="G235" s="171"/>
      <c r="H235" s="171"/>
      <c r="I235" s="171"/>
      <c r="J235" s="176">
        <f>ROUND(J2+J48-J234,5)</f>
        <v>717061.6</v>
      </c>
    </row>
    <row r="236" spans="1:12" x14ac:dyDescent="0.25">
      <c r="A236" s="171"/>
      <c r="B236" s="171" t="s">
        <v>632</v>
      </c>
      <c r="C236" s="171"/>
      <c r="D236" s="171"/>
      <c r="E236" s="171"/>
      <c r="F236" s="171"/>
      <c r="G236" s="171"/>
      <c r="H236" s="171"/>
      <c r="I236" s="171"/>
      <c r="J236" s="176"/>
    </row>
    <row r="237" spans="1:12" x14ac:dyDescent="0.25">
      <c r="A237" s="171"/>
      <c r="B237" s="171"/>
      <c r="C237" s="171" t="s">
        <v>633</v>
      </c>
      <c r="D237" s="171"/>
      <c r="E237" s="171"/>
      <c r="F237" s="171"/>
      <c r="G237" s="171"/>
      <c r="H237" s="171"/>
      <c r="I237" s="171"/>
      <c r="J237" s="176"/>
    </row>
    <row r="238" spans="1:12" x14ac:dyDescent="0.25">
      <c r="A238" s="171"/>
      <c r="B238" s="171"/>
      <c r="C238" s="171"/>
      <c r="D238" s="171" t="s">
        <v>634</v>
      </c>
      <c r="E238" s="171"/>
      <c r="F238" s="171"/>
      <c r="G238" s="171"/>
      <c r="H238" s="171"/>
      <c r="I238" s="171"/>
      <c r="J238" s="176"/>
    </row>
    <row r="239" spans="1:12" ht="15.75" thickBot="1" x14ac:dyDescent="0.3">
      <c r="A239" s="171"/>
      <c r="B239" s="171"/>
      <c r="C239" s="171"/>
      <c r="D239" s="171"/>
      <c r="E239" s="171" t="s">
        <v>658</v>
      </c>
      <c r="F239" s="171"/>
      <c r="G239" s="171"/>
      <c r="H239" s="171"/>
      <c r="I239" s="171"/>
      <c r="J239" s="8">
        <v>31640</v>
      </c>
    </row>
    <row r="240" spans="1:12" ht="15.75" thickBot="1" x14ac:dyDescent="0.3">
      <c r="A240" s="171"/>
      <c r="B240" s="171"/>
      <c r="C240" s="171"/>
      <c r="D240" s="171" t="s">
        <v>637</v>
      </c>
      <c r="E240" s="171"/>
      <c r="F240" s="171"/>
      <c r="G240" s="171"/>
      <c r="H240" s="171"/>
      <c r="I240" s="171"/>
      <c r="J240" s="10">
        <f>ROUND(SUM(J238:J239),5)</f>
        <v>31640</v>
      </c>
    </row>
    <row r="241" spans="1:10" x14ac:dyDescent="0.25">
      <c r="A241" s="171"/>
      <c r="B241" s="171"/>
      <c r="C241" s="171" t="s">
        <v>638</v>
      </c>
      <c r="D241" s="171"/>
      <c r="E241" s="171"/>
      <c r="F241" s="171"/>
      <c r="G241" s="171"/>
      <c r="H241" s="171"/>
      <c r="I241" s="171"/>
      <c r="J241" s="176">
        <f>ROUND(J237+J240,5)</f>
        <v>31640</v>
      </c>
    </row>
    <row r="242" spans="1:10" x14ac:dyDescent="0.25">
      <c r="A242" s="171"/>
      <c r="B242" s="171"/>
      <c r="C242" s="171" t="s">
        <v>639</v>
      </c>
      <c r="D242" s="171"/>
      <c r="E242" s="171"/>
      <c r="F242" s="171"/>
      <c r="G242" s="171"/>
      <c r="H242" s="171"/>
      <c r="I242" s="171"/>
      <c r="J242" s="176"/>
    </row>
    <row r="243" spans="1:10" ht="15.75" thickBot="1" x14ac:dyDescent="0.3">
      <c r="A243" s="171"/>
      <c r="B243" s="171"/>
      <c r="C243" s="171"/>
      <c r="D243" s="171" t="s">
        <v>640</v>
      </c>
      <c r="E243" s="171"/>
      <c r="F243" s="171"/>
      <c r="G243" s="171"/>
      <c r="H243" s="171"/>
      <c r="I243" s="171"/>
      <c r="J243" s="8">
        <v>0</v>
      </c>
    </row>
    <row r="244" spans="1:10" ht="15.75" thickBot="1" x14ac:dyDescent="0.3">
      <c r="A244" s="171"/>
      <c r="B244" s="171"/>
      <c r="C244" s="171" t="s">
        <v>641</v>
      </c>
      <c r="D244" s="171"/>
      <c r="E244" s="171"/>
      <c r="F244" s="171"/>
      <c r="G244" s="171"/>
      <c r="H244" s="171"/>
      <c r="I244" s="171"/>
      <c r="J244" s="11">
        <f>ROUND(SUM(J242:J243),5)</f>
        <v>0</v>
      </c>
    </row>
    <row r="245" spans="1:10" ht="15.75" thickBot="1" x14ac:dyDescent="0.3">
      <c r="A245" s="171"/>
      <c r="B245" s="171" t="s">
        <v>642</v>
      </c>
      <c r="C245" s="171"/>
      <c r="D245" s="171"/>
      <c r="E245" s="171"/>
      <c r="F245" s="171"/>
      <c r="G245" s="171"/>
      <c r="H245" s="171"/>
      <c r="I245" s="171"/>
      <c r="J245" s="11">
        <f>ROUND(J236+J241-J244,5)</f>
        <v>31640</v>
      </c>
    </row>
    <row r="246" spans="1:10" s="156" customFormat="1" ht="12" thickBot="1" x14ac:dyDescent="0.25">
      <c r="A246" s="171" t="s">
        <v>177</v>
      </c>
      <c r="B246" s="171"/>
      <c r="C246" s="171"/>
      <c r="D246" s="171"/>
      <c r="E246" s="171"/>
      <c r="F246" s="171"/>
      <c r="G246" s="171"/>
      <c r="H246" s="171"/>
      <c r="I246" s="171"/>
      <c r="J246" s="12">
        <f>ROUND(J235+J245,5)</f>
        <v>748701.6</v>
      </c>
    </row>
    <row r="247" spans="1:10" ht="15.75" thickTop="1" x14ac:dyDescent="0.25"/>
  </sheetData>
  <pageMargins left="0.7" right="0.7" top="0.75" bottom="0.75" header="0.25" footer="0.3"/>
  <pageSetup orientation="portrait" r:id="rId1"/>
  <headerFooter>
    <oddHeader>&amp;L&amp;"Arial,Bold"&amp;8 9:56 AM
&amp;"Arial,Bold"&amp;8 08/08/16
&amp;"Arial,Bold"&amp;8 Accrual Basis&amp;C&amp;"Arial,Bold"&amp;12 Tropical Fish International (Pvt) Limited
&amp;"Arial,Bold"&amp;14 Profit &amp;&amp; Loss
&amp;"Arial,Bold"&amp;10 July 1 - 28, 2016</oddHeader>
    <oddFooter>&amp;R&amp;"Arial,Bold"&amp;8 Page &amp;P of &amp;N</oddFooter>
  </headerFooter>
  <drawing r:id="rId2"/>
  <legacyDrawing r:id="rId3"/>
  <controls>
    <mc:AlternateContent xmlns:mc="http://schemas.openxmlformats.org/markup-compatibility/2006">
      <mc:Choice Requires="x14">
        <control shapeId="290818"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290818" r:id="rId4" name="HEADER"/>
      </mc:Fallback>
    </mc:AlternateContent>
    <mc:AlternateContent xmlns:mc="http://schemas.openxmlformats.org/markup-compatibility/2006">
      <mc:Choice Requires="x14">
        <control shapeId="290817"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290817" r:id="rId6" name="FILTER"/>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20"/>
  <sheetViews>
    <sheetView topLeftCell="A2" workbookViewId="0">
      <selection activeCell="E23" sqref="E23"/>
    </sheetView>
  </sheetViews>
  <sheetFormatPr defaultRowHeight="15" x14ac:dyDescent="0.25"/>
  <cols>
    <col min="1" max="1" width="2.42578125" style="243" customWidth="1"/>
    <col min="2" max="2" width="5.5703125" style="243" customWidth="1"/>
    <col min="3" max="3" width="12.5703125" style="243" customWidth="1"/>
    <col min="4" max="5" width="8.85546875" style="243" customWidth="1"/>
    <col min="6" max="7" width="13.42578125" style="244" bestFit="1" customWidth="1"/>
    <col min="8" max="8" width="11.7109375" style="244" bestFit="1" customWidth="1"/>
    <col min="9" max="9" width="10.5703125" style="244" bestFit="1" customWidth="1"/>
    <col min="10" max="10" width="15.5703125" style="245" bestFit="1" customWidth="1"/>
    <col min="11" max="11" width="16" style="244" customWidth="1"/>
    <col min="12" max="12" width="13.28515625" style="244" customWidth="1"/>
    <col min="13" max="13" width="16.5703125" style="246" customWidth="1"/>
    <col min="14" max="14" width="10.5703125" style="243" bestFit="1" customWidth="1"/>
    <col min="15" max="16384" width="9.140625" style="243"/>
  </cols>
  <sheetData>
    <row r="1" spans="1:14" x14ac:dyDescent="0.25">
      <c r="A1" s="242" t="s">
        <v>695</v>
      </c>
    </row>
    <row r="2" spans="1:14" x14ac:dyDescent="0.25">
      <c r="A2" s="242" t="s">
        <v>696</v>
      </c>
      <c r="L2" s="245" t="s">
        <v>697</v>
      </c>
    </row>
    <row r="4" spans="1:14" ht="15.75" thickBot="1" x14ac:dyDescent="0.3">
      <c r="B4" s="242" t="s">
        <v>698</v>
      </c>
      <c r="C4" s="242"/>
    </row>
    <row r="5" spans="1:14" ht="45.75" thickBot="1" x14ac:dyDescent="0.3">
      <c r="B5" s="247" t="s">
        <v>699</v>
      </c>
      <c r="C5" s="247" t="s">
        <v>493</v>
      </c>
      <c r="D5" s="248" t="s">
        <v>700</v>
      </c>
      <c r="E5" s="249" t="s">
        <v>701</v>
      </c>
      <c r="F5" s="250" t="s">
        <v>702</v>
      </c>
      <c r="G5" s="251" t="s">
        <v>703</v>
      </c>
      <c r="H5" s="252" t="s">
        <v>704</v>
      </c>
      <c r="I5" s="251" t="s">
        <v>705</v>
      </c>
      <c r="J5" s="253" t="s">
        <v>706</v>
      </c>
      <c r="K5" s="254" t="s">
        <v>707</v>
      </c>
      <c r="L5" s="253" t="s">
        <v>708</v>
      </c>
      <c r="M5" s="253" t="s">
        <v>709</v>
      </c>
    </row>
    <row r="6" spans="1:14" x14ac:dyDescent="0.25">
      <c r="B6" s="255">
        <v>1</v>
      </c>
      <c r="C6" s="255" t="s">
        <v>710</v>
      </c>
      <c r="D6" s="256">
        <v>248</v>
      </c>
      <c r="E6" s="257">
        <v>149.24</v>
      </c>
      <c r="F6" s="258">
        <f>[6]INVOICE!$M$46</f>
        <v>8174.5779999999995</v>
      </c>
      <c r="G6" s="259">
        <v>1126.67</v>
      </c>
      <c r="H6" s="259"/>
      <c r="I6" s="259"/>
      <c r="J6" s="260">
        <f>SUM(F6:I6)</f>
        <v>9301.2479999999996</v>
      </c>
      <c r="K6" s="261">
        <f>[6]INVOICE!$M$80</f>
        <v>4782.5076923076913</v>
      </c>
      <c r="L6" s="262">
        <f>J6+K6</f>
        <v>14083.755692307692</v>
      </c>
      <c r="M6" s="297">
        <f>L6*E6</f>
        <v>2101859.6995200003</v>
      </c>
    </row>
    <row r="7" spans="1:14" s="15" customFormat="1" x14ac:dyDescent="0.25">
      <c r="B7" s="263">
        <f t="shared" ref="B7:D13" si="0">+B6+1</f>
        <v>2</v>
      </c>
      <c r="C7" s="263" t="s">
        <v>711</v>
      </c>
      <c r="D7" s="264">
        <f t="shared" si="0"/>
        <v>249</v>
      </c>
      <c r="E7" s="265">
        <v>147.29</v>
      </c>
      <c r="F7" s="266">
        <f>[7]INVOICE!$M$40</f>
        <v>8289.49</v>
      </c>
      <c r="G7" s="267">
        <v>1247.05</v>
      </c>
      <c r="H7" s="267"/>
      <c r="I7" s="267"/>
      <c r="J7" s="268">
        <f t="shared" ref="J7:J14" si="1">SUM(F7:I7)</f>
        <v>9536.5399999999991</v>
      </c>
      <c r="K7" s="269">
        <f>[7]INVOICE!$M$100</f>
        <v>5717.1051923076921</v>
      </c>
      <c r="L7" s="270">
        <f>J7+K7</f>
        <v>15253.645192307691</v>
      </c>
      <c r="M7" s="295">
        <f t="shared" ref="M7:M14" si="2">L7*E7</f>
        <v>2246709.4003749997</v>
      </c>
    </row>
    <row r="8" spans="1:14" x14ac:dyDescent="0.25">
      <c r="B8" s="255">
        <f t="shared" si="0"/>
        <v>3</v>
      </c>
      <c r="C8" s="255" t="s">
        <v>712</v>
      </c>
      <c r="D8" s="256">
        <f t="shared" si="0"/>
        <v>250</v>
      </c>
      <c r="E8" s="257">
        <v>148.32</v>
      </c>
      <c r="F8" s="271">
        <f>'[8]250'!M25</f>
        <v>818.2</v>
      </c>
      <c r="G8" s="272">
        <f>'[8]250'!M29</f>
        <v>666.69999999999993</v>
      </c>
      <c r="H8" s="272"/>
      <c r="I8" s="272"/>
      <c r="J8" s="273">
        <f>SUM(F8:I8)</f>
        <v>1484.9</v>
      </c>
      <c r="K8" s="274">
        <f>[9]INVOICE!$M$35</f>
        <v>1911.0666923076924</v>
      </c>
      <c r="L8" s="275">
        <f>J8+K8</f>
        <v>3395.9666923076925</v>
      </c>
      <c r="M8" s="297">
        <f>L8*E8</f>
        <v>503689.77980307693</v>
      </c>
      <c r="N8" s="245"/>
    </row>
    <row r="9" spans="1:14" x14ac:dyDescent="0.25">
      <c r="B9" s="255">
        <f t="shared" si="0"/>
        <v>4</v>
      </c>
      <c r="C9" s="255" t="s">
        <v>713</v>
      </c>
      <c r="D9" s="256">
        <f t="shared" si="0"/>
        <v>251</v>
      </c>
      <c r="E9" s="257">
        <v>146.51</v>
      </c>
      <c r="F9" s="271"/>
      <c r="G9" s="272">
        <f>[10]INVOICE!$M$24</f>
        <v>31500</v>
      </c>
      <c r="H9" s="272"/>
      <c r="I9" s="272"/>
      <c r="J9" s="273">
        <f t="shared" si="1"/>
        <v>31500</v>
      </c>
      <c r="K9" s="274">
        <f>[10]INVOICE!$M$31</f>
        <v>6678.7576923076922</v>
      </c>
      <c r="L9" s="275">
        <f t="shared" ref="L9:L14" si="3">J9+K9</f>
        <v>38178.757692307692</v>
      </c>
      <c r="M9" s="294">
        <f t="shared" si="2"/>
        <v>5593569.7895</v>
      </c>
    </row>
    <row r="10" spans="1:14" x14ac:dyDescent="0.25">
      <c r="B10" s="255">
        <f t="shared" si="0"/>
        <v>5</v>
      </c>
      <c r="C10" s="255" t="s">
        <v>714</v>
      </c>
      <c r="D10" s="256">
        <f t="shared" si="0"/>
        <v>252</v>
      </c>
      <c r="E10" s="257">
        <v>146.30000000000001</v>
      </c>
      <c r="F10" s="271"/>
      <c r="G10" s="272">
        <f>[11]INVOICE!$M$26</f>
        <v>1518.26</v>
      </c>
      <c r="H10" s="272"/>
      <c r="I10" s="272"/>
      <c r="J10" s="273">
        <f t="shared" si="1"/>
        <v>1518.26</v>
      </c>
      <c r="K10" s="274">
        <f>[11]INVOICE!$M$31</f>
        <v>2241.1251923076925</v>
      </c>
      <c r="L10" s="275">
        <f t="shared" si="3"/>
        <v>3759.3851923076927</v>
      </c>
      <c r="M10" s="294">
        <f t="shared" si="2"/>
        <v>549998.0536346155</v>
      </c>
    </row>
    <row r="11" spans="1:14" x14ac:dyDescent="0.25">
      <c r="B11" s="255">
        <f t="shared" si="0"/>
        <v>6</v>
      </c>
      <c r="C11" s="255" t="s">
        <v>715</v>
      </c>
      <c r="D11" s="256">
        <f t="shared" si="0"/>
        <v>253</v>
      </c>
      <c r="E11" s="257">
        <v>146.33000000000001</v>
      </c>
      <c r="F11" s="271">
        <f>[12]INVOICE!$M$44+[12]INVOICE!$M$47</f>
        <v>8568.6899999999987</v>
      </c>
      <c r="G11" s="272">
        <f>[12]INVOICE!$M$50+[12]INVOICE!$M$58+[12]INVOICE!$M$79+[12]INVOICE!$M$83+[12]INVOICE!$M$85+[12]INVOICE!$M$91</f>
        <v>1038.665</v>
      </c>
      <c r="H11" s="272"/>
      <c r="I11" s="272"/>
      <c r="J11" s="273">
        <f t="shared" si="1"/>
        <v>9607.3549999999996</v>
      </c>
      <c r="K11" s="274">
        <f>[12]INVOICE!$M$97</f>
        <v>5908.9596923076915</v>
      </c>
      <c r="L11" s="275">
        <f t="shared" si="3"/>
        <v>15516.314692307691</v>
      </c>
      <c r="M11" s="294">
        <f t="shared" si="2"/>
        <v>2270502.3289253847</v>
      </c>
    </row>
    <row r="12" spans="1:14" x14ac:dyDescent="0.25">
      <c r="B12" s="255">
        <f t="shared" si="0"/>
        <v>7</v>
      </c>
      <c r="C12" s="255" t="s">
        <v>716</v>
      </c>
      <c r="D12" s="256">
        <f t="shared" si="0"/>
        <v>254</v>
      </c>
      <c r="E12" s="257">
        <v>146.61000000000001</v>
      </c>
      <c r="F12" s="271"/>
      <c r="G12" s="272">
        <f>[13]INVOICE!$M$26</f>
        <v>5383.86</v>
      </c>
      <c r="H12" s="272"/>
      <c r="I12" s="272"/>
      <c r="J12" s="273">
        <f t="shared" si="1"/>
        <v>5383.86</v>
      </c>
      <c r="K12" s="274">
        <f>[13]INVOICE!$M$31</f>
        <v>3733.6526923076917</v>
      </c>
      <c r="L12" s="275">
        <f t="shared" si="3"/>
        <v>9117.5126923076914</v>
      </c>
      <c r="M12" s="294">
        <f t="shared" si="2"/>
        <v>1336718.5358192308</v>
      </c>
    </row>
    <row r="13" spans="1:14" x14ac:dyDescent="0.25">
      <c r="B13" s="255">
        <f t="shared" si="0"/>
        <v>8</v>
      </c>
      <c r="C13" s="255" t="s">
        <v>717</v>
      </c>
      <c r="D13" s="256">
        <f t="shared" si="0"/>
        <v>255</v>
      </c>
      <c r="E13" s="257">
        <v>146.33000000000001</v>
      </c>
      <c r="F13" s="271">
        <f>'[8]255'!M41+'[8]255'!M45</f>
        <v>8271.41</v>
      </c>
      <c r="G13" s="272">
        <f>'[8]255'!M51+'[8]255'!M69+'[8]255'!M99</f>
        <v>1324.3400000000001</v>
      </c>
      <c r="H13" s="272"/>
      <c r="I13" s="272"/>
      <c r="J13" s="273">
        <f t="shared" si="1"/>
        <v>9595.75</v>
      </c>
      <c r="K13" s="274">
        <f>[14]INVOICE!$M$105</f>
        <v>6534.8841923076916</v>
      </c>
      <c r="L13" s="275">
        <f t="shared" si="3"/>
        <v>16130.634192307691</v>
      </c>
      <c r="M13" s="294">
        <f t="shared" si="2"/>
        <v>2360395.7013603845</v>
      </c>
    </row>
    <row r="14" spans="1:14" ht="15.75" thickBot="1" x14ac:dyDescent="0.3">
      <c r="B14" s="276">
        <f>+B13+1</f>
        <v>9</v>
      </c>
      <c r="C14" s="276" t="s">
        <v>718</v>
      </c>
      <c r="D14" s="277">
        <f>+D13+1</f>
        <v>256</v>
      </c>
      <c r="E14" s="278">
        <v>148.81</v>
      </c>
      <c r="F14" s="279">
        <f>[15]INVOICE!$M$25</f>
        <v>24.799999999999997</v>
      </c>
      <c r="G14" s="280">
        <f>[15]INVOICE!$M$31</f>
        <v>6955.3099999999995</v>
      </c>
      <c r="H14" s="280"/>
      <c r="I14" s="280"/>
      <c r="J14" s="281">
        <f t="shared" si="1"/>
        <v>6980.11</v>
      </c>
      <c r="K14" s="282">
        <f>[15]INVOICE!$M$37</f>
        <v>4530.0526923076914</v>
      </c>
      <c r="L14" s="283">
        <f t="shared" si="3"/>
        <v>11510.162692307691</v>
      </c>
      <c r="M14" s="296">
        <f t="shared" si="2"/>
        <v>1712827.3102423076</v>
      </c>
    </row>
    <row r="16" spans="1:14" s="284" customFormat="1" ht="15.75" thickBot="1" x14ac:dyDescent="0.3">
      <c r="B16" s="285" t="s">
        <v>719</v>
      </c>
      <c r="C16" s="285"/>
      <c r="D16" s="285"/>
      <c r="E16" s="285"/>
      <c r="F16" s="286">
        <f>SUM(F6:F14)</f>
        <v>34147.168000000005</v>
      </c>
      <c r="G16" s="286">
        <f>SUM(G6:G14)</f>
        <v>50760.854999999996</v>
      </c>
      <c r="H16" s="286">
        <f t="shared" ref="H16:L16" si="4">SUM(H6:H14)</f>
        <v>0</v>
      </c>
      <c r="I16" s="286">
        <f t="shared" si="4"/>
        <v>0</v>
      </c>
      <c r="J16" s="286">
        <f>SUM(J6:J14)</f>
        <v>84908.023000000001</v>
      </c>
      <c r="K16" s="286">
        <f>SUM(K6:K14)</f>
        <v>42038.111730769233</v>
      </c>
      <c r="L16" s="286">
        <f t="shared" si="4"/>
        <v>126946.1347307692</v>
      </c>
      <c r="M16" s="286">
        <f>SUM(M6:M14)</f>
        <v>18676270.599179998</v>
      </c>
      <c r="N16" s="312">
        <f>M16/1000/146.33</f>
        <v>127.6311802035126</v>
      </c>
    </row>
    <row r="17" spans="2:13" ht="15.75" thickTop="1" x14ac:dyDescent="0.25"/>
    <row r="18" spans="2:13" s="292" customFormat="1" x14ac:dyDescent="0.25">
      <c r="B18" s="329" t="s">
        <v>720</v>
      </c>
      <c r="C18" s="329"/>
      <c r="D18" s="329"/>
      <c r="E18" s="287"/>
      <c r="F18" s="288">
        <f>F16/J16</f>
        <v>0.40216656557885</v>
      </c>
      <c r="G18" s="288">
        <f>+G16/J16</f>
        <v>0.59783343442115</v>
      </c>
      <c r="H18" s="288">
        <f>+H16/J16</f>
        <v>0</v>
      </c>
      <c r="I18" s="288">
        <f>+I16/J16</f>
        <v>0</v>
      </c>
      <c r="J18" s="289">
        <f>SUM(F18:I18)</f>
        <v>1</v>
      </c>
      <c r="K18" s="290"/>
      <c r="L18" s="290"/>
      <c r="M18" s="291"/>
    </row>
    <row r="20" spans="2:13" x14ac:dyDescent="0.25">
      <c r="F20" s="293"/>
    </row>
  </sheetData>
  <mergeCells count="1">
    <mergeCell ref="B18:D18"/>
  </mergeCells>
  <hyperlinks>
    <hyperlink ref="D6" location="'248'!A1" display="'248'!A1"/>
    <hyperlink ref="D7" location="'249'!A1" display="'249'!A1"/>
    <hyperlink ref="D8" location="'250'!A1" display="'250'!A1"/>
    <hyperlink ref="D9" location="'251'!A1" display="'251'!A1"/>
    <hyperlink ref="D10" location="'252'!A1" display="'252'!A1"/>
    <hyperlink ref="D11" location="'253'!A1" display="'253'!A1"/>
    <hyperlink ref="D12" location="'254'!A1" display="'254'!A1"/>
    <hyperlink ref="D13" location="'255'!A1" display="'255'!A1"/>
    <hyperlink ref="D14" location="'256'!A1" display="'256'!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2" tint="-0.499984740745262"/>
  </sheetPr>
  <dimension ref="A1:P213"/>
  <sheetViews>
    <sheetView workbookViewId="0">
      <pane xSplit="9" ySplit="1" topLeftCell="J199" activePane="bottomRight" state="frozenSplit"/>
      <selection pane="topRight" activeCell="J1" sqref="J1"/>
      <selection pane="bottomLeft" activeCell="A2" sqref="A2"/>
      <selection pane="bottomRight" activeCell="L209" sqref="L209"/>
    </sheetView>
  </sheetViews>
  <sheetFormatPr defaultRowHeight="15" x14ac:dyDescent="0.25"/>
  <cols>
    <col min="1" max="8" width="3" style="159" customWidth="1"/>
    <col min="9" max="9" width="38.140625" style="159" customWidth="1"/>
    <col min="10" max="10" width="15.42578125" style="5" bestFit="1" customWidth="1"/>
    <col min="11" max="11" width="13.5703125" style="154" customWidth="1"/>
    <col min="12" max="12" width="18.140625" style="154" bestFit="1" customWidth="1"/>
    <col min="13" max="13" width="9.140625" style="154"/>
    <col min="14" max="14" width="27.7109375" style="154" bestFit="1" customWidth="1"/>
    <col min="15" max="15" width="14.28515625" style="154" customWidth="1"/>
    <col min="16" max="16" width="9.7109375" style="154" bestFit="1" customWidth="1"/>
    <col min="17" max="16384" width="9.140625" style="154"/>
  </cols>
  <sheetData>
    <row r="1" spans="1:16" s="158" customFormat="1" ht="15.75" thickBot="1" x14ac:dyDescent="0.3">
      <c r="A1" s="157"/>
      <c r="B1" s="157"/>
      <c r="C1" s="157"/>
      <c r="D1" s="157"/>
      <c r="E1" s="157"/>
      <c r="F1" s="157"/>
      <c r="G1" s="157"/>
      <c r="H1" s="157"/>
      <c r="I1" s="157"/>
      <c r="J1" s="178" t="s">
        <v>688</v>
      </c>
    </row>
    <row r="2" spans="1:16" ht="15.75" thickTop="1" x14ac:dyDescent="0.25">
      <c r="A2" s="171"/>
      <c r="B2" s="171" t="s">
        <v>20</v>
      </c>
      <c r="C2" s="171"/>
      <c r="D2" s="171"/>
      <c r="E2" s="171"/>
      <c r="F2" s="171"/>
      <c r="G2" s="171"/>
      <c r="H2" s="171"/>
      <c r="I2" s="171"/>
      <c r="J2" s="176"/>
      <c r="N2" s="108" t="s">
        <v>381</v>
      </c>
      <c r="O2" s="200" t="s">
        <v>380</v>
      </c>
    </row>
    <row r="3" spans="1:16" x14ac:dyDescent="0.25">
      <c r="A3" s="171"/>
      <c r="B3" s="171"/>
      <c r="C3" s="171"/>
      <c r="D3" s="171" t="s">
        <v>21</v>
      </c>
      <c r="E3" s="171"/>
      <c r="F3" s="171"/>
      <c r="G3" s="171"/>
      <c r="H3" s="171"/>
      <c r="I3" s="171"/>
      <c r="J3" s="176"/>
      <c r="N3" s="46" t="s">
        <v>269</v>
      </c>
      <c r="O3" s="184">
        <f>J72</f>
        <v>442925</v>
      </c>
    </row>
    <row r="4" spans="1:16" x14ac:dyDescent="0.25">
      <c r="A4" s="171"/>
      <c r="B4" s="171"/>
      <c r="C4" s="171"/>
      <c r="D4" s="171"/>
      <c r="E4" s="171" t="s">
        <v>22</v>
      </c>
      <c r="F4" s="171"/>
      <c r="G4" s="171"/>
      <c r="H4" s="171"/>
      <c r="I4" s="171"/>
      <c r="J4" s="176"/>
      <c r="N4" s="46" t="s">
        <v>270</v>
      </c>
      <c r="O4" s="184">
        <f>J118</f>
        <v>76333.33</v>
      </c>
    </row>
    <row r="5" spans="1:16" x14ac:dyDescent="0.25">
      <c r="A5" s="171"/>
      <c r="B5" s="171"/>
      <c r="C5" s="171"/>
      <c r="D5" s="171"/>
      <c r="E5" s="171"/>
      <c r="F5" s="171" t="s">
        <v>23</v>
      </c>
      <c r="G5" s="171"/>
      <c r="H5" s="171"/>
      <c r="I5" s="171"/>
      <c r="J5" s="176">
        <v>12416097.470000001</v>
      </c>
      <c r="N5" s="46" t="s">
        <v>597</v>
      </c>
      <c r="O5" s="184">
        <f>J169</f>
        <v>59666.67</v>
      </c>
    </row>
    <row r="6" spans="1:16" x14ac:dyDescent="0.25">
      <c r="A6" s="171"/>
      <c r="B6" s="171"/>
      <c r="C6" s="171"/>
      <c r="D6" s="171"/>
      <c r="E6" s="171"/>
      <c r="F6" s="171" t="s">
        <v>26</v>
      </c>
      <c r="G6" s="171"/>
      <c r="H6" s="171"/>
      <c r="I6" s="171"/>
      <c r="J6" s="176">
        <v>407416.56</v>
      </c>
      <c r="N6" s="119" t="s">
        <v>606</v>
      </c>
      <c r="O6" s="184"/>
    </row>
    <row r="7" spans="1:16" x14ac:dyDescent="0.25">
      <c r="A7" s="171"/>
      <c r="B7" s="171"/>
      <c r="C7" s="171"/>
      <c r="D7" s="171"/>
      <c r="E7" s="171"/>
      <c r="F7" s="171" t="s">
        <v>27</v>
      </c>
      <c r="G7" s="171"/>
      <c r="H7" s="171"/>
      <c r="I7" s="171"/>
      <c r="J7" s="176">
        <v>5745731.0899999999</v>
      </c>
      <c r="N7" s="67" t="s">
        <v>598</v>
      </c>
      <c r="O7" s="184">
        <f>J189</f>
        <v>412083.33</v>
      </c>
    </row>
    <row r="8" spans="1:16" x14ac:dyDescent="0.25">
      <c r="A8" s="171"/>
      <c r="B8" s="171"/>
      <c r="C8" s="171"/>
      <c r="D8" s="171"/>
      <c r="E8" s="171"/>
      <c r="F8" s="171" t="s">
        <v>28</v>
      </c>
      <c r="G8" s="171"/>
      <c r="H8" s="171"/>
      <c r="I8" s="171"/>
      <c r="J8" s="176">
        <v>49877.74</v>
      </c>
      <c r="N8" s="106" t="s">
        <v>12</v>
      </c>
      <c r="O8" s="201">
        <f>SUM(O3:O7)</f>
        <v>991008.33000000007</v>
      </c>
    </row>
    <row r="9" spans="1:16" ht="15.75" thickBot="1" x14ac:dyDescent="0.3">
      <c r="A9" s="171"/>
      <c r="B9" s="171"/>
      <c r="C9" s="171"/>
      <c r="D9" s="171"/>
      <c r="E9" s="171"/>
      <c r="F9" s="171" t="s">
        <v>618</v>
      </c>
      <c r="G9" s="171"/>
      <c r="H9" s="171"/>
      <c r="I9" s="171"/>
      <c r="J9" s="8">
        <v>94085.65</v>
      </c>
      <c r="N9" s="46"/>
      <c r="O9" s="190"/>
    </row>
    <row r="10" spans="1:16" ht="15.75" thickBot="1" x14ac:dyDescent="0.3">
      <c r="A10" s="171"/>
      <c r="B10" s="171"/>
      <c r="C10" s="171"/>
      <c r="D10" s="171"/>
      <c r="E10" s="171" t="s">
        <v>39</v>
      </c>
      <c r="F10" s="171"/>
      <c r="G10" s="171"/>
      <c r="H10" s="171"/>
      <c r="I10" s="171"/>
      <c r="J10" s="10">
        <f>ROUND(SUM(J4:J9),5)</f>
        <v>18713208.510000002</v>
      </c>
      <c r="L10" s="241"/>
      <c r="N10" s="104"/>
      <c r="O10" s="202"/>
    </row>
    <row r="11" spans="1:16" ht="30" customHeight="1" x14ac:dyDescent="0.25">
      <c r="A11" s="171"/>
      <c r="B11" s="171"/>
      <c r="C11" s="171"/>
      <c r="D11" s="171" t="s">
        <v>40</v>
      </c>
      <c r="E11" s="171"/>
      <c r="F11" s="171"/>
      <c r="G11" s="171"/>
      <c r="H11" s="171"/>
      <c r="I11" s="171"/>
      <c r="J11" s="176">
        <f>ROUND(J3+J10,5)</f>
        <v>18713208.510000002</v>
      </c>
      <c r="K11" s="20">
        <f>J11-Summary!M16</f>
        <v>36937.910820003599</v>
      </c>
      <c r="N11" s="65" t="s">
        <v>397</v>
      </c>
      <c r="O11" s="203" t="s">
        <v>380</v>
      </c>
    </row>
    <row r="12" spans="1:16" ht="30" customHeight="1" x14ac:dyDescent="0.25">
      <c r="A12" s="171"/>
      <c r="B12" s="171"/>
      <c r="C12" s="171"/>
      <c r="D12" s="171" t="s">
        <v>41</v>
      </c>
      <c r="E12" s="171"/>
      <c r="F12" s="171"/>
      <c r="G12" s="171"/>
      <c r="H12" s="171"/>
      <c r="I12" s="171"/>
      <c r="J12" s="176"/>
      <c r="N12" s="46" t="s">
        <v>269</v>
      </c>
      <c r="O12" s="190">
        <f>'P6'!J99-'P6'!O3</f>
        <v>992105.60000000009</v>
      </c>
      <c r="P12" s="17">
        <f>O12-'P5'!O14</f>
        <v>-35138.019999999786</v>
      </c>
    </row>
    <row r="13" spans="1:16" x14ac:dyDescent="0.25">
      <c r="A13" s="171"/>
      <c r="B13" s="171"/>
      <c r="C13" s="171"/>
      <c r="D13" s="171"/>
      <c r="E13" s="171" t="s">
        <v>42</v>
      </c>
      <c r="F13" s="171"/>
      <c r="G13" s="171"/>
      <c r="H13" s="171"/>
      <c r="I13" s="171"/>
      <c r="J13" s="176"/>
      <c r="N13" s="46" t="s">
        <v>270</v>
      </c>
      <c r="O13" s="190">
        <f>J142-O4</f>
        <v>534574.7300000001</v>
      </c>
    </row>
    <row r="14" spans="1:16" ht="30" customHeight="1" x14ac:dyDescent="0.25">
      <c r="A14" s="171"/>
      <c r="B14" s="171"/>
      <c r="C14" s="171"/>
      <c r="D14" s="171"/>
      <c r="E14" s="171"/>
      <c r="F14" s="171" t="s">
        <v>43</v>
      </c>
      <c r="G14" s="171"/>
      <c r="H14" s="171"/>
      <c r="I14" s="171"/>
      <c r="J14" s="176"/>
      <c r="N14" s="194" t="s">
        <v>609</v>
      </c>
      <c r="O14" s="190">
        <f>J154</f>
        <v>70756.509999999995</v>
      </c>
    </row>
    <row r="15" spans="1:16" x14ac:dyDescent="0.25">
      <c r="A15" s="171"/>
      <c r="B15" s="171"/>
      <c r="C15" s="171"/>
      <c r="D15" s="171"/>
      <c r="E15" s="171"/>
      <c r="F15" s="171"/>
      <c r="G15" s="171" t="s">
        <v>44</v>
      </c>
      <c r="H15" s="171"/>
      <c r="I15" s="171"/>
      <c r="J15" s="176">
        <v>5869693.8399999999</v>
      </c>
      <c r="N15" s="194" t="s">
        <v>610</v>
      </c>
      <c r="O15" s="190">
        <f>J174-O5</f>
        <v>139891.03999999998</v>
      </c>
    </row>
    <row r="16" spans="1:16" x14ac:dyDescent="0.25">
      <c r="A16" s="171"/>
      <c r="B16" s="171"/>
      <c r="C16" s="171"/>
      <c r="D16" s="171"/>
      <c r="E16" s="171"/>
      <c r="F16" s="171"/>
      <c r="G16" s="171" t="s">
        <v>45</v>
      </c>
      <c r="H16" s="171"/>
      <c r="I16" s="171"/>
      <c r="J16" s="176">
        <v>185398.45</v>
      </c>
      <c r="N16" s="66" t="s">
        <v>611</v>
      </c>
      <c r="O16" s="190">
        <f>J179+J182</f>
        <v>270511.67000000004</v>
      </c>
    </row>
    <row r="17" spans="1:16" x14ac:dyDescent="0.25">
      <c r="A17" s="171"/>
      <c r="B17" s="171"/>
      <c r="C17" s="171"/>
      <c r="D17" s="171"/>
      <c r="E17" s="171"/>
      <c r="F17" s="171"/>
      <c r="G17" s="171" t="s">
        <v>46</v>
      </c>
      <c r="H17" s="171"/>
      <c r="I17" s="171"/>
      <c r="J17" s="176">
        <v>36000</v>
      </c>
      <c r="N17" s="193" t="s">
        <v>612</v>
      </c>
      <c r="O17" s="190"/>
    </row>
    <row r="18" spans="1:16" ht="15.75" thickBot="1" x14ac:dyDescent="0.3">
      <c r="A18" s="171"/>
      <c r="B18" s="171"/>
      <c r="C18" s="171"/>
      <c r="D18" s="171"/>
      <c r="E18" s="171"/>
      <c r="F18" s="171"/>
      <c r="G18" s="171" t="s">
        <v>47</v>
      </c>
      <c r="H18" s="171"/>
      <c r="I18" s="171"/>
      <c r="J18" s="220">
        <v>522095</v>
      </c>
      <c r="N18" s="67" t="s">
        <v>383</v>
      </c>
      <c r="O18" s="184">
        <f>J196</f>
        <v>462154.98</v>
      </c>
      <c r="P18" s="17">
        <f>O18-'P5'!O20</f>
        <v>-637132.66999999993</v>
      </c>
    </row>
    <row r="19" spans="1:16" x14ac:dyDescent="0.25">
      <c r="A19" s="171"/>
      <c r="B19" s="171"/>
      <c r="C19" s="171"/>
      <c r="D19" s="171"/>
      <c r="E19" s="171"/>
      <c r="F19" s="171" t="s">
        <v>48</v>
      </c>
      <c r="G19" s="171"/>
      <c r="H19" s="171"/>
      <c r="I19" s="171"/>
      <c r="J19" s="176">
        <f>ROUND(SUM(J14:J18),5)</f>
        <v>6613187.29</v>
      </c>
      <c r="N19" s="67" t="s">
        <v>386</v>
      </c>
      <c r="O19" s="190">
        <f>J206</f>
        <v>707540.37</v>
      </c>
    </row>
    <row r="20" spans="1:16" ht="30" customHeight="1" x14ac:dyDescent="0.25">
      <c r="A20" s="171"/>
      <c r="B20" s="171"/>
      <c r="C20" s="171"/>
      <c r="D20" s="171"/>
      <c r="E20" s="171"/>
      <c r="F20" s="171" t="s">
        <v>49</v>
      </c>
      <c r="G20" s="171"/>
      <c r="H20" s="171"/>
      <c r="I20" s="171"/>
      <c r="J20" s="176"/>
      <c r="N20" s="46"/>
      <c r="O20" s="190"/>
    </row>
    <row r="21" spans="1:16" ht="15.75" thickBot="1" x14ac:dyDescent="0.3">
      <c r="A21" s="171"/>
      <c r="B21" s="171"/>
      <c r="C21" s="171"/>
      <c r="D21" s="171"/>
      <c r="E21" s="171"/>
      <c r="F21" s="171"/>
      <c r="G21" s="171" t="s">
        <v>51</v>
      </c>
      <c r="H21" s="171"/>
      <c r="I21" s="171"/>
      <c r="J21" s="220">
        <v>10000</v>
      </c>
      <c r="N21" s="61" t="s">
        <v>12</v>
      </c>
      <c r="O21" s="204">
        <f>SUM(O12:O19)</f>
        <v>3177534.9000000004</v>
      </c>
    </row>
    <row r="22" spans="1:16" x14ac:dyDescent="0.25">
      <c r="A22" s="171"/>
      <c r="B22" s="171"/>
      <c r="C22" s="171"/>
      <c r="D22" s="171"/>
      <c r="E22" s="171"/>
      <c r="F22" s="171" t="s">
        <v>54</v>
      </c>
      <c r="G22" s="171"/>
      <c r="H22" s="171"/>
      <c r="I22" s="171"/>
      <c r="J22" s="176">
        <f>ROUND(SUM(J20:J21),5)</f>
        <v>10000</v>
      </c>
    </row>
    <row r="23" spans="1:16" ht="30" customHeight="1" x14ac:dyDescent="0.25">
      <c r="A23" s="171"/>
      <c r="B23" s="171"/>
      <c r="C23" s="171"/>
      <c r="D23" s="171"/>
      <c r="E23" s="171"/>
      <c r="F23" s="171" t="s">
        <v>55</v>
      </c>
      <c r="G23" s="171"/>
      <c r="H23" s="171"/>
      <c r="I23" s="171"/>
      <c r="J23" s="176"/>
    </row>
    <row r="24" spans="1:16" x14ac:dyDescent="0.25">
      <c r="A24" s="171"/>
      <c r="B24" s="171"/>
      <c r="C24" s="171"/>
      <c r="D24" s="171"/>
      <c r="E24" s="171"/>
      <c r="F24" s="171"/>
      <c r="G24" s="171" t="s">
        <v>56</v>
      </c>
      <c r="H24" s="171"/>
      <c r="I24" s="171"/>
      <c r="J24" s="176">
        <v>4860950.8099999996</v>
      </c>
      <c r="O24" s="17">
        <f>O21+O8</f>
        <v>4168543.2300000004</v>
      </c>
    </row>
    <row r="25" spans="1:16" x14ac:dyDescent="0.25">
      <c r="A25" s="171"/>
      <c r="B25" s="171"/>
      <c r="C25" s="171"/>
      <c r="D25" s="171"/>
      <c r="E25" s="171"/>
      <c r="F25" s="171"/>
      <c r="G25" s="171" t="s">
        <v>59</v>
      </c>
      <c r="H25" s="171"/>
      <c r="I25" s="171"/>
      <c r="J25" s="176">
        <v>60269.1</v>
      </c>
    </row>
    <row r="26" spans="1:16" x14ac:dyDescent="0.25">
      <c r="A26" s="171"/>
      <c r="B26" s="171"/>
      <c r="C26" s="171"/>
      <c r="D26" s="171"/>
      <c r="E26" s="171"/>
      <c r="F26" s="171"/>
      <c r="G26" s="171" t="s">
        <v>60</v>
      </c>
      <c r="H26" s="171"/>
      <c r="I26" s="171"/>
      <c r="J26" s="176">
        <v>27128.73</v>
      </c>
    </row>
    <row r="27" spans="1:16" ht="15.75" thickBot="1" x14ac:dyDescent="0.3">
      <c r="A27" s="171"/>
      <c r="B27" s="171"/>
      <c r="C27" s="171"/>
      <c r="D27" s="171"/>
      <c r="E27" s="171"/>
      <c r="F27" s="171"/>
      <c r="G27" s="171" t="s">
        <v>689</v>
      </c>
      <c r="H27" s="171"/>
      <c r="I27" s="171"/>
      <c r="J27" s="220">
        <v>11588.46</v>
      </c>
    </row>
    <row r="28" spans="1:16" ht="15.75" thickBot="1" x14ac:dyDescent="0.3">
      <c r="A28" s="171"/>
      <c r="B28" s="171"/>
      <c r="C28" s="171"/>
      <c r="D28" s="171"/>
      <c r="E28" s="171"/>
      <c r="F28" s="171" t="s">
        <v>61</v>
      </c>
      <c r="G28" s="171"/>
      <c r="H28" s="171"/>
      <c r="I28" s="171"/>
      <c r="J28" s="176">
        <f>ROUND(SUM(J23:J27),5)</f>
        <v>4959937.0999999996</v>
      </c>
    </row>
    <row r="29" spans="1:16" ht="30" customHeight="1" x14ac:dyDescent="0.25">
      <c r="A29" s="171"/>
      <c r="B29" s="171"/>
      <c r="C29" s="171"/>
      <c r="D29" s="171"/>
      <c r="E29" s="171"/>
      <c r="F29" s="171" t="s">
        <v>62</v>
      </c>
      <c r="G29" s="171"/>
      <c r="H29" s="171"/>
      <c r="I29" s="171"/>
      <c r="J29" s="176"/>
      <c r="N29" s="301"/>
      <c r="O29" s="302"/>
      <c r="P29" s="303"/>
    </row>
    <row r="30" spans="1:16" x14ac:dyDescent="0.25">
      <c r="A30" s="171"/>
      <c r="B30" s="171"/>
      <c r="C30" s="171"/>
      <c r="D30" s="171"/>
      <c r="E30" s="171"/>
      <c r="F30" s="171"/>
      <c r="G30" s="171" t="s">
        <v>63</v>
      </c>
      <c r="H30" s="171"/>
      <c r="I30" s="171"/>
      <c r="J30" s="231">
        <v>1108130</v>
      </c>
      <c r="K30" s="222">
        <f>J30-'P5'!J38</f>
        <v>109391.64000000001</v>
      </c>
      <c r="N30" s="304" t="s">
        <v>721</v>
      </c>
      <c r="O30" s="305">
        <f>[16]Summary!$F$16</f>
        <v>9992301</v>
      </c>
      <c r="P30" s="306"/>
    </row>
    <row r="31" spans="1:16" x14ac:dyDescent="0.25">
      <c r="A31" s="171"/>
      <c r="B31" s="171"/>
      <c r="C31" s="171"/>
      <c r="D31" s="171"/>
      <c r="E31" s="171"/>
      <c r="F31" s="171"/>
      <c r="G31" s="171" t="s">
        <v>512</v>
      </c>
      <c r="H31" s="171"/>
      <c r="I31" s="171"/>
      <c r="J31" s="231">
        <v>138927.6</v>
      </c>
      <c r="K31" s="222">
        <f>J31-'P5'!J39</f>
        <v>18413</v>
      </c>
      <c r="N31" s="304" t="s">
        <v>722</v>
      </c>
      <c r="O31" s="305">
        <f>-[16]Summary!$E$16</f>
        <v>0</v>
      </c>
      <c r="P31" s="306"/>
    </row>
    <row r="32" spans="1:16" ht="15.75" thickBot="1" x14ac:dyDescent="0.3">
      <c r="A32" s="171"/>
      <c r="B32" s="171"/>
      <c r="C32" s="171"/>
      <c r="D32" s="171"/>
      <c r="E32" s="171"/>
      <c r="F32" s="171"/>
      <c r="G32" s="171" t="s">
        <v>513</v>
      </c>
      <c r="H32" s="171"/>
      <c r="I32" s="171"/>
      <c r="J32" s="231">
        <v>34731.9</v>
      </c>
      <c r="K32" s="222">
        <f>J32-'P5'!J40</f>
        <v>4603.25</v>
      </c>
      <c r="N32" s="304"/>
      <c r="O32" s="300">
        <f>SUM(O30:O31)</f>
        <v>9992301</v>
      </c>
      <c r="P32" s="306"/>
    </row>
    <row r="33" spans="1:16" ht="15.75" thickTop="1" x14ac:dyDescent="0.25">
      <c r="A33" s="171"/>
      <c r="B33" s="171"/>
      <c r="C33" s="171"/>
      <c r="D33" s="171"/>
      <c r="E33" s="171"/>
      <c r="F33" s="171"/>
      <c r="G33" s="171" t="s">
        <v>64</v>
      </c>
      <c r="H33" s="171"/>
      <c r="I33" s="171"/>
      <c r="J33" s="231">
        <v>402060.61</v>
      </c>
      <c r="K33" s="222">
        <f>J33-'P5'!J41</f>
        <v>65857.320000000007</v>
      </c>
      <c r="N33" s="304"/>
      <c r="O33" s="104"/>
      <c r="P33" s="306"/>
    </row>
    <row r="34" spans="1:16" ht="15.75" thickBot="1" x14ac:dyDescent="0.3">
      <c r="A34" s="171"/>
      <c r="B34" s="171"/>
      <c r="C34" s="171"/>
      <c r="D34" s="171"/>
      <c r="E34" s="171"/>
      <c r="F34" s="171"/>
      <c r="G34" s="171" t="s">
        <v>65</v>
      </c>
      <c r="H34" s="171"/>
      <c r="I34" s="171"/>
      <c r="J34" s="231">
        <v>130891.84</v>
      </c>
      <c r="K34" s="222">
        <f>J34-'P5'!J42</f>
        <v>22591.08</v>
      </c>
      <c r="N34" s="307"/>
      <c r="O34" s="308">
        <f>O32/1000/146.33</f>
        <v>68.286072575685083</v>
      </c>
      <c r="P34" s="309"/>
    </row>
    <row r="35" spans="1:16" x14ac:dyDescent="0.25">
      <c r="A35" s="171"/>
      <c r="B35" s="171"/>
      <c r="C35" s="171"/>
      <c r="D35" s="171"/>
      <c r="E35" s="171"/>
      <c r="F35" s="171"/>
      <c r="G35" s="171" t="s">
        <v>66</v>
      </c>
      <c r="H35" s="171"/>
      <c r="I35" s="171"/>
      <c r="J35" s="231">
        <v>35715.629999999997</v>
      </c>
      <c r="K35" s="168">
        <f>J35-'P5'!J43</f>
        <v>710.15999999999622</v>
      </c>
    </row>
    <row r="36" spans="1:16" ht="15.75" thickBot="1" x14ac:dyDescent="0.3">
      <c r="A36" s="171"/>
      <c r="B36" s="171"/>
      <c r="C36" s="171"/>
      <c r="D36" s="171"/>
      <c r="E36" s="171"/>
      <c r="F36" s="171"/>
      <c r="G36" s="171" t="s">
        <v>645</v>
      </c>
      <c r="H36" s="171"/>
      <c r="I36" s="171"/>
      <c r="J36" s="238">
        <v>89027.13</v>
      </c>
      <c r="K36" s="298">
        <f>J36-'P5'!J44</f>
        <v>0</v>
      </c>
    </row>
    <row r="37" spans="1:16" ht="15.75" thickBot="1" x14ac:dyDescent="0.3">
      <c r="A37" s="171"/>
      <c r="B37" s="171"/>
      <c r="C37" s="171"/>
      <c r="D37" s="171"/>
      <c r="E37" s="171"/>
      <c r="F37" s="171" t="s">
        <v>67</v>
      </c>
      <c r="G37" s="171"/>
      <c r="H37" s="171"/>
      <c r="I37" s="171"/>
      <c r="J37" s="231">
        <f>ROUND(SUM(J29:J36),5)</f>
        <v>1939484.71</v>
      </c>
      <c r="K37" s="299">
        <f>SUM(K30:K36)</f>
        <v>221566.45000000004</v>
      </c>
    </row>
    <row r="38" spans="1:16" ht="30" customHeight="1" thickTop="1" x14ac:dyDescent="0.25">
      <c r="A38" s="171"/>
      <c r="B38" s="171"/>
      <c r="C38" s="171"/>
      <c r="D38" s="171"/>
      <c r="E38" s="171"/>
      <c r="F38" s="171" t="s">
        <v>68</v>
      </c>
      <c r="G38" s="171"/>
      <c r="H38" s="171"/>
      <c r="I38" s="171"/>
      <c r="J38" s="176"/>
    </row>
    <row r="39" spans="1:16" x14ac:dyDescent="0.25">
      <c r="A39" s="171"/>
      <c r="B39" s="171"/>
      <c r="C39" s="171"/>
      <c r="D39" s="171"/>
      <c r="E39" s="171"/>
      <c r="F39" s="171"/>
      <c r="G39" s="171" t="s">
        <v>690</v>
      </c>
      <c r="H39" s="171"/>
      <c r="I39" s="171"/>
      <c r="J39" s="176">
        <v>28425</v>
      </c>
    </row>
    <row r="40" spans="1:16" ht="15.75" thickBot="1" x14ac:dyDescent="0.3">
      <c r="A40" s="171"/>
      <c r="B40" s="171"/>
      <c r="C40" s="171"/>
      <c r="D40" s="171"/>
      <c r="E40" s="171"/>
      <c r="F40" s="171"/>
      <c r="G40" s="171" t="s">
        <v>691</v>
      </c>
      <c r="H40" s="171"/>
      <c r="I40" s="171"/>
      <c r="J40" s="220">
        <v>17900</v>
      </c>
    </row>
    <row r="41" spans="1:16" ht="15.75" thickBot="1" x14ac:dyDescent="0.3">
      <c r="A41" s="171"/>
      <c r="B41" s="171"/>
      <c r="C41" s="171"/>
      <c r="D41" s="171"/>
      <c r="E41" s="171"/>
      <c r="F41" s="171" t="s">
        <v>70</v>
      </c>
      <c r="G41" s="171"/>
      <c r="H41" s="171"/>
      <c r="I41" s="171"/>
      <c r="J41" s="176">
        <f>ROUND(SUM(J38:J40),5)</f>
        <v>46325</v>
      </c>
    </row>
    <row r="42" spans="1:16" ht="15.75" thickBot="1" x14ac:dyDescent="0.3">
      <c r="A42" s="171"/>
      <c r="B42" s="171"/>
      <c r="C42" s="171"/>
      <c r="D42" s="171"/>
      <c r="E42" s="171" t="s">
        <v>71</v>
      </c>
      <c r="F42" s="171"/>
      <c r="G42" s="171"/>
      <c r="H42" s="171"/>
      <c r="I42" s="171"/>
      <c r="J42" s="11">
        <f>ROUND(J13+J19+J22+J28+J37+SUM(J41:J41),5)</f>
        <v>13568934.1</v>
      </c>
    </row>
    <row r="43" spans="1:16" ht="30" customHeight="1" thickBot="1" x14ac:dyDescent="0.3">
      <c r="A43" s="171"/>
      <c r="B43" s="171"/>
      <c r="C43" s="171"/>
      <c r="D43" s="171" t="s">
        <v>723</v>
      </c>
      <c r="E43" s="171"/>
      <c r="F43" s="171"/>
      <c r="G43" s="171"/>
      <c r="H43" s="171"/>
      <c r="I43" s="171"/>
      <c r="J43" s="10">
        <f>ROUND(SUM(J12:J12)+J42,5)</f>
        <v>13568934.1</v>
      </c>
      <c r="L43" s="168">
        <f>(J43-J37-J28)/1000/146.33</f>
        <v>45.578570969725959</v>
      </c>
    </row>
    <row r="44" spans="1:16" ht="30" customHeight="1" x14ac:dyDescent="0.25">
      <c r="A44" s="171"/>
      <c r="B44" s="171"/>
      <c r="C44" s="171" t="s">
        <v>73</v>
      </c>
      <c r="D44" s="171"/>
      <c r="E44" s="171"/>
      <c r="F44" s="171"/>
      <c r="G44" s="171"/>
      <c r="H44" s="171"/>
      <c r="I44" s="171"/>
      <c r="J44" s="176">
        <f>ROUND(J11-J43,5)</f>
        <v>5144274.41</v>
      </c>
    </row>
    <row r="45" spans="1:16" ht="30" customHeight="1" x14ac:dyDescent="0.25">
      <c r="A45" s="171"/>
      <c r="B45" s="171"/>
      <c r="C45" s="171"/>
      <c r="D45" s="171" t="s">
        <v>74</v>
      </c>
      <c r="E45" s="171"/>
      <c r="F45" s="171"/>
      <c r="G45" s="171"/>
      <c r="H45" s="171"/>
      <c r="I45" s="171"/>
      <c r="J45" s="176"/>
    </row>
    <row r="46" spans="1:16" x14ac:dyDescent="0.25">
      <c r="A46" s="171"/>
      <c r="B46" s="171"/>
      <c r="C46" s="171"/>
      <c r="D46" s="171"/>
      <c r="E46" s="171" t="s">
        <v>75</v>
      </c>
      <c r="F46" s="171"/>
      <c r="G46" s="171"/>
      <c r="H46" s="171"/>
      <c r="I46" s="171"/>
      <c r="J46" s="176"/>
    </row>
    <row r="47" spans="1:16" x14ac:dyDescent="0.25">
      <c r="A47" s="171"/>
      <c r="B47" s="171"/>
      <c r="C47" s="171"/>
      <c r="D47" s="171"/>
      <c r="E47" s="171"/>
      <c r="F47" s="171" t="s">
        <v>189</v>
      </c>
      <c r="G47" s="171"/>
      <c r="H47" s="171"/>
      <c r="I47" s="171"/>
      <c r="J47" s="176"/>
    </row>
    <row r="48" spans="1:16" x14ac:dyDescent="0.25">
      <c r="A48" s="171"/>
      <c r="B48" s="171"/>
      <c r="C48" s="171"/>
      <c r="D48" s="171"/>
      <c r="E48" s="171"/>
      <c r="F48" s="171"/>
      <c r="G48" s="171" t="s">
        <v>76</v>
      </c>
      <c r="H48" s="171"/>
      <c r="I48" s="171"/>
      <c r="J48" s="176"/>
    </row>
    <row r="49" spans="1:10" x14ac:dyDescent="0.25">
      <c r="A49" s="171"/>
      <c r="B49" s="171"/>
      <c r="C49" s="171"/>
      <c r="D49" s="171"/>
      <c r="E49" s="171"/>
      <c r="F49" s="171"/>
      <c r="G49" s="171"/>
      <c r="H49" s="171" t="s">
        <v>77</v>
      </c>
      <c r="I49" s="171"/>
      <c r="J49" s="176">
        <v>6000</v>
      </c>
    </row>
    <row r="50" spans="1:10" x14ac:dyDescent="0.25">
      <c r="A50" s="171"/>
      <c r="B50" s="171"/>
      <c r="C50" s="171"/>
      <c r="D50" s="171"/>
      <c r="E50" s="171"/>
      <c r="F50" s="171"/>
      <c r="G50" s="171"/>
      <c r="H50" s="171" t="s">
        <v>78</v>
      </c>
      <c r="I50" s="171"/>
      <c r="J50" s="176">
        <v>42982.8</v>
      </c>
    </row>
    <row r="51" spans="1:10" x14ac:dyDescent="0.25">
      <c r="A51" s="171"/>
      <c r="B51" s="171"/>
      <c r="C51" s="171"/>
      <c r="D51" s="171"/>
      <c r="E51" s="171"/>
      <c r="F51" s="171"/>
      <c r="G51" s="171"/>
      <c r="H51" s="171" t="s">
        <v>79</v>
      </c>
      <c r="I51" s="171"/>
      <c r="J51" s="176">
        <v>7250</v>
      </c>
    </row>
    <row r="52" spans="1:10" x14ac:dyDescent="0.25">
      <c r="A52" s="171"/>
      <c r="B52" s="171"/>
      <c r="C52" s="171"/>
      <c r="D52" s="171"/>
      <c r="E52" s="171"/>
      <c r="F52" s="171"/>
      <c r="G52" s="171"/>
      <c r="H52" s="171" t="s">
        <v>80</v>
      </c>
      <c r="I52" s="171"/>
      <c r="J52" s="176">
        <v>34902</v>
      </c>
    </row>
    <row r="53" spans="1:10" x14ac:dyDescent="0.25">
      <c r="A53" s="171"/>
      <c r="B53" s="171"/>
      <c r="C53" s="171"/>
      <c r="D53" s="171"/>
      <c r="E53" s="171"/>
      <c r="F53" s="171"/>
      <c r="G53" s="171"/>
      <c r="H53" s="171" t="s">
        <v>453</v>
      </c>
      <c r="I53" s="171"/>
      <c r="J53" s="176">
        <v>2570.4</v>
      </c>
    </row>
    <row r="54" spans="1:10" x14ac:dyDescent="0.25">
      <c r="A54" s="171"/>
      <c r="B54" s="171"/>
      <c r="C54" s="171"/>
      <c r="D54" s="171"/>
      <c r="E54" s="171"/>
      <c r="F54" s="171"/>
      <c r="G54" s="171"/>
      <c r="H54" s="171" t="s">
        <v>81</v>
      </c>
      <c r="I54" s="171"/>
      <c r="J54" s="176"/>
    </row>
    <row r="55" spans="1:10" ht="15.75" thickBot="1" x14ac:dyDescent="0.3">
      <c r="A55" s="171"/>
      <c r="B55" s="171"/>
      <c r="C55" s="171"/>
      <c r="D55" s="171"/>
      <c r="E55" s="171"/>
      <c r="F55" s="171"/>
      <c r="G55" s="171"/>
      <c r="H55" s="171"/>
      <c r="I55" s="171" t="s">
        <v>82</v>
      </c>
      <c r="J55" s="220">
        <v>20605</v>
      </c>
    </row>
    <row r="56" spans="1:10" x14ac:dyDescent="0.25">
      <c r="A56" s="171"/>
      <c r="B56" s="171"/>
      <c r="C56" s="171"/>
      <c r="D56" s="171"/>
      <c r="E56" s="171"/>
      <c r="F56" s="171"/>
      <c r="G56" s="171"/>
      <c r="H56" s="171" t="s">
        <v>83</v>
      </c>
      <c r="I56" s="171"/>
      <c r="J56" s="176">
        <f>ROUND(SUM(J54:J55),5)</f>
        <v>20605</v>
      </c>
    </row>
    <row r="57" spans="1:10" ht="30" customHeight="1" x14ac:dyDescent="0.25">
      <c r="A57" s="171"/>
      <c r="B57" s="171"/>
      <c r="C57" s="171"/>
      <c r="D57" s="171"/>
      <c r="E57" s="171"/>
      <c r="F57" s="171"/>
      <c r="G57" s="171"/>
      <c r="H57" s="171" t="s">
        <v>190</v>
      </c>
      <c r="I57" s="171"/>
      <c r="J57" s="176">
        <v>100844</v>
      </c>
    </row>
    <row r="58" spans="1:10" x14ac:dyDescent="0.25">
      <c r="A58" s="171"/>
      <c r="B58" s="171"/>
      <c r="C58" s="171"/>
      <c r="D58" s="171"/>
      <c r="E58" s="171"/>
      <c r="F58" s="171"/>
      <c r="G58" s="171"/>
      <c r="H58" s="171" t="s">
        <v>84</v>
      </c>
      <c r="I58" s="171"/>
      <c r="J58" s="176">
        <v>48000</v>
      </c>
    </row>
    <row r="59" spans="1:10" x14ac:dyDescent="0.25">
      <c r="A59" s="171"/>
      <c r="B59" s="171"/>
      <c r="C59" s="171"/>
      <c r="D59" s="171"/>
      <c r="E59" s="171"/>
      <c r="F59" s="171"/>
      <c r="G59" s="171"/>
      <c r="H59" s="171" t="s">
        <v>517</v>
      </c>
      <c r="I59" s="171"/>
      <c r="J59" s="176"/>
    </row>
    <row r="60" spans="1:10" x14ac:dyDescent="0.25">
      <c r="A60" s="171"/>
      <c r="B60" s="171"/>
      <c r="C60" s="171"/>
      <c r="D60" s="171"/>
      <c r="E60" s="171"/>
      <c r="F60" s="171"/>
      <c r="G60" s="171"/>
      <c r="H60" s="171"/>
      <c r="I60" s="171" t="s">
        <v>518</v>
      </c>
      <c r="J60" s="176">
        <v>7101.61</v>
      </c>
    </row>
    <row r="61" spans="1:10" ht="15.75" thickBot="1" x14ac:dyDescent="0.3">
      <c r="A61" s="171"/>
      <c r="B61" s="171"/>
      <c r="C61" s="171"/>
      <c r="D61" s="171"/>
      <c r="E61" s="171"/>
      <c r="F61" s="171"/>
      <c r="G61" s="171"/>
      <c r="H61" s="171"/>
      <c r="I61" s="171" t="s">
        <v>519</v>
      </c>
      <c r="J61" s="8">
        <v>8391.85</v>
      </c>
    </row>
    <row r="62" spans="1:10" ht="15.75" thickBot="1" x14ac:dyDescent="0.3">
      <c r="A62" s="171"/>
      <c r="B62" s="171"/>
      <c r="C62" s="171"/>
      <c r="D62" s="171"/>
      <c r="E62" s="171"/>
      <c r="F62" s="171"/>
      <c r="G62" s="171"/>
      <c r="H62" s="171" t="s">
        <v>520</v>
      </c>
      <c r="I62" s="171"/>
      <c r="J62" s="10">
        <f>ROUND(SUM(J59:J61),5)</f>
        <v>15493.46</v>
      </c>
    </row>
    <row r="63" spans="1:10" ht="30" customHeight="1" x14ac:dyDescent="0.25">
      <c r="A63" s="171"/>
      <c r="B63" s="171"/>
      <c r="C63" s="171"/>
      <c r="D63" s="171"/>
      <c r="E63" s="171"/>
      <c r="F63" s="171"/>
      <c r="G63" s="171" t="s">
        <v>85</v>
      </c>
      <c r="H63" s="171"/>
      <c r="I63" s="171"/>
      <c r="J63" s="176">
        <f>ROUND(SUM(J48:J53)+SUM(J56:J58)+J62,5)</f>
        <v>278647.65999999997</v>
      </c>
    </row>
    <row r="64" spans="1:10" ht="30" customHeight="1" x14ac:dyDescent="0.25">
      <c r="A64" s="171"/>
      <c r="B64" s="171"/>
      <c r="C64" s="171"/>
      <c r="D64" s="171"/>
      <c r="E64" s="171"/>
      <c r="F64" s="171"/>
      <c r="G64" s="171" t="s">
        <v>86</v>
      </c>
      <c r="H64" s="171"/>
      <c r="I64" s="171"/>
      <c r="J64" s="176"/>
    </row>
    <row r="65" spans="1:10" x14ac:dyDescent="0.25">
      <c r="A65" s="171"/>
      <c r="B65" s="171"/>
      <c r="C65" s="171"/>
      <c r="D65" s="171"/>
      <c r="E65" s="171"/>
      <c r="F65" s="171"/>
      <c r="G65" s="171"/>
      <c r="H65" s="171" t="s">
        <v>87</v>
      </c>
      <c r="I65" s="171"/>
      <c r="J65" s="176">
        <v>271500</v>
      </c>
    </row>
    <row r="66" spans="1:10" x14ac:dyDescent="0.25">
      <c r="A66" s="171"/>
      <c r="B66" s="171"/>
      <c r="C66" s="171"/>
      <c r="D66" s="171"/>
      <c r="E66" s="171"/>
      <c r="F66" s="171"/>
      <c r="G66" s="171"/>
      <c r="H66" s="171" t="s">
        <v>522</v>
      </c>
      <c r="I66" s="171"/>
      <c r="J66" s="176">
        <v>32580</v>
      </c>
    </row>
    <row r="67" spans="1:10" x14ac:dyDescent="0.25">
      <c r="A67" s="171"/>
      <c r="B67" s="171"/>
      <c r="C67" s="171"/>
      <c r="D67" s="171"/>
      <c r="E67" s="171"/>
      <c r="F67" s="171"/>
      <c r="G67" s="171"/>
      <c r="H67" s="171" t="s">
        <v>523</v>
      </c>
      <c r="I67" s="171"/>
      <c r="J67" s="176">
        <v>8145</v>
      </c>
    </row>
    <row r="68" spans="1:10" x14ac:dyDescent="0.25">
      <c r="A68" s="171"/>
      <c r="B68" s="171"/>
      <c r="C68" s="171"/>
      <c r="D68" s="171"/>
      <c r="E68" s="171"/>
      <c r="F68" s="171"/>
      <c r="G68" s="171"/>
      <c r="H68" s="171" t="s">
        <v>524</v>
      </c>
      <c r="I68" s="171"/>
      <c r="J68" s="176">
        <v>73000</v>
      </c>
    </row>
    <row r="69" spans="1:10" x14ac:dyDescent="0.25">
      <c r="A69" s="171"/>
      <c r="B69" s="171"/>
      <c r="C69" s="171"/>
      <c r="D69" s="171"/>
      <c r="E69" s="171"/>
      <c r="F69" s="171"/>
      <c r="G69" s="171"/>
      <c r="H69" s="171" t="s">
        <v>88</v>
      </c>
      <c r="I69" s="171"/>
      <c r="J69" s="176">
        <v>5500</v>
      </c>
    </row>
    <row r="70" spans="1:10" x14ac:dyDescent="0.25">
      <c r="A70" s="171"/>
      <c r="B70" s="171"/>
      <c r="C70" s="171"/>
      <c r="D70" s="171"/>
      <c r="E70" s="171"/>
      <c r="F70" s="171"/>
      <c r="G70" s="171"/>
      <c r="H70" s="171" t="s">
        <v>89</v>
      </c>
      <c r="I70" s="171"/>
      <c r="J70" s="176">
        <v>28000</v>
      </c>
    </row>
    <row r="71" spans="1:10" ht="15.75" thickBot="1" x14ac:dyDescent="0.3">
      <c r="A71" s="171"/>
      <c r="B71" s="171"/>
      <c r="C71" s="171"/>
      <c r="D71" s="171"/>
      <c r="E71" s="171"/>
      <c r="F71" s="171"/>
      <c r="G71" s="171"/>
      <c r="H71" s="171" t="s">
        <v>646</v>
      </c>
      <c r="I71" s="171"/>
      <c r="J71" s="220">
        <v>24200</v>
      </c>
    </row>
    <row r="72" spans="1:10" x14ac:dyDescent="0.25">
      <c r="A72" s="171"/>
      <c r="B72" s="171"/>
      <c r="C72" s="171"/>
      <c r="D72" s="171"/>
      <c r="E72" s="171"/>
      <c r="F72" s="171"/>
      <c r="G72" s="171" t="s">
        <v>91</v>
      </c>
      <c r="H72" s="171"/>
      <c r="I72" s="171"/>
      <c r="J72" s="176">
        <f>ROUND(SUM(J64:J71),5)</f>
        <v>442925</v>
      </c>
    </row>
    <row r="73" spans="1:10" ht="30" customHeight="1" x14ac:dyDescent="0.25">
      <c r="A73" s="171"/>
      <c r="B73" s="171"/>
      <c r="C73" s="171"/>
      <c r="D73" s="171"/>
      <c r="E73" s="171"/>
      <c r="F73" s="171"/>
      <c r="G73" s="171" t="s">
        <v>92</v>
      </c>
      <c r="H73" s="171"/>
      <c r="I73" s="171"/>
      <c r="J73" s="176"/>
    </row>
    <row r="74" spans="1:10" x14ac:dyDescent="0.25">
      <c r="A74" s="171"/>
      <c r="B74" s="171"/>
      <c r="C74" s="171"/>
      <c r="D74" s="171"/>
      <c r="E74" s="171"/>
      <c r="F74" s="171"/>
      <c r="G74" s="171"/>
      <c r="H74" s="171" t="s">
        <v>93</v>
      </c>
      <c r="I74" s="171"/>
      <c r="J74" s="176">
        <v>2254.89</v>
      </c>
    </row>
    <row r="75" spans="1:10" x14ac:dyDescent="0.25">
      <c r="A75" s="171"/>
      <c r="B75" s="171"/>
      <c r="C75" s="171"/>
      <c r="D75" s="171"/>
      <c r="E75" s="171"/>
      <c r="F75" s="171"/>
      <c r="G75" s="171"/>
      <c r="H75" s="171" t="s">
        <v>525</v>
      </c>
      <c r="I75" s="171"/>
      <c r="J75" s="176">
        <v>14528.28</v>
      </c>
    </row>
    <row r="76" spans="1:10" x14ac:dyDescent="0.25">
      <c r="A76" s="171"/>
      <c r="B76" s="171"/>
      <c r="C76" s="171"/>
      <c r="D76" s="171"/>
      <c r="E76" s="171"/>
      <c r="F76" s="171"/>
      <c r="G76" s="171"/>
      <c r="H76" s="171" t="s">
        <v>94</v>
      </c>
      <c r="I76" s="171"/>
      <c r="J76" s="176">
        <v>15300.5</v>
      </c>
    </row>
    <row r="77" spans="1:10" x14ac:dyDescent="0.25">
      <c r="A77" s="171"/>
      <c r="B77" s="171"/>
      <c r="C77" s="171"/>
      <c r="D77" s="171"/>
      <c r="E77" s="171"/>
      <c r="F77" s="171"/>
      <c r="G77" s="171"/>
      <c r="H77" s="171" t="s">
        <v>95</v>
      </c>
      <c r="I77" s="171"/>
      <c r="J77" s="176">
        <v>21592.62</v>
      </c>
    </row>
    <row r="78" spans="1:10" ht="15.75" thickBot="1" x14ac:dyDescent="0.3">
      <c r="A78" s="171"/>
      <c r="B78" s="171"/>
      <c r="C78" s="171"/>
      <c r="D78" s="171"/>
      <c r="E78" s="171"/>
      <c r="F78" s="171"/>
      <c r="G78" s="171"/>
      <c r="H78" s="171" t="s">
        <v>526</v>
      </c>
      <c r="I78" s="171"/>
      <c r="J78" s="220">
        <v>43301.88</v>
      </c>
    </row>
    <row r="79" spans="1:10" x14ac:dyDescent="0.25">
      <c r="A79" s="171"/>
      <c r="B79" s="171"/>
      <c r="C79" s="171"/>
      <c r="D79" s="171"/>
      <c r="E79" s="171"/>
      <c r="F79" s="171"/>
      <c r="G79" s="171" t="s">
        <v>96</v>
      </c>
      <c r="H79" s="171"/>
      <c r="I79" s="171"/>
      <c r="J79" s="176">
        <f>ROUND(SUM(J73:J78),5)</f>
        <v>96978.17</v>
      </c>
    </row>
    <row r="80" spans="1:10" ht="30" customHeight="1" x14ac:dyDescent="0.25">
      <c r="A80" s="171"/>
      <c r="B80" s="171"/>
      <c r="C80" s="171"/>
      <c r="D80" s="171"/>
      <c r="E80" s="171"/>
      <c r="F80" s="171"/>
      <c r="G80" s="171" t="s">
        <v>97</v>
      </c>
      <c r="H80" s="171"/>
      <c r="I80" s="171"/>
      <c r="J80" s="176"/>
    </row>
    <row r="81" spans="1:10" x14ac:dyDescent="0.25">
      <c r="A81" s="171"/>
      <c r="B81" s="171"/>
      <c r="C81" s="171"/>
      <c r="D81" s="171"/>
      <c r="E81" s="171"/>
      <c r="F81" s="171"/>
      <c r="G81" s="171"/>
      <c r="H81" s="171" t="s">
        <v>98</v>
      </c>
      <c r="I81" s="171"/>
      <c r="J81" s="176">
        <v>47235</v>
      </c>
    </row>
    <row r="82" spans="1:10" x14ac:dyDescent="0.25">
      <c r="A82" s="171"/>
      <c r="B82" s="171"/>
      <c r="C82" s="171"/>
      <c r="D82" s="171"/>
      <c r="E82" s="171"/>
      <c r="F82" s="171"/>
      <c r="G82" s="171"/>
      <c r="H82" s="171" t="s">
        <v>625</v>
      </c>
      <c r="I82" s="171"/>
      <c r="J82" s="176">
        <v>21600</v>
      </c>
    </row>
    <row r="83" spans="1:10" x14ac:dyDescent="0.25">
      <c r="A83" s="171"/>
      <c r="B83" s="171"/>
      <c r="C83" s="171"/>
      <c r="D83" s="171"/>
      <c r="E83" s="171"/>
      <c r="F83" s="171"/>
      <c r="G83" s="171"/>
      <c r="H83" s="171" t="s">
        <v>99</v>
      </c>
      <c r="I83" s="171"/>
      <c r="J83" s="176">
        <v>0</v>
      </c>
    </row>
    <row r="84" spans="1:10" x14ac:dyDescent="0.25">
      <c r="A84" s="171"/>
      <c r="B84" s="171"/>
      <c r="C84" s="171"/>
      <c r="D84" s="171"/>
      <c r="E84" s="171"/>
      <c r="F84" s="171"/>
      <c r="G84" s="171"/>
      <c r="H84" s="171" t="s">
        <v>100</v>
      </c>
      <c r="I84" s="171"/>
      <c r="J84" s="176">
        <v>0</v>
      </c>
    </row>
    <row r="85" spans="1:10" ht="15.75" thickBot="1" x14ac:dyDescent="0.3">
      <c r="A85" s="171"/>
      <c r="B85" s="171"/>
      <c r="C85" s="171"/>
      <c r="D85" s="171"/>
      <c r="E85" s="171"/>
      <c r="F85" s="171"/>
      <c r="G85" s="171"/>
      <c r="H85" s="171" t="s">
        <v>527</v>
      </c>
      <c r="I85" s="171"/>
      <c r="J85" s="220">
        <v>14000</v>
      </c>
    </row>
    <row r="86" spans="1:10" x14ac:dyDescent="0.25">
      <c r="A86" s="171"/>
      <c r="B86" s="171"/>
      <c r="C86" s="171"/>
      <c r="D86" s="171"/>
      <c r="E86" s="171"/>
      <c r="F86" s="171"/>
      <c r="G86" s="171" t="s">
        <v>102</v>
      </c>
      <c r="H86" s="171"/>
      <c r="I86" s="171"/>
      <c r="J86" s="176">
        <f>ROUND(SUM(J80:J85),5)</f>
        <v>82835</v>
      </c>
    </row>
    <row r="87" spans="1:10" ht="30" customHeight="1" x14ac:dyDescent="0.25">
      <c r="A87" s="171"/>
      <c r="B87" s="171"/>
      <c r="C87" s="171"/>
      <c r="D87" s="171"/>
      <c r="E87" s="171"/>
      <c r="F87" s="171"/>
      <c r="G87" s="171" t="s">
        <v>103</v>
      </c>
      <c r="H87" s="171"/>
      <c r="I87" s="171"/>
      <c r="J87" s="176"/>
    </row>
    <row r="88" spans="1:10" x14ac:dyDescent="0.25">
      <c r="A88" s="171"/>
      <c r="B88" s="171"/>
      <c r="C88" s="171"/>
      <c r="D88" s="171"/>
      <c r="E88" s="171"/>
      <c r="F88" s="171"/>
      <c r="G88" s="171"/>
      <c r="H88" s="171" t="s">
        <v>104</v>
      </c>
      <c r="I88" s="171"/>
      <c r="J88" s="176">
        <v>46176</v>
      </c>
    </row>
    <row r="89" spans="1:10" x14ac:dyDescent="0.25">
      <c r="A89" s="171"/>
      <c r="B89" s="171"/>
      <c r="C89" s="171"/>
      <c r="D89" s="171"/>
      <c r="E89" s="171"/>
      <c r="F89" s="171"/>
      <c r="G89" s="171"/>
      <c r="H89" s="171" t="s">
        <v>455</v>
      </c>
      <c r="I89" s="171"/>
      <c r="J89" s="176">
        <v>87210</v>
      </c>
    </row>
    <row r="90" spans="1:10" x14ac:dyDescent="0.25">
      <c r="A90" s="171"/>
      <c r="B90" s="171"/>
      <c r="C90" s="171"/>
      <c r="D90" s="171"/>
      <c r="E90" s="171"/>
      <c r="F90" s="171"/>
      <c r="G90" s="171"/>
      <c r="H90" s="171" t="s">
        <v>528</v>
      </c>
      <c r="I90" s="171"/>
      <c r="J90" s="176">
        <v>136850.54</v>
      </c>
    </row>
    <row r="91" spans="1:10" x14ac:dyDescent="0.25">
      <c r="A91" s="171"/>
      <c r="B91" s="171"/>
      <c r="C91" s="171"/>
      <c r="D91" s="171"/>
      <c r="E91" s="171"/>
      <c r="F91" s="171"/>
      <c r="G91" s="171"/>
      <c r="H91" s="171" t="s">
        <v>529</v>
      </c>
      <c r="I91" s="171"/>
      <c r="J91" s="176">
        <v>134366.23000000001</v>
      </c>
    </row>
    <row r="92" spans="1:10" x14ac:dyDescent="0.25">
      <c r="A92" s="171"/>
      <c r="B92" s="171"/>
      <c r="C92" s="171"/>
      <c r="D92" s="171"/>
      <c r="E92" s="171"/>
      <c r="F92" s="171"/>
      <c r="G92" s="171"/>
      <c r="H92" s="171" t="s">
        <v>530</v>
      </c>
      <c r="I92" s="171"/>
      <c r="J92" s="176">
        <v>85420.41</v>
      </c>
    </row>
    <row r="93" spans="1:10" x14ac:dyDescent="0.25">
      <c r="A93" s="171"/>
      <c r="B93" s="171"/>
      <c r="C93" s="171"/>
      <c r="D93" s="171"/>
      <c r="E93" s="171"/>
      <c r="F93" s="171"/>
      <c r="G93" s="171"/>
      <c r="H93" s="171" t="s">
        <v>669</v>
      </c>
      <c r="I93" s="171"/>
      <c r="J93" s="176">
        <v>30000</v>
      </c>
    </row>
    <row r="94" spans="1:10" ht="15.75" thickBot="1" x14ac:dyDescent="0.3">
      <c r="A94" s="171"/>
      <c r="B94" s="171"/>
      <c r="C94" s="171"/>
      <c r="D94" s="171"/>
      <c r="E94" s="171"/>
      <c r="F94" s="171"/>
      <c r="G94" s="171"/>
      <c r="H94" s="171" t="s">
        <v>475</v>
      </c>
      <c r="I94" s="171"/>
      <c r="J94" s="220">
        <v>7600</v>
      </c>
    </row>
    <row r="95" spans="1:10" x14ac:dyDescent="0.25">
      <c r="A95" s="171"/>
      <c r="B95" s="171"/>
      <c r="C95" s="171"/>
      <c r="D95" s="171"/>
      <c r="E95" s="171"/>
      <c r="F95" s="171"/>
      <c r="G95" s="171" t="s">
        <v>108</v>
      </c>
      <c r="H95" s="171"/>
      <c r="I95" s="171"/>
      <c r="J95" s="176">
        <f>ROUND(SUM(J87:J94),5)</f>
        <v>527623.18000000005</v>
      </c>
    </row>
    <row r="96" spans="1:10" ht="30" customHeight="1" x14ac:dyDescent="0.25">
      <c r="A96" s="171"/>
      <c r="B96" s="171"/>
      <c r="C96" s="171"/>
      <c r="D96" s="171"/>
      <c r="E96" s="171"/>
      <c r="F96" s="171"/>
      <c r="G96" s="171" t="s">
        <v>456</v>
      </c>
      <c r="H96" s="171"/>
      <c r="I96" s="171"/>
      <c r="J96" s="176"/>
    </row>
    <row r="97" spans="1:10" ht="15.75" thickBot="1" x14ac:dyDescent="0.3">
      <c r="A97" s="171"/>
      <c r="B97" s="171"/>
      <c r="C97" s="171"/>
      <c r="D97" s="171"/>
      <c r="E97" s="171"/>
      <c r="F97" s="171"/>
      <c r="G97" s="171"/>
      <c r="H97" s="171" t="s">
        <v>476</v>
      </c>
      <c r="I97" s="171"/>
      <c r="J97" s="8">
        <v>6021.59</v>
      </c>
    </row>
    <row r="98" spans="1:10" ht="15.75" thickBot="1" x14ac:dyDescent="0.3">
      <c r="A98" s="171"/>
      <c r="B98" s="171"/>
      <c r="C98" s="171"/>
      <c r="D98" s="171"/>
      <c r="E98" s="171"/>
      <c r="F98" s="171"/>
      <c r="G98" s="171" t="s">
        <v>458</v>
      </c>
      <c r="H98" s="171"/>
      <c r="I98" s="171"/>
      <c r="J98" s="10">
        <f>ROUND(SUM(J96:J97),5)</f>
        <v>6021.59</v>
      </c>
    </row>
    <row r="99" spans="1:10" ht="30" customHeight="1" x14ac:dyDescent="0.25">
      <c r="A99" s="171"/>
      <c r="B99" s="171"/>
      <c r="C99" s="171"/>
      <c r="D99" s="171"/>
      <c r="E99" s="171"/>
      <c r="F99" s="171" t="s">
        <v>191</v>
      </c>
      <c r="G99" s="171"/>
      <c r="H99" s="171"/>
      <c r="I99" s="171"/>
      <c r="J99" s="176">
        <f>ROUND(J47+J63+J72+J79+J86+J95+J98,5)</f>
        <v>1435030.6</v>
      </c>
    </row>
    <row r="100" spans="1:10" ht="30" customHeight="1" x14ac:dyDescent="0.25">
      <c r="A100" s="171"/>
      <c r="B100" s="171"/>
      <c r="C100" s="171"/>
      <c r="D100" s="171"/>
      <c r="E100" s="171"/>
      <c r="F100" s="171" t="s">
        <v>109</v>
      </c>
      <c r="G100" s="171"/>
      <c r="H100" s="171"/>
      <c r="I100" s="171"/>
      <c r="J100" s="176"/>
    </row>
    <row r="101" spans="1:10" x14ac:dyDescent="0.25">
      <c r="A101" s="171"/>
      <c r="B101" s="171"/>
      <c r="C101" s="171"/>
      <c r="D101" s="171"/>
      <c r="E101" s="171"/>
      <c r="F101" s="171"/>
      <c r="G101" s="171" t="s">
        <v>110</v>
      </c>
      <c r="H101" s="171"/>
      <c r="I101" s="171"/>
      <c r="J101" s="176"/>
    </row>
    <row r="102" spans="1:10" x14ac:dyDescent="0.25">
      <c r="A102" s="171"/>
      <c r="B102" s="171"/>
      <c r="C102" s="171"/>
      <c r="D102" s="171"/>
      <c r="E102" s="171"/>
      <c r="F102" s="171"/>
      <c r="G102" s="171"/>
      <c r="H102" s="171" t="s">
        <v>111</v>
      </c>
      <c r="I102" s="171"/>
      <c r="J102" s="176">
        <v>13375</v>
      </c>
    </row>
    <row r="103" spans="1:10" x14ac:dyDescent="0.25">
      <c r="A103" s="171"/>
      <c r="B103" s="171"/>
      <c r="C103" s="171"/>
      <c r="D103" s="171"/>
      <c r="E103" s="171"/>
      <c r="F103" s="171"/>
      <c r="G103" s="171"/>
      <c r="H103" s="171" t="s">
        <v>112</v>
      </c>
      <c r="I103" s="171"/>
      <c r="J103" s="176">
        <v>88769.2</v>
      </c>
    </row>
    <row r="104" spans="1:10" x14ac:dyDescent="0.25">
      <c r="A104" s="171"/>
      <c r="B104" s="171"/>
      <c r="C104" s="171"/>
      <c r="D104" s="171"/>
      <c r="E104" s="171"/>
      <c r="F104" s="171"/>
      <c r="G104" s="171"/>
      <c r="H104" s="171" t="s">
        <v>113</v>
      </c>
      <c r="I104" s="171"/>
      <c r="J104" s="176">
        <v>21279</v>
      </c>
    </row>
    <row r="105" spans="1:10" x14ac:dyDescent="0.25">
      <c r="A105" s="171"/>
      <c r="B105" s="171"/>
      <c r="C105" s="171"/>
      <c r="D105" s="171"/>
      <c r="E105" s="171"/>
      <c r="F105" s="171"/>
      <c r="G105" s="171"/>
      <c r="H105" s="171" t="s">
        <v>532</v>
      </c>
      <c r="I105" s="171"/>
      <c r="J105" s="176">
        <v>89860</v>
      </c>
    </row>
    <row r="106" spans="1:10" x14ac:dyDescent="0.25">
      <c r="A106" s="171"/>
      <c r="B106" s="171"/>
      <c r="C106" s="171"/>
      <c r="D106" s="171"/>
      <c r="E106" s="171"/>
      <c r="F106" s="171"/>
      <c r="G106" s="171"/>
      <c r="H106" s="171" t="s">
        <v>114</v>
      </c>
      <c r="I106" s="171"/>
      <c r="J106" s="176">
        <v>5449.37</v>
      </c>
    </row>
    <row r="107" spans="1:10" x14ac:dyDescent="0.25">
      <c r="A107" s="171"/>
      <c r="B107" s="171"/>
      <c r="C107" s="171"/>
      <c r="D107" s="171"/>
      <c r="E107" s="171"/>
      <c r="F107" s="171"/>
      <c r="G107" s="171"/>
      <c r="H107" s="171" t="s">
        <v>459</v>
      </c>
      <c r="I107" s="171"/>
      <c r="J107" s="176">
        <v>9639</v>
      </c>
    </row>
    <row r="108" spans="1:10" x14ac:dyDescent="0.25">
      <c r="A108" s="171"/>
      <c r="B108" s="171"/>
      <c r="C108" s="171"/>
      <c r="D108" s="171"/>
      <c r="E108" s="171"/>
      <c r="F108" s="171"/>
      <c r="G108" s="171"/>
      <c r="H108" s="171" t="s">
        <v>533</v>
      </c>
      <c r="I108" s="171"/>
      <c r="J108" s="176">
        <v>2233.7399999999998</v>
      </c>
    </row>
    <row r="109" spans="1:10" x14ac:dyDescent="0.25">
      <c r="A109" s="171"/>
      <c r="B109" s="171"/>
      <c r="C109" s="171"/>
      <c r="D109" s="171"/>
      <c r="E109" s="171"/>
      <c r="F109" s="171"/>
      <c r="G109" s="171"/>
      <c r="H109" s="171" t="s">
        <v>115</v>
      </c>
      <c r="I109" s="171"/>
      <c r="J109" s="176">
        <v>25871</v>
      </c>
    </row>
    <row r="110" spans="1:10" ht="15.75" thickBot="1" x14ac:dyDescent="0.3">
      <c r="A110" s="171"/>
      <c r="B110" s="171"/>
      <c r="C110" s="171"/>
      <c r="D110" s="171"/>
      <c r="E110" s="171"/>
      <c r="F110" s="171"/>
      <c r="G110" s="171"/>
      <c r="H110" s="171" t="s">
        <v>535</v>
      </c>
      <c r="I110" s="171"/>
      <c r="J110" s="220">
        <v>37236</v>
      </c>
    </row>
    <row r="111" spans="1:10" x14ac:dyDescent="0.25">
      <c r="A111" s="171"/>
      <c r="B111" s="171"/>
      <c r="C111" s="171"/>
      <c r="D111" s="171"/>
      <c r="E111" s="171"/>
      <c r="F111" s="171"/>
      <c r="G111" s="171" t="s">
        <v>116</v>
      </c>
      <c r="H111" s="171"/>
      <c r="I111" s="171"/>
      <c r="J111" s="176">
        <f>ROUND(SUM(J101:J110),5)</f>
        <v>293712.31</v>
      </c>
    </row>
    <row r="112" spans="1:10" ht="30" customHeight="1" x14ac:dyDescent="0.25">
      <c r="A112" s="171"/>
      <c r="B112" s="171"/>
      <c r="C112" s="171"/>
      <c r="D112" s="171"/>
      <c r="E112" s="171"/>
      <c r="F112" s="171"/>
      <c r="G112" s="171" t="s">
        <v>117</v>
      </c>
      <c r="H112" s="171"/>
      <c r="I112" s="171"/>
      <c r="J112" s="176"/>
    </row>
    <row r="113" spans="1:10" x14ac:dyDescent="0.25">
      <c r="A113" s="171"/>
      <c r="B113" s="171"/>
      <c r="C113" s="171"/>
      <c r="D113" s="171"/>
      <c r="E113" s="171"/>
      <c r="F113" s="171"/>
      <c r="G113" s="171"/>
      <c r="H113" s="171" t="s">
        <v>118</v>
      </c>
      <c r="I113" s="171"/>
      <c r="J113" s="176">
        <v>37500</v>
      </c>
    </row>
    <row r="114" spans="1:10" x14ac:dyDescent="0.25">
      <c r="A114" s="171"/>
      <c r="B114" s="171"/>
      <c r="C114" s="171"/>
      <c r="D114" s="171"/>
      <c r="E114" s="171"/>
      <c r="F114" s="171"/>
      <c r="G114" s="171"/>
      <c r="H114" s="171" t="s">
        <v>536</v>
      </c>
      <c r="I114" s="171"/>
      <c r="J114" s="176">
        <v>4500</v>
      </c>
    </row>
    <row r="115" spans="1:10" x14ac:dyDescent="0.25">
      <c r="A115" s="171"/>
      <c r="B115" s="171"/>
      <c r="C115" s="171"/>
      <c r="D115" s="171"/>
      <c r="E115" s="171"/>
      <c r="F115" s="171"/>
      <c r="G115" s="171"/>
      <c r="H115" s="171" t="s">
        <v>537</v>
      </c>
      <c r="I115" s="171"/>
      <c r="J115" s="176">
        <v>1125</v>
      </c>
    </row>
    <row r="116" spans="1:10" x14ac:dyDescent="0.25">
      <c r="A116" s="171"/>
      <c r="B116" s="171"/>
      <c r="C116" s="171"/>
      <c r="D116" s="171"/>
      <c r="E116" s="171"/>
      <c r="F116" s="171"/>
      <c r="G116" s="171"/>
      <c r="H116" s="171" t="s">
        <v>119</v>
      </c>
      <c r="I116" s="171"/>
      <c r="J116" s="176">
        <v>30000</v>
      </c>
    </row>
    <row r="117" spans="1:10" ht="15.75" thickBot="1" x14ac:dyDescent="0.3">
      <c r="A117" s="171"/>
      <c r="B117" s="171"/>
      <c r="C117" s="171"/>
      <c r="D117" s="171"/>
      <c r="E117" s="171"/>
      <c r="F117" s="171"/>
      <c r="G117" s="171"/>
      <c r="H117" s="171" t="s">
        <v>647</v>
      </c>
      <c r="I117" s="171"/>
      <c r="J117" s="220">
        <v>3208.33</v>
      </c>
    </row>
    <row r="118" spans="1:10" x14ac:dyDescent="0.25">
      <c r="A118" s="171"/>
      <c r="B118" s="171"/>
      <c r="C118" s="171"/>
      <c r="D118" s="171"/>
      <c r="E118" s="171"/>
      <c r="F118" s="171"/>
      <c r="G118" s="171" t="s">
        <v>120</v>
      </c>
      <c r="H118" s="171"/>
      <c r="I118" s="171"/>
      <c r="J118" s="176">
        <f>ROUND(SUM(J112:J117),5)</f>
        <v>76333.33</v>
      </c>
    </row>
    <row r="119" spans="1:10" ht="30" customHeight="1" x14ac:dyDescent="0.25">
      <c r="A119" s="171"/>
      <c r="B119" s="171"/>
      <c r="C119" s="171"/>
      <c r="D119" s="171"/>
      <c r="E119" s="171"/>
      <c r="F119" s="171"/>
      <c r="G119" s="171" t="s">
        <v>121</v>
      </c>
      <c r="H119" s="171"/>
      <c r="I119" s="171"/>
      <c r="J119" s="176"/>
    </row>
    <row r="120" spans="1:10" x14ac:dyDescent="0.25">
      <c r="A120" s="171"/>
      <c r="B120" s="171"/>
      <c r="C120" s="171"/>
      <c r="D120" s="171"/>
      <c r="E120" s="171"/>
      <c r="F120" s="171"/>
      <c r="G120" s="171"/>
      <c r="H120" s="171" t="s">
        <v>538</v>
      </c>
      <c r="I120" s="171"/>
      <c r="J120" s="176">
        <v>26590.98</v>
      </c>
    </row>
    <row r="121" spans="1:10" x14ac:dyDescent="0.25">
      <c r="A121" s="171"/>
      <c r="B121" s="171"/>
      <c r="C121" s="171"/>
      <c r="D121" s="171"/>
      <c r="E121" s="171"/>
      <c r="F121" s="171"/>
      <c r="G121" s="171"/>
      <c r="H121" s="171" t="s">
        <v>539</v>
      </c>
      <c r="I121" s="171"/>
      <c r="J121" s="176">
        <v>25336.29</v>
      </c>
    </row>
    <row r="122" spans="1:10" x14ac:dyDescent="0.25">
      <c r="A122" s="171"/>
      <c r="B122" s="171"/>
      <c r="C122" s="171"/>
      <c r="D122" s="171"/>
      <c r="E122" s="171"/>
      <c r="F122" s="171"/>
      <c r="G122" s="171"/>
      <c r="H122" s="171" t="s">
        <v>460</v>
      </c>
      <c r="I122" s="171"/>
      <c r="J122" s="176">
        <v>3433.89</v>
      </c>
    </row>
    <row r="123" spans="1:10" ht="15.75" thickBot="1" x14ac:dyDescent="0.3">
      <c r="A123" s="171"/>
      <c r="B123" s="171"/>
      <c r="C123" s="171"/>
      <c r="D123" s="171"/>
      <c r="E123" s="171"/>
      <c r="F123" s="171"/>
      <c r="G123" s="171"/>
      <c r="H123" s="171" t="s">
        <v>461</v>
      </c>
      <c r="I123" s="171"/>
      <c r="J123" s="220">
        <v>5500.01</v>
      </c>
    </row>
    <row r="124" spans="1:10" x14ac:dyDescent="0.25">
      <c r="A124" s="171"/>
      <c r="B124" s="171"/>
      <c r="C124" s="171"/>
      <c r="D124" s="171"/>
      <c r="E124" s="171"/>
      <c r="F124" s="171"/>
      <c r="G124" s="171" t="s">
        <v>122</v>
      </c>
      <c r="H124" s="171"/>
      <c r="I124" s="171"/>
      <c r="J124" s="176">
        <f>ROUND(SUM(J119:J123),5)</f>
        <v>60861.17</v>
      </c>
    </row>
    <row r="125" spans="1:10" ht="30" customHeight="1" x14ac:dyDescent="0.25">
      <c r="A125" s="171"/>
      <c r="B125" s="171"/>
      <c r="C125" s="171"/>
      <c r="D125" s="171"/>
      <c r="E125" s="171"/>
      <c r="F125" s="171"/>
      <c r="G125" s="171" t="s">
        <v>123</v>
      </c>
      <c r="H125" s="171"/>
      <c r="I125" s="171"/>
      <c r="J125" s="176"/>
    </row>
    <row r="126" spans="1:10" x14ac:dyDescent="0.25">
      <c r="A126" s="171"/>
      <c r="B126" s="171"/>
      <c r="C126" s="171"/>
      <c r="D126" s="171"/>
      <c r="E126" s="171"/>
      <c r="F126" s="171"/>
      <c r="G126" s="171"/>
      <c r="H126" s="171" t="s">
        <v>540</v>
      </c>
      <c r="I126" s="171"/>
      <c r="J126" s="176">
        <v>200</v>
      </c>
    </row>
    <row r="127" spans="1:10" x14ac:dyDescent="0.25">
      <c r="A127" s="171"/>
      <c r="B127" s="171"/>
      <c r="C127" s="171"/>
      <c r="D127" s="171"/>
      <c r="E127" s="171"/>
      <c r="F127" s="171"/>
      <c r="G127" s="171"/>
      <c r="H127" s="171" t="s">
        <v>462</v>
      </c>
      <c r="I127" s="171"/>
      <c r="J127" s="176">
        <v>40</v>
      </c>
    </row>
    <row r="128" spans="1:10" x14ac:dyDescent="0.25">
      <c r="A128" s="171"/>
      <c r="B128" s="171"/>
      <c r="C128" s="171"/>
      <c r="D128" s="171"/>
      <c r="E128" s="171"/>
      <c r="F128" s="171"/>
      <c r="G128" s="171"/>
      <c r="H128" s="171" t="s">
        <v>463</v>
      </c>
      <c r="I128" s="171"/>
      <c r="J128" s="176">
        <v>4270.49</v>
      </c>
    </row>
    <row r="129" spans="1:10" ht="15.75" thickBot="1" x14ac:dyDescent="0.3">
      <c r="A129" s="171"/>
      <c r="B129" s="171"/>
      <c r="C129" s="171"/>
      <c r="D129" s="171"/>
      <c r="E129" s="171"/>
      <c r="F129" s="171"/>
      <c r="G129" s="171"/>
      <c r="H129" s="171" t="s">
        <v>124</v>
      </c>
      <c r="I129" s="171"/>
      <c r="J129" s="220">
        <v>0</v>
      </c>
    </row>
    <row r="130" spans="1:10" x14ac:dyDescent="0.25">
      <c r="A130" s="171"/>
      <c r="B130" s="171"/>
      <c r="C130" s="171"/>
      <c r="D130" s="171"/>
      <c r="E130" s="171"/>
      <c r="F130" s="171"/>
      <c r="G130" s="171" t="s">
        <v>125</v>
      </c>
      <c r="H130" s="171"/>
      <c r="I130" s="171"/>
      <c r="J130" s="176">
        <f>ROUND(SUM(J125:J129),5)</f>
        <v>4510.49</v>
      </c>
    </row>
    <row r="131" spans="1:10" ht="30" customHeight="1" x14ac:dyDescent="0.25">
      <c r="A131" s="171"/>
      <c r="B131" s="171"/>
      <c r="C131" s="171"/>
      <c r="D131" s="171"/>
      <c r="E131" s="171"/>
      <c r="F131" s="171"/>
      <c r="G131" s="171" t="s">
        <v>126</v>
      </c>
      <c r="H131" s="171"/>
      <c r="I131" s="171"/>
      <c r="J131" s="176"/>
    </row>
    <row r="132" spans="1:10" x14ac:dyDescent="0.25">
      <c r="A132" s="171"/>
      <c r="B132" s="171"/>
      <c r="C132" s="171"/>
      <c r="D132" s="171"/>
      <c r="E132" s="171"/>
      <c r="F132" s="171"/>
      <c r="G132" s="171"/>
      <c r="H132" s="171" t="s">
        <v>127</v>
      </c>
      <c r="I132" s="171"/>
      <c r="J132" s="176">
        <v>5640</v>
      </c>
    </row>
    <row r="133" spans="1:10" x14ac:dyDescent="0.25">
      <c r="A133" s="171"/>
      <c r="B133" s="171"/>
      <c r="C133" s="171"/>
      <c r="D133" s="171"/>
      <c r="E133" s="171"/>
      <c r="F133" s="171"/>
      <c r="G133" s="171"/>
      <c r="H133" s="171" t="s">
        <v>128</v>
      </c>
      <c r="I133" s="171"/>
      <c r="J133" s="176">
        <v>48067</v>
      </c>
    </row>
    <row r="134" spans="1:10" x14ac:dyDescent="0.25">
      <c r="A134" s="171"/>
      <c r="B134" s="171"/>
      <c r="C134" s="171"/>
      <c r="D134" s="171"/>
      <c r="E134" s="171"/>
      <c r="F134" s="171"/>
      <c r="G134" s="171"/>
      <c r="H134" s="171" t="s">
        <v>129</v>
      </c>
      <c r="I134" s="171"/>
      <c r="J134" s="176">
        <v>530</v>
      </c>
    </row>
    <row r="135" spans="1:10" x14ac:dyDescent="0.25">
      <c r="A135" s="171"/>
      <c r="B135" s="171"/>
      <c r="C135" s="171"/>
      <c r="D135" s="171"/>
      <c r="E135" s="171"/>
      <c r="F135" s="171"/>
      <c r="G135" s="171"/>
      <c r="H135" s="171" t="s">
        <v>542</v>
      </c>
      <c r="I135" s="171"/>
      <c r="J135" s="176">
        <v>46831.96</v>
      </c>
    </row>
    <row r="136" spans="1:10" ht="15.75" thickBot="1" x14ac:dyDescent="0.3">
      <c r="A136" s="171"/>
      <c r="B136" s="171"/>
      <c r="C136" s="171"/>
      <c r="D136" s="171"/>
      <c r="E136" s="171"/>
      <c r="F136" s="171"/>
      <c r="G136" s="171"/>
      <c r="H136" s="171" t="s">
        <v>543</v>
      </c>
      <c r="I136" s="171"/>
      <c r="J136" s="220">
        <v>54662.96</v>
      </c>
    </row>
    <row r="137" spans="1:10" x14ac:dyDescent="0.25">
      <c r="A137" s="171"/>
      <c r="B137" s="171"/>
      <c r="C137" s="171"/>
      <c r="D137" s="171"/>
      <c r="E137" s="171"/>
      <c r="F137" s="171"/>
      <c r="G137" s="171" t="s">
        <v>130</v>
      </c>
      <c r="H137" s="171"/>
      <c r="I137" s="171"/>
      <c r="J137" s="176">
        <f>ROUND(SUM(J131:J136),5)</f>
        <v>155731.92000000001</v>
      </c>
    </row>
    <row r="138" spans="1:10" ht="30" customHeight="1" x14ac:dyDescent="0.25">
      <c r="A138" s="171"/>
      <c r="B138" s="171"/>
      <c r="C138" s="171"/>
      <c r="D138" s="171"/>
      <c r="E138" s="171"/>
      <c r="F138" s="171"/>
      <c r="G138" s="171" t="s">
        <v>131</v>
      </c>
      <c r="H138" s="171"/>
      <c r="I138" s="171"/>
      <c r="J138" s="176"/>
    </row>
    <row r="139" spans="1:10" ht="15.75" thickBot="1" x14ac:dyDescent="0.3">
      <c r="A139" s="171"/>
      <c r="B139" s="171"/>
      <c r="C139" s="171"/>
      <c r="D139" s="171"/>
      <c r="E139" s="171"/>
      <c r="F139" s="171"/>
      <c r="G139" s="171"/>
      <c r="H139" s="171" t="s">
        <v>692</v>
      </c>
      <c r="I139" s="171"/>
      <c r="J139" s="220">
        <v>17388.84</v>
      </c>
    </row>
    <row r="140" spans="1:10" x14ac:dyDescent="0.25">
      <c r="A140" s="171"/>
      <c r="B140" s="171"/>
      <c r="C140" s="171"/>
      <c r="D140" s="171"/>
      <c r="E140" s="171"/>
      <c r="F140" s="171"/>
      <c r="G140" s="171" t="s">
        <v>133</v>
      </c>
      <c r="H140" s="171"/>
      <c r="I140" s="171"/>
      <c r="J140" s="176">
        <f>ROUND(SUM(J138:J139),5)</f>
        <v>17388.84</v>
      </c>
    </row>
    <row r="141" spans="1:10" ht="30" customHeight="1" thickBot="1" x14ac:dyDescent="0.3">
      <c r="A141" s="171"/>
      <c r="B141" s="171"/>
      <c r="C141" s="171"/>
      <c r="D141" s="171"/>
      <c r="E141" s="171"/>
      <c r="F141" s="171"/>
      <c r="G141" s="171" t="s">
        <v>681</v>
      </c>
      <c r="H141" s="171"/>
      <c r="I141" s="171"/>
      <c r="J141" s="220">
        <v>2370</v>
      </c>
    </row>
    <row r="142" spans="1:10" x14ac:dyDescent="0.25">
      <c r="A142" s="171"/>
      <c r="B142" s="171"/>
      <c r="C142" s="171"/>
      <c r="D142" s="171"/>
      <c r="E142" s="171"/>
      <c r="F142" s="171" t="s">
        <v>134</v>
      </c>
      <c r="G142" s="171"/>
      <c r="H142" s="171"/>
      <c r="I142" s="171"/>
      <c r="J142" s="176">
        <f>ROUND(J100+J111+J118+J124+J130+J137+SUM(J140:J141),5)</f>
        <v>610908.06000000006</v>
      </c>
    </row>
    <row r="143" spans="1:10" ht="30" customHeight="1" x14ac:dyDescent="0.25">
      <c r="A143" s="171"/>
      <c r="B143" s="171"/>
      <c r="C143" s="171"/>
      <c r="D143" s="171"/>
      <c r="E143" s="171"/>
      <c r="F143" s="171" t="s">
        <v>135</v>
      </c>
      <c r="G143" s="171"/>
      <c r="H143" s="171"/>
      <c r="I143" s="171"/>
      <c r="J143" s="176"/>
    </row>
    <row r="144" spans="1:10" x14ac:dyDescent="0.25">
      <c r="A144" s="171"/>
      <c r="B144" s="171"/>
      <c r="C144" s="171"/>
      <c r="D144" s="171"/>
      <c r="E144" s="171"/>
      <c r="F144" s="171"/>
      <c r="G144" s="171" t="s">
        <v>192</v>
      </c>
      <c r="H144" s="171"/>
      <c r="I144" s="171"/>
      <c r="J144" s="176"/>
    </row>
    <row r="145" spans="1:10" x14ac:dyDescent="0.25">
      <c r="A145" s="171"/>
      <c r="B145" s="171"/>
      <c r="C145" s="171"/>
      <c r="D145" s="171"/>
      <c r="E145" s="171"/>
      <c r="F145" s="171"/>
      <c r="G145" s="171"/>
      <c r="H145" s="171" t="s">
        <v>193</v>
      </c>
      <c r="I145" s="171"/>
      <c r="J145" s="176">
        <v>500</v>
      </c>
    </row>
    <row r="146" spans="1:10" x14ac:dyDescent="0.25">
      <c r="A146" s="171"/>
      <c r="B146" s="171"/>
      <c r="C146" s="171"/>
      <c r="D146" s="171"/>
      <c r="E146" s="171"/>
      <c r="F146" s="171"/>
      <c r="G146" s="171"/>
      <c r="H146" s="171" t="s">
        <v>544</v>
      </c>
      <c r="I146" s="171"/>
      <c r="J146" s="176">
        <v>2680</v>
      </c>
    </row>
    <row r="147" spans="1:10" ht="15.75" thickBot="1" x14ac:dyDescent="0.3">
      <c r="A147" s="171"/>
      <c r="B147" s="171"/>
      <c r="C147" s="171"/>
      <c r="D147" s="171"/>
      <c r="E147" s="171"/>
      <c r="F147" s="171"/>
      <c r="G147" s="171"/>
      <c r="H147" s="171" t="s">
        <v>545</v>
      </c>
      <c r="I147" s="171"/>
      <c r="J147" s="220">
        <v>1200.1099999999999</v>
      </c>
    </row>
    <row r="148" spans="1:10" x14ac:dyDescent="0.25">
      <c r="A148" s="171"/>
      <c r="B148" s="171"/>
      <c r="C148" s="171"/>
      <c r="D148" s="171"/>
      <c r="E148" s="171"/>
      <c r="F148" s="171"/>
      <c r="G148" s="171" t="s">
        <v>194</v>
      </c>
      <c r="H148" s="171"/>
      <c r="I148" s="171"/>
      <c r="J148" s="176">
        <f>ROUND(SUM(J144:J147),5)</f>
        <v>4380.1099999999997</v>
      </c>
    </row>
    <row r="149" spans="1:10" ht="30" customHeight="1" x14ac:dyDescent="0.25">
      <c r="A149" s="171"/>
      <c r="B149" s="171"/>
      <c r="C149" s="171"/>
      <c r="D149" s="171"/>
      <c r="E149" s="171"/>
      <c r="F149" s="171"/>
      <c r="G149" s="171" t="s">
        <v>195</v>
      </c>
      <c r="H149" s="171"/>
      <c r="I149" s="171"/>
      <c r="J149" s="176"/>
    </row>
    <row r="150" spans="1:10" x14ac:dyDescent="0.25">
      <c r="A150" s="171"/>
      <c r="B150" s="171"/>
      <c r="C150" s="171"/>
      <c r="D150" s="171"/>
      <c r="E150" s="171"/>
      <c r="F150" s="171"/>
      <c r="G150" s="171"/>
      <c r="H150" s="171" t="s">
        <v>136</v>
      </c>
      <c r="I150" s="171"/>
      <c r="J150" s="176">
        <v>1865</v>
      </c>
    </row>
    <row r="151" spans="1:10" x14ac:dyDescent="0.25">
      <c r="A151" s="171"/>
      <c r="B151" s="171"/>
      <c r="C151" s="171"/>
      <c r="D151" s="171"/>
      <c r="E151" s="171"/>
      <c r="F151" s="171"/>
      <c r="G151" s="171"/>
      <c r="H151" s="171" t="s">
        <v>137</v>
      </c>
      <c r="I151" s="171"/>
      <c r="J151" s="176">
        <v>55059</v>
      </c>
    </row>
    <row r="152" spans="1:10" ht="15.75" thickBot="1" x14ac:dyDescent="0.3">
      <c r="A152" s="171"/>
      <c r="B152" s="171"/>
      <c r="C152" s="171"/>
      <c r="D152" s="171"/>
      <c r="E152" s="171"/>
      <c r="F152" s="171"/>
      <c r="G152" s="171"/>
      <c r="H152" s="171" t="s">
        <v>548</v>
      </c>
      <c r="I152" s="171"/>
      <c r="J152" s="8">
        <v>9452.4</v>
      </c>
    </row>
    <row r="153" spans="1:10" ht="15.75" thickBot="1" x14ac:dyDescent="0.3">
      <c r="A153" s="171"/>
      <c r="B153" s="171"/>
      <c r="C153" s="171"/>
      <c r="D153" s="171"/>
      <c r="E153" s="171"/>
      <c r="F153" s="171"/>
      <c r="G153" s="171" t="s">
        <v>196</v>
      </c>
      <c r="H153" s="171"/>
      <c r="I153" s="171"/>
      <c r="J153" s="10">
        <f>ROUND(SUM(J149:J152),5)</f>
        <v>66376.399999999994</v>
      </c>
    </row>
    <row r="154" spans="1:10" ht="30" customHeight="1" x14ac:dyDescent="0.25">
      <c r="A154" s="171"/>
      <c r="B154" s="171"/>
      <c r="C154" s="171"/>
      <c r="D154" s="171"/>
      <c r="E154" s="171"/>
      <c r="F154" s="171" t="s">
        <v>138</v>
      </c>
      <c r="G154" s="171"/>
      <c r="H154" s="171"/>
      <c r="I154" s="171"/>
      <c r="J154" s="176">
        <f>ROUND(J143+J148+J153,5)</f>
        <v>70756.509999999995</v>
      </c>
    </row>
    <row r="155" spans="1:10" ht="30" customHeight="1" x14ac:dyDescent="0.25">
      <c r="A155" s="171"/>
      <c r="B155" s="171"/>
      <c r="C155" s="171"/>
      <c r="D155" s="171"/>
      <c r="E155" s="171"/>
      <c r="F155" s="171" t="s">
        <v>206</v>
      </c>
      <c r="G155" s="171"/>
      <c r="H155" s="171"/>
      <c r="I155" s="171"/>
      <c r="J155" s="176"/>
    </row>
    <row r="156" spans="1:10" x14ac:dyDescent="0.25">
      <c r="A156" s="171"/>
      <c r="B156" s="171"/>
      <c r="C156" s="171"/>
      <c r="D156" s="171"/>
      <c r="E156" s="171"/>
      <c r="F156" s="171"/>
      <c r="G156" s="171" t="s">
        <v>184</v>
      </c>
      <c r="H156" s="171"/>
      <c r="I156" s="171"/>
      <c r="J156" s="176"/>
    </row>
    <row r="157" spans="1:10" x14ac:dyDescent="0.25">
      <c r="A157" s="171"/>
      <c r="B157" s="171"/>
      <c r="C157" s="171"/>
      <c r="D157" s="171"/>
      <c r="E157" s="171"/>
      <c r="F157" s="171"/>
      <c r="G157" s="171"/>
      <c r="H157" s="171" t="s">
        <v>464</v>
      </c>
      <c r="I157" s="171"/>
      <c r="J157" s="176">
        <v>56202</v>
      </c>
    </row>
    <row r="158" spans="1:10" x14ac:dyDescent="0.25">
      <c r="A158" s="171"/>
      <c r="B158" s="171"/>
      <c r="C158" s="171"/>
      <c r="D158" s="171"/>
      <c r="E158" s="171"/>
      <c r="F158" s="171"/>
      <c r="G158" s="171"/>
      <c r="H158" s="171" t="s">
        <v>185</v>
      </c>
      <c r="I158" s="171"/>
      <c r="J158" s="176"/>
    </row>
    <row r="159" spans="1:10" x14ac:dyDescent="0.25">
      <c r="A159" s="171"/>
      <c r="B159" s="171"/>
      <c r="C159" s="171"/>
      <c r="D159" s="171"/>
      <c r="E159" s="171"/>
      <c r="F159" s="171"/>
      <c r="G159" s="171"/>
      <c r="H159" s="171"/>
      <c r="I159" s="171" t="s">
        <v>262</v>
      </c>
      <c r="J159" s="176">
        <v>32578</v>
      </c>
    </row>
    <row r="160" spans="1:10" ht="15.75" thickBot="1" x14ac:dyDescent="0.3">
      <c r="A160" s="171"/>
      <c r="B160" s="171"/>
      <c r="C160" s="171"/>
      <c r="D160" s="171"/>
      <c r="E160" s="171"/>
      <c r="F160" s="171"/>
      <c r="G160" s="171"/>
      <c r="H160" s="171"/>
      <c r="I160" s="171" t="s">
        <v>552</v>
      </c>
      <c r="J160" s="220">
        <v>190</v>
      </c>
    </row>
    <row r="161" spans="1:10" x14ac:dyDescent="0.25">
      <c r="A161" s="171"/>
      <c r="B161" s="171"/>
      <c r="C161" s="171"/>
      <c r="D161" s="171"/>
      <c r="E161" s="171"/>
      <c r="F161" s="171"/>
      <c r="G161" s="171"/>
      <c r="H161" s="171" t="s">
        <v>263</v>
      </c>
      <c r="I161" s="171"/>
      <c r="J161" s="176">
        <f>ROUND(SUM(J158:J160),5)</f>
        <v>32768</v>
      </c>
    </row>
    <row r="162" spans="1:10" ht="30" customHeight="1" thickBot="1" x14ac:dyDescent="0.3">
      <c r="A162" s="171"/>
      <c r="B162" s="171"/>
      <c r="C162" s="171"/>
      <c r="D162" s="171"/>
      <c r="E162" s="171"/>
      <c r="F162" s="171"/>
      <c r="G162" s="171"/>
      <c r="H162" s="171" t="s">
        <v>553</v>
      </c>
      <c r="I162" s="171"/>
      <c r="J162" s="220">
        <v>4726.04</v>
      </c>
    </row>
    <row r="163" spans="1:10" x14ac:dyDescent="0.25">
      <c r="A163" s="171"/>
      <c r="B163" s="171"/>
      <c r="C163" s="171"/>
      <c r="D163" s="171"/>
      <c r="E163" s="171"/>
      <c r="F163" s="171"/>
      <c r="G163" s="171" t="s">
        <v>186</v>
      </c>
      <c r="H163" s="171"/>
      <c r="I163" s="171"/>
      <c r="J163" s="176">
        <f>ROUND(SUM(J156:J157)+SUM(J161:J162),5)</f>
        <v>93696.04</v>
      </c>
    </row>
    <row r="164" spans="1:10" ht="30" customHeight="1" x14ac:dyDescent="0.25">
      <c r="A164" s="171"/>
      <c r="B164" s="171"/>
      <c r="C164" s="171"/>
      <c r="D164" s="171"/>
      <c r="E164" s="171"/>
      <c r="F164" s="171"/>
      <c r="G164" s="171" t="s">
        <v>207</v>
      </c>
      <c r="H164" s="171"/>
      <c r="I164" s="171"/>
      <c r="J164" s="176"/>
    </row>
    <row r="165" spans="1:10" x14ac:dyDescent="0.25">
      <c r="A165" s="171"/>
      <c r="B165" s="171"/>
      <c r="C165" s="171"/>
      <c r="D165" s="171"/>
      <c r="E165" s="171"/>
      <c r="F165" s="171"/>
      <c r="G165" s="171"/>
      <c r="H165" s="171" t="s">
        <v>211</v>
      </c>
      <c r="I165" s="171"/>
      <c r="J165" s="176">
        <v>50000</v>
      </c>
    </row>
    <row r="166" spans="1:10" x14ac:dyDescent="0.25">
      <c r="A166" s="171"/>
      <c r="B166" s="171"/>
      <c r="C166" s="171"/>
      <c r="D166" s="171"/>
      <c r="E166" s="171"/>
      <c r="F166" s="171"/>
      <c r="G166" s="171"/>
      <c r="H166" s="171" t="s">
        <v>554</v>
      </c>
      <c r="I166" s="171"/>
      <c r="J166" s="176">
        <v>4800</v>
      </c>
    </row>
    <row r="167" spans="1:10" x14ac:dyDescent="0.25">
      <c r="A167" s="171"/>
      <c r="B167" s="171"/>
      <c r="C167" s="171"/>
      <c r="D167" s="171"/>
      <c r="E167" s="171"/>
      <c r="F167" s="171"/>
      <c r="G167" s="171"/>
      <c r="H167" s="171" t="s">
        <v>555</v>
      </c>
      <c r="I167" s="171"/>
      <c r="J167" s="176">
        <v>1200</v>
      </c>
    </row>
    <row r="168" spans="1:10" ht="15.75" thickBot="1" x14ac:dyDescent="0.3">
      <c r="A168" s="171"/>
      <c r="B168" s="171"/>
      <c r="C168" s="171"/>
      <c r="D168" s="171"/>
      <c r="E168" s="171"/>
      <c r="F168" s="171"/>
      <c r="G168" s="171"/>
      <c r="H168" s="171" t="s">
        <v>648</v>
      </c>
      <c r="I168" s="171"/>
      <c r="J168" s="220">
        <v>3666.67</v>
      </c>
    </row>
    <row r="169" spans="1:10" x14ac:dyDescent="0.25">
      <c r="A169" s="171"/>
      <c r="B169" s="171"/>
      <c r="C169" s="171"/>
      <c r="D169" s="171"/>
      <c r="E169" s="171"/>
      <c r="F169" s="171"/>
      <c r="G169" s="171" t="s">
        <v>208</v>
      </c>
      <c r="H169" s="171"/>
      <c r="I169" s="171"/>
      <c r="J169" s="176">
        <f>ROUND(SUM(J164:J168),5)</f>
        <v>59666.67</v>
      </c>
    </row>
    <row r="170" spans="1:10" ht="30" customHeight="1" x14ac:dyDescent="0.25">
      <c r="A170" s="171"/>
      <c r="B170" s="171"/>
      <c r="C170" s="171"/>
      <c r="D170" s="171"/>
      <c r="E170" s="171"/>
      <c r="F170" s="171"/>
      <c r="G170" s="171" t="s">
        <v>187</v>
      </c>
      <c r="H170" s="171"/>
      <c r="I170" s="171"/>
      <c r="J170" s="176"/>
    </row>
    <row r="171" spans="1:10" x14ac:dyDescent="0.25">
      <c r="A171" s="171"/>
      <c r="B171" s="171"/>
      <c r="C171" s="171"/>
      <c r="D171" s="171"/>
      <c r="E171" s="171"/>
      <c r="F171" s="171"/>
      <c r="G171" s="171"/>
      <c r="H171" s="171" t="s">
        <v>556</v>
      </c>
      <c r="I171" s="171"/>
      <c r="J171" s="176">
        <v>1195</v>
      </c>
    </row>
    <row r="172" spans="1:10" ht="15.75" thickBot="1" x14ac:dyDescent="0.3">
      <c r="A172" s="171"/>
      <c r="B172" s="171"/>
      <c r="C172" s="171"/>
      <c r="D172" s="171"/>
      <c r="E172" s="171"/>
      <c r="F172" s="171"/>
      <c r="G172" s="171"/>
      <c r="H172" s="171" t="s">
        <v>209</v>
      </c>
      <c r="I172" s="171"/>
      <c r="J172" s="8">
        <v>45000</v>
      </c>
    </row>
    <row r="173" spans="1:10" ht="15.75" thickBot="1" x14ac:dyDescent="0.3">
      <c r="A173" s="171"/>
      <c r="B173" s="171"/>
      <c r="C173" s="171"/>
      <c r="D173" s="171"/>
      <c r="E173" s="171"/>
      <c r="F173" s="171"/>
      <c r="G173" s="171" t="s">
        <v>188</v>
      </c>
      <c r="H173" s="171"/>
      <c r="I173" s="171"/>
      <c r="J173" s="10">
        <f>ROUND(SUM(J170:J172),5)</f>
        <v>46195</v>
      </c>
    </row>
    <row r="174" spans="1:10" ht="30" customHeight="1" x14ac:dyDescent="0.25">
      <c r="A174" s="171"/>
      <c r="B174" s="171"/>
      <c r="C174" s="171"/>
      <c r="D174" s="171"/>
      <c r="E174" s="171"/>
      <c r="F174" s="171" t="s">
        <v>210</v>
      </c>
      <c r="G174" s="171"/>
      <c r="H174" s="171"/>
      <c r="I174" s="171"/>
      <c r="J174" s="176">
        <f>ROUND(J155+J163+J169+J173,5)</f>
        <v>199557.71</v>
      </c>
    </row>
    <row r="175" spans="1:10" ht="30" customHeight="1" x14ac:dyDescent="0.25">
      <c r="A175" s="171"/>
      <c r="B175" s="171"/>
      <c r="C175" s="171"/>
      <c r="D175" s="171"/>
      <c r="E175" s="171"/>
      <c r="F175" s="171" t="s">
        <v>465</v>
      </c>
      <c r="G175" s="171"/>
      <c r="H175" s="171"/>
      <c r="I175" s="171"/>
      <c r="J175" s="176"/>
    </row>
    <row r="176" spans="1:10" x14ac:dyDescent="0.25">
      <c r="A176" s="171"/>
      <c r="B176" s="171"/>
      <c r="C176" s="171"/>
      <c r="D176" s="171"/>
      <c r="E176" s="171"/>
      <c r="F176" s="171"/>
      <c r="G176" s="171" t="s">
        <v>673</v>
      </c>
      <c r="H176" s="171"/>
      <c r="I176" s="171"/>
      <c r="J176" s="176">
        <v>17500</v>
      </c>
    </row>
    <row r="177" spans="1:10" x14ac:dyDescent="0.25">
      <c r="A177" s="171"/>
      <c r="B177" s="171"/>
      <c r="C177" s="171"/>
      <c r="D177" s="171"/>
      <c r="E177" s="171"/>
      <c r="F177" s="171"/>
      <c r="G177" s="171" t="s">
        <v>557</v>
      </c>
      <c r="H177" s="171"/>
      <c r="I177" s="171"/>
      <c r="J177" s="176">
        <v>182371.67</v>
      </c>
    </row>
    <row r="178" spans="1:10" ht="15.75" thickBot="1" x14ac:dyDescent="0.3">
      <c r="A178" s="171"/>
      <c r="B178" s="171"/>
      <c r="C178" s="171"/>
      <c r="D178" s="171"/>
      <c r="E178" s="171"/>
      <c r="F178" s="171"/>
      <c r="G178" s="171" t="s">
        <v>466</v>
      </c>
      <c r="H178" s="171"/>
      <c r="I178" s="171"/>
      <c r="J178" s="220">
        <v>58140</v>
      </c>
    </row>
    <row r="179" spans="1:10" x14ac:dyDescent="0.25">
      <c r="A179" s="171"/>
      <c r="B179" s="171"/>
      <c r="C179" s="171"/>
      <c r="D179" s="171"/>
      <c r="E179" s="171"/>
      <c r="F179" s="171" t="s">
        <v>467</v>
      </c>
      <c r="G179" s="171"/>
      <c r="H179" s="171"/>
      <c r="I179" s="171"/>
      <c r="J179" s="176">
        <f>ROUND(SUM(J175:J178),5)</f>
        <v>258011.67</v>
      </c>
    </row>
    <row r="180" spans="1:10" ht="30" customHeight="1" x14ac:dyDescent="0.25">
      <c r="A180" s="171"/>
      <c r="B180" s="171"/>
      <c r="C180" s="171"/>
      <c r="D180" s="171"/>
      <c r="E180" s="171"/>
      <c r="F180" s="171" t="s">
        <v>674</v>
      </c>
      <c r="G180" s="171"/>
      <c r="H180" s="171"/>
      <c r="I180" s="171"/>
      <c r="J180" s="176"/>
    </row>
    <row r="181" spans="1:10" ht="15.75" thickBot="1" x14ac:dyDescent="0.3">
      <c r="A181" s="171"/>
      <c r="B181" s="171"/>
      <c r="C181" s="171"/>
      <c r="D181" s="171"/>
      <c r="E181" s="171"/>
      <c r="F181" s="171"/>
      <c r="G181" s="171" t="s">
        <v>675</v>
      </c>
      <c r="H181" s="171"/>
      <c r="I181" s="171"/>
      <c r="J181" s="220">
        <v>12500</v>
      </c>
    </row>
    <row r="182" spans="1:10" x14ac:dyDescent="0.25">
      <c r="A182" s="171"/>
      <c r="B182" s="171"/>
      <c r="C182" s="171"/>
      <c r="D182" s="171"/>
      <c r="E182" s="171"/>
      <c r="F182" s="171" t="s">
        <v>676</v>
      </c>
      <c r="G182" s="171"/>
      <c r="H182" s="171"/>
      <c r="I182" s="171"/>
      <c r="J182" s="176">
        <f>ROUND(SUM(J180:J181),5)</f>
        <v>12500</v>
      </c>
    </row>
    <row r="183" spans="1:10" ht="30" customHeight="1" x14ac:dyDescent="0.25">
      <c r="A183" s="171"/>
      <c r="B183" s="171"/>
      <c r="C183" s="171"/>
      <c r="D183" s="171"/>
      <c r="E183" s="171"/>
      <c r="F183" s="171" t="s">
        <v>139</v>
      </c>
      <c r="G183" s="171"/>
      <c r="H183" s="171"/>
      <c r="I183" s="171"/>
      <c r="J183" s="176"/>
    </row>
    <row r="184" spans="1:10" x14ac:dyDescent="0.25">
      <c r="A184" s="171"/>
      <c r="B184" s="171"/>
      <c r="C184" s="171"/>
      <c r="D184" s="171"/>
      <c r="E184" s="171"/>
      <c r="F184" s="171"/>
      <c r="G184" s="171" t="s">
        <v>468</v>
      </c>
      <c r="H184" s="171"/>
      <c r="I184" s="171"/>
      <c r="J184" s="176"/>
    </row>
    <row r="185" spans="1:10" x14ac:dyDescent="0.25">
      <c r="A185" s="171"/>
      <c r="B185" s="171"/>
      <c r="C185" s="171"/>
      <c r="D185" s="171"/>
      <c r="E185" s="171"/>
      <c r="F185" s="171"/>
      <c r="G185" s="171"/>
      <c r="H185" s="171" t="s">
        <v>649</v>
      </c>
      <c r="I185" s="171"/>
      <c r="J185" s="176">
        <v>24000</v>
      </c>
    </row>
    <row r="186" spans="1:10" x14ac:dyDescent="0.25">
      <c r="A186" s="171"/>
      <c r="B186" s="171"/>
      <c r="C186" s="171"/>
      <c r="D186" s="171"/>
      <c r="E186" s="171"/>
      <c r="F186" s="171"/>
      <c r="G186" s="171"/>
      <c r="H186" s="171" t="s">
        <v>650</v>
      </c>
      <c r="I186" s="171"/>
      <c r="J186" s="176">
        <v>6000</v>
      </c>
    </row>
    <row r="187" spans="1:10" x14ac:dyDescent="0.25">
      <c r="A187" s="171"/>
      <c r="B187" s="171"/>
      <c r="C187" s="171"/>
      <c r="D187" s="171"/>
      <c r="E187" s="171"/>
      <c r="F187" s="171"/>
      <c r="G187" s="171"/>
      <c r="H187" s="171" t="s">
        <v>140</v>
      </c>
      <c r="I187" s="171"/>
      <c r="J187" s="176">
        <v>350000</v>
      </c>
    </row>
    <row r="188" spans="1:10" ht="15.75" thickBot="1" x14ac:dyDescent="0.3">
      <c r="A188" s="171"/>
      <c r="B188" s="171"/>
      <c r="C188" s="171"/>
      <c r="D188" s="171"/>
      <c r="E188" s="171"/>
      <c r="F188" s="171"/>
      <c r="G188" s="171"/>
      <c r="H188" s="171" t="s">
        <v>573</v>
      </c>
      <c r="I188" s="171"/>
      <c r="J188" s="220">
        <v>32083.33</v>
      </c>
    </row>
    <row r="189" spans="1:10" x14ac:dyDescent="0.25">
      <c r="A189" s="171"/>
      <c r="B189" s="171"/>
      <c r="C189" s="171"/>
      <c r="D189" s="171"/>
      <c r="E189" s="171"/>
      <c r="F189" s="171"/>
      <c r="G189" s="171" t="s">
        <v>469</v>
      </c>
      <c r="H189" s="171"/>
      <c r="I189" s="171"/>
      <c r="J189" s="176">
        <f>ROUND(SUM(J184:J188),5)</f>
        <v>412083.33</v>
      </c>
    </row>
    <row r="190" spans="1:10" ht="30" customHeight="1" x14ac:dyDescent="0.25">
      <c r="A190" s="171"/>
      <c r="B190" s="171"/>
      <c r="C190" s="171"/>
      <c r="D190" s="171"/>
      <c r="E190" s="171"/>
      <c r="F190" s="171"/>
      <c r="G190" s="171" t="s">
        <v>141</v>
      </c>
      <c r="H190" s="171"/>
      <c r="I190" s="171"/>
      <c r="J190" s="176"/>
    </row>
    <row r="191" spans="1:10" x14ac:dyDescent="0.25">
      <c r="A191" s="171"/>
      <c r="B191" s="171"/>
      <c r="C191" s="171"/>
      <c r="D191" s="171"/>
      <c r="E191" s="171"/>
      <c r="F191" s="171"/>
      <c r="G191" s="171"/>
      <c r="H191" s="171" t="s">
        <v>628</v>
      </c>
      <c r="I191" s="171"/>
      <c r="J191" s="176">
        <v>11458.33</v>
      </c>
    </row>
    <row r="192" spans="1:10" x14ac:dyDescent="0.25">
      <c r="A192" s="171"/>
      <c r="B192" s="171"/>
      <c r="C192" s="171"/>
      <c r="D192" s="171"/>
      <c r="E192" s="171"/>
      <c r="F192" s="171"/>
      <c r="G192" s="171"/>
      <c r="H192" s="171" t="s">
        <v>142</v>
      </c>
      <c r="I192" s="171"/>
      <c r="J192" s="176">
        <v>14000</v>
      </c>
    </row>
    <row r="193" spans="1:10" x14ac:dyDescent="0.25">
      <c r="A193" s="171"/>
      <c r="B193" s="171"/>
      <c r="C193" s="171"/>
      <c r="D193" s="171"/>
      <c r="E193" s="171"/>
      <c r="F193" s="171"/>
      <c r="G193" s="171"/>
      <c r="H193" s="171" t="s">
        <v>579</v>
      </c>
      <c r="I193" s="171"/>
      <c r="J193" s="176">
        <v>7772.38</v>
      </c>
    </row>
    <row r="194" spans="1:10" x14ac:dyDescent="0.25">
      <c r="A194" s="171"/>
      <c r="B194" s="171"/>
      <c r="C194" s="171"/>
      <c r="D194" s="171"/>
      <c r="E194" s="171"/>
      <c r="F194" s="171"/>
      <c r="G194" s="171"/>
      <c r="H194" s="171" t="s">
        <v>580</v>
      </c>
      <c r="I194" s="171"/>
      <c r="J194" s="176">
        <v>10000</v>
      </c>
    </row>
    <row r="195" spans="1:10" x14ac:dyDescent="0.25">
      <c r="A195" s="171"/>
      <c r="B195" s="171"/>
      <c r="C195" s="171"/>
      <c r="D195" s="171"/>
      <c r="E195" s="171"/>
      <c r="F195" s="171"/>
      <c r="G195" s="171"/>
      <c r="H195" s="171" t="s">
        <v>582</v>
      </c>
      <c r="I195" s="171"/>
      <c r="J195" s="176">
        <v>418924.27</v>
      </c>
    </row>
    <row r="196" spans="1:10" x14ac:dyDescent="0.25">
      <c r="A196" s="171"/>
      <c r="B196" s="171"/>
      <c r="C196" s="171"/>
      <c r="D196" s="171"/>
      <c r="E196" s="171"/>
      <c r="F196" s="171"/>
      <c r="G196" s="171" t="s">
        <v>148</v>
      </c>
      <c r="H196" s="171"/>
      <c r="I196" s="171"/>
      <c r="J196" s="176">
        <f>ROUND(SUM(J190:J192)+SUM(J193:J195),5)</f>
        <v>462154.98</v>
      </c>
    </row>
    <row r="197" spans="1:10" ht="30" customHeight="1" x14ac:dyDescent="0.25">
      <c r="A197" s="171"/>
      <c r="B197" s="171"/>
      <c r="C197" s="171"/>
      <c r="D197" s="171"/>
      <c r="E197" s="171"/>
      <c r="F197" s="171"/>
      <c r="G197" s="171" t="s">
        <v>160</v>
      </c>
      <c r="H197" s="171"/>
      <c r="I197" s="171"/>
      <c r="J197" s="176"/>
    </row>
    <row r="198" spans="1:10" x14ac:dyDescent="0.25">
      <c r="A198" s="171"/>
      <c r="B198" s="171"/>
      <c r="C198" s="171"/>
      <c r="D198" s="171"/>
      <c r="E198" s="171"/>
      <c r="F198" s="171"/>
      <c r="G198" s="171"/>
      <c r="H198" s="171" t="s">
        <v>693</v>
      </c>
      <c r="I198" s="171"/>
      <c r="J198" s="176"/>
    </row>
    <row r="199" spans="1:10" ht="30" customHeight="1" x14ac:dyDescent="0.25">
      <c r="A199" s="171"/>
      <c r="B199" s="171"/>
      <c r="C199" s="171"/>
      <c r="D199" s="171"/>
      <c r="E199" s="171"/>
      <c r="F199" s="171"/>
      <c r="G199" s="171" t="s">
        <v>163</v>
      </c>
      <c r="H199" s="171"/>
      <c r="I199" s="171"/>
      <c r="J199" s="176"/>
    </row>
    <row r="200" spans="1:10" ht="30" customHeight="1" x14ac:dyDescent="0.25">
      <c r="A200" s="171"/>
      <c r="B200" s="171"/>
      <c r="C200" s="171"/>
      <c r="D200" s="171"/>
      <c r="E200" s="171"/>
      <c r="F200" s="171"/>
      <c r="G200" s="171" t="s">
        <v>167</v>
      </c>
      <c r="H200" s="171"/>
      <c r="I200" s="171"/>
      <c r="J200" s="176"/>
    </row>
    <row r="201" spans="1:10" x14ac:dyDescent="0.25">
      <c r="A201" s="171"/>
      <c r="B201" s="171"/>
      <c r="C201" s="171"/>
      <c r="D201" s="171"/>
      <c r="E201" s="171"/>
      <c r="F201" s="171"/>
      <c r="G201" s="171"/>
      <c r="H201" s="171" t="s">
        <v>168</v>
      </c>
      <c r="I201" s="171"/>
      <c r="J201" s="176">
        <v>88796.14</v>
      </c>
    </row>
    <row r="202" spans="1:10" x14ac:dyDescent="0.25">
      <c r="A202" s="171"/>
      <c r="B202" s="171"/>
      <c r="C202" s="171"/>
      <c r="D202" s="171"/>
      <c r="E202" s="171"/>
      <c r="F202" s="171"/>
      <c r="G202" s="171"/>
      <c r="H202" s="171" t="s">
        <v>473</v>
      </c>
      <c r="I202" s="171"/>
      <c r="J202" s="176">
        <v>132606.26999999999</v>
      </c>
    </row>
    <row r="203" spans="1:10" x14ac:dyDescent="0.25">
      <c r="A203" s="171"/>
      <c r="B203" s="171"/>
      <c r="C203" s="171"/>
      <c r="D203" s="171"/>
      <c r="E203" s="171"/>
      <c r="F203" s="171"/>
      <c r="G203" s="171"/>
      <c r="H203" s="171" t="s">
        <v>169</v>
      </c>
      <c r="I203" s="171"/>
      <c r="J203" s="176">
        <v>420955.02</v>
      </c>
    </row>
    <row r="204" spans="1:10" x14ac:dyDescent="0.25">
      <c r="A204" s="171"/>
      <c r="B204" s="171"/>
      <c r="C204" s="171"/>
      <c r="D204" s="171"/>
      <c r="E204" s="171"/>
      <c r="F204" s="171"/>
      <c r="G204" s="171"/>
      <c r="H204" s="171" t="s">
        <v>694</v>
      </c>
      <c r="I204" s="171"/>
      <c r="J204" s="176">
        <v>21151.4</v>
      </c>
    </row>
    <row r="205" spans="1:10" ht="15.75" thickBot="1" x14ac:dyDescent="0.3">
      <c r="A205" s="171"/>
      <c r="B205" s="171"/>
      <c r="C205" s="171"/>
      <c r="D205" s="171"/>
      <c r="E205" s="171"/>
      <c r="F205" s="171"/>
      <c r="G205" s="171"/>
      <c r="H205" s="171" t="s">
        <v>171</v>
      </c>
      <c r="I205" s="171"/>
      <c r="J205" s="8">
        <v>44031.54</v>
      </c>
    </row>
    <row r="206" spans="1:10" ht="15.75" thickBot="1" x14ac:dyDescent="0.3">
      <c r="A206" s="171"/>
      <c r="B206" s="171"/>
      <c r="C206" s="171"/>
      <c r="D206" s="171"/>
      <c r="E206" s="171"/>
      <c r="F206" s="171"/>
      <c r="G206" s="171" t="s">
        <v>172</v>
      </c>
      <c r="H206" s="171"/>
      <c r="I206" s="171"/>
      <c r="J206" s="11">
        <f>ROUND(SUM(J200:J205),5)</f>
        <v>707540.37</v>
      </c>
    </row>
    <row r="207" spans="1:10" ht="30" customHeight="1" thickBot="1" x14ac:dyDescent="0.3">
      <c r="A207" s="171"/>
      <c r="B207" s="171"/>
      <c r="C207" s="171"/>
      <c r="D207" s="171"/>
      <c r="E207" s="171"/>
      <c r="F207" s="171" t="s">
        <v>173</v>
      </c>
      <c r="G207" s="171"/>
      <c r="H207" s="171"/>
      <c r="I207" s="171"/>
      <c r="J207" s="10">
        <f>ROUND(J183+J189+J196+J199+J206,5)</f>
        <v>1581778.68</v>
      </c>
    </row>
    <row r="208" spans="1:10" ht="30" customHeight="1" x14ac:dyDescent="0.25">
      <c r="A208" s="171"/>
      <c r="B208" s="171"/>
      <c r="C208" s="171"/>
      <c r="D208" s="171"/>
      <c r="E208" s="171" t="s">
        <v>174</v>
      </c>
      <c r="F208" s="171"/>
      <c r="G208" s="171"/>
      <c r="H208" s="171"/>
      <c r="I208" s="171"/>
      <c r="J208" s="176">
        <f>ROUND(J46+J99+J142+J154+J174+J179+J182+J207,5)</f>
        <v>4168543.23</v>
      </c>
    </row>
    <row r="209" spans="1:14" ht="30" customHeight="1" thickBot="1" x14ac:dyDescent="0.3">
      <c r="A209" s="171"/>
      <c r="B209" s="171"/>
      <c r="C209" s="171"/>
      <c r="D209" s="171"/>
      <c r="E209" s="171"/>
      <c r="F209" s="171"/>
      <c r="G209" s="171"/>
      <c r="H209" s="171"/>
      <c r="I209" s="171"/>
      <c r="J209" s="237"/>
    </row>
    <row r="210" spans="1:14" ht="15.75" thickBot="1" x14ac:dyDescent="0.3">
      <c r="A210" s="171"/>
      <c r="B210" s="171"/>
      <c r="C210" s="171"/>
      <c r="D210" s="171" t="s">
        <v>175</v>
      </c>
      <c r="E210" s="171"/>
      <c r="F210" s="171"/>
      <c r="G210" s="171"/>
      <c r="H210" s="171"/>
      <c r="I210" s="171"/>
      <c r="J210" s="11">
        <f>ROUND(J45+SUM(J208:J209),5)</f>
        <v>4168543.23</v>
      </c>
      <c r="N210" s="20"/>
    </row>
    <row r="211" spans="1:14" ht="30" customHeight="1" thickBot="1" x14ac:dyDescent="0.3">
      <c r="A211" s="171"/>
      <c r="B211" s="171" t="s">
        <v>176</v>
      </c>
      <c r="C211" s="171"/>
      <c r="D211" s="171"/>
      <c r="E211" s="171"/>
      <c r="F211" s="171"/>
      <c r="G211" s="171"/>
      <c r="H211" s="171"/>
      <c r="I211" s="171"/>
      <c r="J211" s="11">
        <f>ROUND(J2+J44-J210,5)</f>
        <v>975731.18</v>
      </c>
    </row>
    <row r="212" spans="1:14" s="156" customFormat="1" ht="30" customHeight="1" thickBot="1" x14ac:dyDescent="0.25">
      <c r="A212" s="171" t="s">
        <v>177</v>
      </c>
      <c r="B212" s="171"/>
      <c r="C212" s="171"/>
      <c r="D212" s="171"/>
      <c r="E212" s="171"/>
      <c r="F212" s="171"/>
      <c r="G212" s="171"/>
      <c r="H212" s="171"/>
      <c r="I212" s="171"/>
      <c r="J212" s="12">
        <f>J211</f>
        <v>975731.18</v>
      </c>
    </row>
    <row r="213" spans="1:14" ht="15.75" thickTop="1" x14ac:dyDescent="0.25"/>
  </sheetData>
  <pageMargins left="0.7" right="0.7" top="0.75" bottom="0.75" header="0.25" footer="0.3"/>
  <pageSetup orientation="portrait" r:id="rId1"/>
  <headerFooter>
    <oddHeader>&amp;L&amp;"Arial,Bold"&amp;8 10:01 PM
&amp;"Arial,Bold"&amp;8 07/05/16
&amp;"Arial,Bold"&amp;8 Accrual Basis&amp;C&amp;"Arial,Bold"&amp;12 Tropical Fish International (Pvt) Limited
&amp;"Arial,Bold"&amp;14 Profit &amp;&amp; Loss
&amp;"Arial,Bold"&amp;10 May 27 through June 30, 2016</oddHeader>
    <oddFooter>&amp;R&amp;"Arial,Bold"&amp;8 Page &amp;P of &amp;N</oddFooter>
  </headerFooter>
  <drawing r:id="rId2"/>
  <legacyDrawing r:id="rId3"/>
  <controls>
    <mc:AlternateContent xmlns:mc="http://schemas.openxmlformats.org/markup-compatibility/2006">
      <mc:Choice Requires="x14">
        <control shapeId="243714"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243714" r:id="rId4" name="HEADER"/>
      </mc:Fallback>
    </mc:AlternateContent>
    <mc:AlternateContent xmlns:mc="http://schemas.openxmlformats.org/markup-compatibility/2006">
      <mc:Choice Requires="x14">
        <control shapeId="243713"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243713" r:id="rId6" name="FILTER"/>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May VS June</vt:lpstr>
      <vt:lpstr>KPM  - TFI </vt:lpstr>
      <vt:lpstr>P10</vt:lpstr>
      <vt:lpstr>P9.</vt:lpstr>
      <vt:lpstr>P9</vt:lpstr>
      <vt:lpstr>P8</vt:lpstr>
      <vt:lpstr>P7</vt:lpstr>
      <vt:lpstr>Summary</vt:lpstr>
      <vt:lpstr>P6</vt:lpstr>
      <vt:lpstr>P5</vt:lpstr>
      <vt:lpstr>P4</vt:lpstr>
      <vt:lpstr>P3</vt:lpstr>
      <vt:lpstr>P2</vt:lpstr>
      <vt:lpstr>P2 (2)</vt:lpstr>
      <vt:lpstr>Revised P1</vt:lpstr>
      <vt:lpstr>P1</vt:lpstr>
      <vt:lpstr>KPM update - TFI </vt:lpstr>
      <vt:lpstr>TFI &amp; TeKSS-Feb 27-Apr 2</vt:lpstr>
      <vt:lpstr>KPM update - TeKSS</vt:lpstr>
      <vt:lpstr>TeKSS - Jan 2nd to 29th</vt:lpstr>
      <vt:lpstr>Appportionment Basis-Common cos</vt:lpstr>
      <vt:lpstr>Mail from Sam</vt:lpstr>
      <vt:lpstr>Sheet2</vt:lpstr>
      <vt:lpstr>'May VS June'!Print_Titles</vt:lpstr>
      <vt:lpstr>'P10'!Print_Titles</vt:lpstr>
      <vt:lpstr>'P6'!Print_Titles</vt:lpstr>
      <vt:lpstr>'P7'!Print_Titles</vt:lpstr>
      <vt:lpstr>'P8'!Print_Titles</vt:lpstr>
      <vt:lpstr>'P9'!Print_Titles</vt:lpstr>
      <vt:lpstr>P9.!Print_Titles</vt:lpstr>
      <vt:lpstr>'TeKSS - Jan 2nd to 29th'!Print_Titles</vt:lpstr>
      <vt:lpstr>'TFI &amp; TeKSS-Feb 27-Apr 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Edward Gawlik</dc:creator>
  <cp:lastModifiedBy>Chathurangani</cp:lastModifiedBy>
  <cp:lastPrinted>2016-01-20T23:42:35Z</cp:lastPrinted>
  <dcterms:created xsi:type="dcterms:W3CDTF">2012-12-13T14:40:52Z</dcterms:created>
  <dcterms:modified xsi:type="dcterms:W3CDTF">2016-11-12T14:35:00Z</dcterms:modified>
</cp:coreProperties>
</file>