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activeX/activeX2.xml" ContentType="application/vnd.ms-office.activeX+xml"/>
  <Override PartName="/xl/activeX/activeX2.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activeX/activeX3.xml" ContentType="application/vnd.ms-office.activeX+xml"/>
  <Override PartName="/xl/activeX/activeX3.bin" ContentType="application/vnd.ms-office.activeX"/>
  <Override PartName="/xl/activeX/activeX4.xml" ContentType="application/vnd.ms-office.activeX+xml"/>
  <Override PartName="/xl/activeX/activeX4.bin" ContentType="application/vnd.ms-office.activeX"/>
  <Override PartName="/xl/drawings/drawing6.xml" ContentType="application/vnd.openxmlformats-officedocument.drawing+xml"/>
  <Override PartName="/xl/activeX/activeX5.xml" ContentType="application/vnd.ms-office.activeX+xml"/>
  <Override PartName="/xl/activeX/activeX5.bin" ContentType="application/vnd.ms-office.activeX"/>
  <Override PartName="/xl/activeX/activeX6.xml" ContentType="application/vnd.ms-office.activeX+xml"/>
  <Override PartName="/xl/activeX/activeX6.bin" ContentType="application/vnd.ms-office.activeX"/>
  <Override PartName="/xl/drawings/drawing7.xml" ContentType="application/vnd.openxmlformats-officedocument.drawing+xml"/>
  <Override PartName="/xl/activeX/activeX7.xml" ContentType="application/vnd.ms-office.activeX+xml"/>
  <Override PartName="/xl/activeX/activeX7.bin" ContentType="application/vnd.ms-office.activeX"/>
  <Override PartName="/xl/activeX/activeX8.xml" ContentType="application/vnd.ms-office.activeX+xml"/>
  <Override PartName="/xl/activeX/activeX8.bin" ContentType="application/vnd.ms-office.activeX"/>
  <Override PartName="/xl/drawings/drawing8.xml" ContentType="application/vnd.openxmlformats-officedocument.drawing+xml"/>
  <Override PartName="/xl/activeX/activeX9.xml" ContentType="application/vnd.ms-office.activeX+xml"/>
  <Override PartName="/xl/activeX/activeX9.bin" ContentType="application/vnd.ms-office.activeX"/>
  <Override PartName="/xl/activeX/activeX10.xml" ContentType="application/vnd.ms-office.activeX+xml"/>
  <Override PartName="/xl/activeX/activeX10.bin" ContentType="application/vnd.ms-office.activeX"/>
  <Override PartName="/xl/drawings/drawing9.xml" ContentType="application/vnd.openxmlformats-officedocument.drawing+xml"/>
  <Override PartName="/xl/activeX/activeX11.xml" ContentType="application/vnd.ms-office.activeX+xml"/>
  <Override PartName="/xl/activeX/activeX11.bin" ContentType="application/vnd.ms-office.activeX"/>
  <Override PartName="/xl/activeX/activeX12.xml" ContentType="application/vnd.ms-office.activeX+xml"/>
  <Override PartName="/xl/activeX/activeX12.bin" ContentType="application/vnd.ms-office.activeX"/>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codeName="ThisWorkbook" defaultThemeVersion="124226"/>
  <mc:AlternateContent xmlns:mc="http://schemas.openxmlformats.org/markup-compatibility/2006">
    <mc:Choice Requires="x15">
      <x15ac:absPath xmlns:x15ac="http://schemas.microsoft.com/office/spreadsheetml/2010/11/ac" url="C:\Users\Chathurangani Rana\OneDrive - Teknowledge Shared Services\HEAD OFFICE\ACCOUNTS SET 2016 &amp; 2017 TFI\MANAGEMENT ACCOUNTS JAN-MARCH 2018\"/>
    </mc:Choice>
  </mc:AlternateContent>
  <xr:revisionPtr revIDLastSave="326" documentId="13_ncr:1_{B5D6A42D-B8D3-4A5C-81B8-93437143B330}" xr6:coauthVersionLast="31" xr6:coauthVersionMax="31" xr10:uidLastSave="{51803CF0-8A38-4957-BCB4-78F4EA5FD264}"/>
  <bookViews>
    <workbookView xWindow="0" yWindow="0" windowWidth="11850" windowHeight="4155" tabRatio="684" firstSheet="1" activeTab="2" xr2:uid="{00000000-000D-0000-FFFF-FFFF00000000}"/>
  </bookViews>
  <sheets>
    <sheet name="0000000" sheetId="5" state="veryHidden" r:id="rId1"/>
    <sheet name="Sheet1 (2)" sheetId="70" r:id="rId2"/>
    <sheet name="PPE" sheetId="66" r:id="rId3"/>
    <sheet name="BS MARCH 31 (2)" sheetId="69" r:id="rId4"/>
    <sheet name="TB 01.01.2018-03.31.2018" sheetId="68" r:id="rId5"/>
    <sheet name="BS 1.1.2018" sheetId="67" r:id="rId6"/>
    <sheet name="CI" sheetId="1" r:id="rId7"/>
    <sheet name="FP" sheetId="2" r:id="rId8"/>
    <sheet name="1-4" sheetId="6" r:id="rId9"/>
    <sheet name="4-5" sheetId="26" r:id="rId10"/>
    <sheet name="11-15" sheetId="28" r:id="rId11"/>
    <sheet name="6-10" sheetId="23" r:id="rId12"/>
    <sheet name="BS MARCH 31" sheetId="65" r:id="rId13"/>
    <sheet name="PL JAN-MARCH 2018" sheetId="64" r:id="rId14"/>
    <sheet name="CF" sheetId="10" state="hidden" r:id="rId15"/>
    <sheet name="Cash in hand at bank" sheetId="59" state="hidden" r:id="rId16"/>
    <sheet name="2015" sheetId="49" state="hidden" r:id="rId17"/>
    <sheet name="BS 2016" sheetId="55" state="hidden" r:id="rId18"/>
    <sheet name="IS 2016" sheetId="57" state="hidden" r:id="rId19"/>
    <sheet name="2014" sheetId="36" state="hidden" r:id="rId20"/>
    <sheet name="COGS" sheetId="51" state="hidden" r:id="rId21"/>
  </sheets>
  <externalReferences>
    <externalReference r:id="rId22"/>
    <externalReference r:id="rId23"/>
    <externalReference r:id="rId24"/>
    <externalReference r:id="rId25"/>
    <externalReference r:id="rId26"/>
    <externalReference r:id="rId27"/>
  </externalReferences>
  <definedNames>
    <definedName name="_xlnm._FilterDatabase" localSheetId="19" hidden="1">'2014'!$2:$444</definedName>
    <definedName name="_xlnm._FilterDatabase" localSheetId="5" hidden="1">'BS 1.1.2018'!$A$1:$H$295</definedName>
    <definedName name="_xlnm._FilterDatabase" localSheetId="17" hidden="1">'BS 2016'!$A$1:$L$278</definedName>
    <definedName name="_xlnm._FilterDatabase" localSheetId="3" hidden="1">'BS MARCH 31 (2)'!$A$1:$AJ$303</definedName>
    <definedName name="_xlnm._FilterDatabase" localSheetId="4" hidden="1">'TB 01.01.2018-03.31.2018'!$A$1:$D$482</definedName>
    <definedName name="LOCAL_MYSQL_DATE_FORMAT" localSheetId="12"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3"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3"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MONTHLY">[1]M!$B$3,[1]M!$B$3:$U$85,[1]M!$B$98:$U$180,[1]M!$V$199:$AR$227,[1]M!$AV$240:$BK$280,[1]M!$BM$283:$CF$348,[1]M!$BM$369:$CF$449,[1]M!$CH$461:$CX$732,[1]M!$CW$750:$CW$758,[1]M!$CV$754,[1]M!$CV$749:$CV$750,[1]M!$CX$748,[1]M!$B$827:$U$1004,[1]M!$V$1023:$AR$1051,[1]M!$AR$1051,[1]M!$AR$1051</definedName>
    <definedName name="MONTHLY2">[1]M!$B$3,[1]M!$B$3:$U$85,[1]M!$B$98:$U$180,[1]M!$V$199:$AR$227,[1]M!$AV$240:$BK$280,[1]M!$BM$283:$CF$348,[1]M!$BM$369:$CF$449,[1]M!$CH$461:$CX$732,[1]M!$CW$750:$CW$758,[1]M!$CV$754,[1]M!$CV$749:$CV$750,[1]M!$CX$748,[1]M!$B$827:$U$1004,[1]M!$V$1023:$AR$1051,[1]M!$AR$1051,[1]M!$AR$1051</definedName>
    <definedName name="MTHLY_TMBUD">[1]M!$B$3:$U$180,[1]M!$V$199:$AR$227,[1]M!$AV$240:$BK$280,[1]M!$BM$283:$CF$348,[1]M!$BM$369:$CF$449,[1]M!$CH$461:$CX$732</definedName>
    <definedName name="MTHLY_TMLM">[1]M!$B$3:$U$180,[1]M!$V$199:$AR$227,[1]M!$AV$240:$BK$280,[1]M!$BM$283:$CF$348,[1]M!$BM$369:$CF$449,[1]M!$CH$461:$CX$732</definedName>
    <definedName name="MTHLY_TYBUD">[1]M!$B$3:$U$180,[1]M!$V$199:$AR$227,[1]M!$AV$240:$BK$280,[1]M!$BM$283:$CF$348,[1]M!$BM$369:$CF$449,[1]M!$CH$461:$CX$732</definedName>
    <definedName name="MTHLY_TYLY">[1]M!$B$3:$U$180,[1]M!$V$199:$AR$227,[1]M!$AV$240:$BK$280,[1]M!$BM$283:$CF$348,[1]M!$BM$369:$CF$449,[1]M!$CH$461:$CX$732</definedName>
    <definedName name="_xlnm.Print_Area" localSheetId="10">'11-15'!$A$1:$J$100</definedName>
    <definedName name="_xlnm.Print_Area" localSheetId="8">'1-4'!$A$1:$E$74</definedName>
    <definedName name="_xlnm.Print_Area" localSheetId="9">'4-5'!$A$1:$E$41</definedName>
    <definedName name="_xlnm.Print_Area" localSheetId="11">'6-10'!$A$1:$I$104</definedName>
    <definedName name="_xlnm.Print_Area" localSheetId="3">#REF!</definedName>
    <definedName name="_xlnm.Print_Area" localSheetId="14">CF!$A$1:$F$65</definedName>
    <definedName name="_xlnm.Print_Area" localSheetId="6">CI!$A$1:$E$33</definedName>
    <definedName name="_xlnm.Print_Area" localSheetId="7">FP!$A$1:$D$48</definedName>
    <definedName name="_xlnm.Print_Area" localSheetId="2">PPE!$A$1:$O$56</definedName>
    <definedName name="_xlnm.Print_Area">#REF!</definedName>
    <definedName name="_xlnm.Print_Titles" localSheetId="16">'2015'!$A:$A,'2015'!#REF!</definedName>
    <definedName name="_xlnm.Print_Titles" localSheetId="5">'BS 1.1.2018'!$A:$G,'BS 1.1.2018'!$1:$1</definedName>
    <definedName name="_xlnm.Print_Titles" localSheetId="17">'BS 2016'!$A:$G,'BS 2016'!$1:$1</definedName>
    <definedName name="_xlnm.Print_Titles" localSheetId="12">'BS MARCH 31'!$A:$G,'BS MARCH 31'!$1:$1</definedName>
    <definedName name="_xlnm.Print_Titles" localSheetId="3">'BS MARCH 31 (2)'!$A:$G,'BS MARCH 31 (2)'!$1:$1</definedName>
    <definedName name="_xlnm.Print_Titles" localSheetId="18">'IS 2016'!$A:$I,'IS 2016'!$1:$1</definedName>
    <definedName name="_xlnm.Print_Titles" localSheetId="13">'PL JAN-MARCH 2018'!$A:$I,'PL JAN-MARCH 2018'!$1:$1</definedName>
    <definedName name="_xlnm.Print_Titles" localSheetId="1">'Sheet1 (2)'!$A:$I,'Sheet1 (2)'!$1:$1</definedName>
    <definedName name="_xlnm.Print_Titles" localSheetId="4">'TB 01.01.2018-03.31.2018'!$A:$B,'TB 01.01.2018-03.31.2018'!$1:$2</definedName>
    <definedName name="QB_COLUMN_29" localSheetId="17" hidden="1">'BS 2016'!$H$1</definedName>
    <definedName name="QB_COLUMN_29" localSheetId="12" hidden="1">'BS MARCH 31'!$H$1</definedName>
    <definedName name="QB_COLUMN_29" localSheetId="3" hidden="1">'BS MARCH 31 (2)'!$H$1</definedName>
    <definedName name="QB_COLUMN_29" localSheetId="18" hidden="1">'IS 2016'!$J$1</definedName>
    <definedName name="QB_COLUMN_29" localSheetId="13" hidden="1">'PL JAN-MARCH 2018'!$J$1</definedName>
    <definedName name="QB_COLUMN_290" localSheetId="16" hidden="1">'2015'!#REF!</definedName>
    <definedName name="QB_COLUMN_57200" localSheetId="16" hidden="1">'2015'!#REF!</definedName>
    <definedName name="QB_COLUMN_58210" localSheetId="16" hidden="1">'2015'!#REF!</definedName>
    <definedName name="QB_DATA_0" localSheetId="16" hidden="1">'2015'!$4:$4,'2015'!$5:$5,'2015'!$6:$6,'2015'!$7:$7,'2015'!$8:$8,'2015'!$9:$9,'2015'!$10:$10,'2015'!$11:$11,'2015'!$12:$12,'2015'!$13:$13,'2015'!$14:$14,'2015'!$15:$15,'2015'!$16:$16,'2015'!$17:$17,'2015'!$18:$18,'2015'!$19:$19</definedName>
    <definedName name="QB_DATA_0" localSheetId="17" hidden="1">'BS 2016'!$6:$6,'BS 2016'!$7:$7,'BS 2016'!$8:$8,'BS 2016'!$9:$9,'BS 2016'!$10:$10,'BS 2016'!$11:$11,'BS 2016'!$12:$12,'BS 2016'!$13:$13,'BS 2016'!$14:$14,'BS 2016'!$15:$15,'BS 2016'!$16:$16,'BS 2016'!$17:$17,'BS 2016'!$18:$18,'BS 2016'!$19:$19,'BS 2016'!$20:$20,'BS 2016'!$21:$21</definedName>
    <definedName name="QB_DATA_0" localSheetId="12" hidden="1">'BS MARCH 31'!$6:$6,'BS MARCH 31'!$7:$7,'BS MARCH 31'!$8:$8,'BS MARCH 31'!$9:$9,'BS MARCH 31'!$10:$10,'BS MARCH 31'!$11:$11,'BS MARCH 31'!$12:$12,'BS MARCH 31'!$13:$13,'BS MARCH 31'!$14:$14,'BS MARCH 31'!$15:$15,'BS MARCH 31'!$16:$16,'BS MARCH 31'!$17:$17,'BS MARCH 31'!$18:$18,'BS MARCH 31'!$19:$19,'BS MARCH 31'!$20:$20,'BS MARCH 31'!$21:$21</definedName>
    <definedName name="QB_DATA_0" localSheetId="3" hidden="1">'BS MARCH 31 (2)'!$6:$6,'BS MARCH 31 (2)'!$7:$7,'BS MARCH 31 (2)'!$8:$8,'BS MARCH 31 (2)'!$9:$9,'BS MARCH 31 (2)'!$10:$10,'BS MARCH 31 (2)'!$11:$11,'BS MARCH 31 (2)'!$12:$12,'BS MARCH 31 (2)'!$13:$13,'BS MARCH 31 (2)'!$14:$14,'BS MARCH 31 (2)'!$15:$15,'BS MARCH 31 (2)'!$16:$16,'BS MARCH 31 (2)'!$17:$17,'BS MARCH 31 (2)'!$18:$18,'BS MARCH 31 (2)'!$19:$19,'BS MARCH 31 (2)'!$20:$20,'BS MARCH 31 (2)'!$21:$21</definedName>
    <definedName name="QB_DATA_0" localSheetId="18" hidden="1">'IS 2016'!$5:$5,'IS 2016'!$6:$6,'IS 2016'!$7:$7,'IS 2016'!$8:$8,'IS 2016'!$9:$9,'IS 2016'!$10:$10,'IS 2016'!$11:$11,'IS 2016'!$13:$13,'IS 2016'!$14:$14,'IS 2016'!$15:$15,'IS 2016'!$17:$17,'IS 2016'!$21:$21,'IS 2016'!$24:$24,'IS 2016'!$25:$25,'IS 2016'!$28:$28,'IS 2016'!$29:$29</definedName>
    <definedName name="QB_DATA_0" localSheetId="13" hidden="1">'PL JAN-MARCH 2018'!$5:$5,'PL JAN-MARCH 2018'!$6:$6,'PL JAN-MARCH 2018'!$7:$7,'PL JAN-MARCH 2018'!$8:$8,'PL JAN-MARCH 2018'!$9:$9,'PL JAN-MARCH 2018'!$13:$13,'PL JAN-MARCH 2018'!$16:$16,'PL JAN-MARCH 2018'!$17:$17,'PL JAN-MARCH 2018'!$18:$18,'PL JAN-MARCH 2018'!$19:$19,'PL JAN-MARCH 2018'!$20:$20,'PL JAN-MARCH 2018'!$23:$23,'PL JAN-MARCH 2018'!$24:$24,'PL JAN-MARCH 2018'!$25:$25,'PL JAN-MARCH 2018'!$26:$26,'PL JAN-MARCH 2018'!$29:$29</definedName>
    <definedName name="QB_DATA_1" localSheetId="16" hidden="1">'2015'!$20:$20,'2015'!$21:$21,'2015'!$22:$22,'2015'!$23:$23,'2015'!$24:$24,'2015'!$25:$25,'2015'!$26:$26,'2015'!$27:$27,'2015'!$28:$28,'2015'!$29:$29,'2015'!$30:$30,'2015'!$31:$31,'2015'!$32:$32,'2015'!$33:$33,'2015'!$34:$34,'2015'!$35:$35</definedName>
    <definedName name="QB_DATA_1" localSheetId="17" hidden="1">'BS 2016'!$22:$22,'BS 2016'!$23:$23,'BS 2016'!$24:$24,'BS 2016'!$26:$26,'BS 2016'!$27:$27,'BS 2016'!$28:$28,'BS 2016'!$29:$29,'BS 2016'!$30:$30,'BS 2016'!$31:$31,'BS 2016'!$32:$32,'BS 2016'!$33:$33,'BS 2016'!$34:$34,'BS 2016'!$35:$35,'BS 2016'!$36:$36,'BS 2016'!$37:$37,'BS 2016'!$38:$38</definedName>
    <definedName name="QB_DATA_1" localSheetId="12" hidden="1">'BS MARCH 31'!$23:$23,'BS MARCH 31'!$24:$24,'BS MARCH 31'!$25:$25,'BS MARCH 31'!$26:$26,'BS MARCH 31'!$27:$27,'BS MARCH 31'!$28:$28,'BS MARCH 31'!$29:$29,'BS MARCH 31'!$30:$30,'BS MARCH 31'!$31:$31,'BS MARCH 31'!$34:$34,'BS MARCH 31'!$35:$35,'BS MARCH 31'!$36:$36,'BS MARCH 31'!$37:$37,'BS MARCH 31'!$38:$38,'BS MARCH 31'!$39:$39,'BS MARCH 31'!$41:$41</definedName>
    <definedName name="QB_DATA_1" localSheetId="3" hidden="1">'BS MARCH 31 (2)'!$23:$23,'BS MARCH 31 (2)'!$24:$24,'BS MARCH 31 (2)'!$25:$25,'BS MARCH 31 (2)'!$26:$26,'BS MARCH 31 (2)'!$27:$27,'BS MARCH 31 (2)'!$28:$28,'BS MARCH 31 (2)'!$29:$29,'BS MARCH 31 (2)'!$30:$30,'BS MARCH 31 (2)'!$31:$31,'BS MARCH 31 (2)'!$34:$34,'BS MARCH 31 (2)'!$35:$35,'BS MARCH 31 (2)'!$36:$36,'BS MARCH 31 (2)'!$37:$37,'BS MARCH 31 (2)'!$38:$38,'BS MARCH 31 (2)'!$39:$39,'BS MARCH 31 (2)'!$41:$41</definedName>
    <definedName name="QB_DATA_1" localSheetId="18" hidden="1">'IS 2016'!$30:$30,'IS 2016'!$31:$31,'IS 2016'!$34:$34,'IS 2016'!$35:$35,'IS 2016'!$36:$36,'IS 2016'!$37:$37,'IS 2016'!$38:$38,'IS 2016'!$39:$39,'IS 2016'!$40:$40,'IS 2016'!$41:$41,'IS 2016'!$42:$42,'IS 2016'!$43:$43,'IS 2016'!$44:$44,'IS 2016'!$47:$47,'IS 2016'!$48:$48,'IS 2016'!$49:$49</definedName>
    <definedName name="QB_DATA_1" localSheetId="13" hidden="1">'PL JAN-MARCH 2018'!$30:$30,'PL JAN-MARCH 2018'!$31:$31,'PL JAN-MARCH 2018'!$32:$32,'PL JAN-MARCH 2018'!$33:$33,'PL JAN-MARCH 2018'!$36:$36,'PL JAN-MARCH 2018'!$37:$37,'PL JAN-MARCH 2018'!$38:$38,'PL JAN-MARCH 2018'!$39:$39,'PL JAN-MARCH 2018'!$40:$40,'PL JAN-MARCH 2018'!$41:$41,'PL JAN-MARCH 2018'!$50:$50,'PL JAN-MARCH 2018'!$51:$51,'PL JAN-MARCH 2018'!$52:$52,'PL JAN-MARCH 2018'!$53:$53,'PL JAN-MARCH 2018'!$54:$54,'PL JAN-MARCH 2018'!$56:$56</definedName>
    <definedName name="QB_DATA_10" localSheetId="16" hidden="1">'2015'!$165:$165,'2015'!$166:$166,'2015'!$167:$167,'2015'!$169:$169,'2015'!$170:$170,'2015'!$171:$171,'2015'!$176:$176,'2015'!$172:$172,'2015'!$173:$173,'2015'!$182:$182,'2015'!$188:$188,'2015'!$191:$191,'2015'!$174:$174,'2015'!$193:$193,'2015'!$175:$175,'2015'!$214:$214</definedName>
    <definedName name="QB_DATA_10" localSheetId="17" hidden="1">'BS 2016'!$229:$229,'BS 2016'!$230:$230,'BS 2016'!$232:$232,'BS 2016'!$233:$233,'BS 2016'!$236:$236,'BS 2016'!$237:$237,'BS 2016'!$238:$238,'BS 2016'!$240:$240,'BS 2016'!$241:$241,'BS 2016'!$242:$242,'BS 2016'!$244:$244,'BS 2016'!$245:$245,'BS 2016'!$246:$246,'BS 2016'!$251:$251,'BS 2016'!$252:$252,'BS 2016'!$253:$253</definedName>
    <definedName name="QB_DATA_10" localSheetId="12" hidden="1">'BS MARCH 31'!$225:$225,'BS MARCH 31'!$230:$230,'BS MARCH 31'!$231:$231,'BS MARCH 31'!$232:$232,'BS MARCH 31'!$233:$233,'BS MARCH 31'!$236:$236,'BS MARCH 31'!$237:$237,'BS MARCH 31'!$238:$238,'BS MARCH 31'!$239:$239,'BS MARCH 31'!$240:$240,'BS MARCH 31'!$241:$241,'BS MARCH 31'!$243:$243,'BS MARCH 31'!$244:$244,'BS MARCH 31'!$245:$245,'BS MARCH 31'!$246:$246,'BS MARCH 31'!$247:$247</definedName>
    <definedName name="QB_DATA_10" localSheetId="3" hidden="1">'BS MARCH 31 (2)'!$225:$225,'BS MARCH 31 (2)'!$230:$230,'BS MARCH 31 (2)'!$231:$231,'BS MARCH 31 (2)'!$232:$232,'BS MARCH 31 (2)'!$233:$233,'BS MARCH 31 (2)'!$236:$236,'BS MARCH 31 (2)'!$237:$237,'BS MARCH 31 (2)'!$238:$238,'BS MARCH 31 (2)'!$239:$239,'BS MARCH 31 (2)'!$240:$240,'BS MARCH 31 (2)'!$241:$241,'BS MARCH 31 (2)'!$243:$243,'BS MARCH 31 (2)'!$244:$244,'BS MARCH 31 (2)'!$245:$245,'BS MARCH 31 (2)'!$246:$246,'BS MARCH 31 (2)'!$247:$247</definedName>
    <definedName name="QB_DATA_10" localSheetId="18" hidden="1">'IS 2016'!$236:$236,'IS 2016'!$237:$237,'IS 2016'!$238:$238,'IS 2016'!$241:$241,'IS 2016'!$242:$242,'IS 2016'!$243:$243,'IS 2016'!$247:$247,'IS 2016'!$248:$248,'IS 2016'!$249:$249,'IS 2016'!$250:$250,'IS 2016'!$253:$253,'IS 2016'!$257:$257,'IS 2016'!$258:$258,'IS 2016'!$259:$259,'IS 2016'!$260:$260,'IS 2016'!$261:$261</definedName>
    <definedName name="QB_DATA_10" localSheetId="13" hidden="1">'PL JAN-MARCH 2018'!$246:$246,'PL JAN-MARCH 2018'!$247:$247,'PL JAN-MARCH 2018'!$252:$252,'PL JAN-MARCH 2018'!$253:$253,'PL JAN-MARCH 2018'!$254:$254,'PL JAN-MARCH 2018'!$255:$255,'PL JAN-MARCH 2018'!$256:$256,'PL JAN-MARCH 2018'!$257:$257,'PL JAN-MARCH 2018'!$264:$264,'PL JAN-MARCH 2018'!$265:$265</definedName>
    <definedName name="QB_DATA_11" localSheetId="16" hidden="1">'2015'!$215:$215,'2015'!$216:$216,'2015'!$217:$217,'2015'!$218:$218,'2015'!$219:$219,'2015'!$220:$220,'2015'!$221:$221,'2015'!$222:$222,'2015'!$223:$223,'2015'!$224:$224,'2015'!$225:$225,'2015'!$226:$226,'2015'!$227:$227,'2015'!$197:$197,'2015'!$198:$198,'2015'!$199:$199</definedName>
    <definedName name="QB_DATA_11" localSheetId="17" hidden="1">'BS 2016'!$254:$254,'BS 2016'!$255:$255,'BS 2016'!$256:$256,'BS 2016'!$257:$257,'BS 2016'!$258:$258,'BS 2016'!$259:$259,'BS 2016'!$260:$260,'BS 2016'!$261:$261,'BS 2016'!$267:$267,'BS 2016'!$268:$268,'BS 2016'!$269:$269,'BS 2016'!$270:$270,'BS 2016'!$272:$272,'BS 2016'!$273:$273</definedName>
    <definedName name="QB_DATA_11" localSheetId="12" hidden="1">'BS MARCH 31'!$250:$250,'BS MARCH 31'!$251:$251,'BS MARCH 31'!$252:$252,'BS MARCH 31'!$254:$254,'BS MARCH 31'!$255:$255,'BS MARCH 31'!$256:$256,'BS MARCH 31'!$257:$257,'BS MARCH 31'!$259:$259,'BS MARCH 31'!$260:$260,'BS MARCH 31'!$261:$261,'BS MARCH 31'!$262:$262,'BS MARCH 31'!$263:$263,'BS MARCH 31'!$268:$268,'BS MARCH 31'!$269:$269,'BS MARCH 31'!$270:$270,'BS MARCH 31'!$271:$271</definedName>
    <definedName name="QB_DATA_11" localSheetId="3" hidden="1">'BS MARCH 31 (2)'!$250:$250,'BS MARCH 31 (2)'!$251:$251,'BS MARCH 31 (2)'!$252:$252,'BS MARCH 31 (2)'!$254:$254,'BS MARCH 31 (2)'!$255:$255,'BS MARCH 31 (2)'!$256:$256,'BS MARCH 31 (2)'!$257:$257,'BS MARCH 31 (2)'!$259:$259,'BS MARCH 31 (2)'!$260:$260,'BS MARCH 31 (2)'!$261:$261,'BS MARCH 31 (2)'!$262:$262,'BS MARCH 31 (2)'!$263:$263,'BS MARCH 31 (2)'!$268:$268,'BS MARCH 31 (2)'!$269:$269,'BS MARCH 31 (2)'!$270:$270,'BS MARCH 31 (2)'!$271:$271</definedName>
    <definedName name="QB_DATA_11" localSheetId="18" hidden="1">'IS 2016'!$262:$262,'IS 2016'!$263:$263,'IS 2016'!$266:$266,'IS 2016'!$267:$267,'IS 2016'!$268:$268,'IS 2016'!$270:$270,'IS 2016'!$271:$271,'IS 2016'!$272:$272,'IS 2016'!$274:$274,'IS 2016'!$275:$275,'IS 2016'!$276:$276,'IS 2016'!$277:$277,'IS 2016'!$278:$278,'IS 2016'!$279:$279,'IS 2016'!$280:$280,'IS 2016'!$281:$281</definedName>
    <definedName name="QB_DATA_12" localSheetId="16" hidden="1">'2015'!$177:$177,'2015'!$178:$178,'2015'!$200:$200,'2015'!$179:$179,'2015'!$201:$201,'2015'!$202:$202,'2015'!$228:$228,'2015'!$229:$229,'2015'!$230:$230,'2015'!$231:$231,'2015'!$232:$232,'2015'!$233:$233,'2015'!$234:$234,'2015'!$235:$235,'2015'!$236:$236,'2015'!$237:$237</definedName>
    <definedName name="QB_DATA_12" localSheetId="12" hidden="1">'BS MARCH 31'!$272:$272,'BS MARCH 31'!$273:$273,'BS MARCH 31'!$274:$274,'BS MARCH 31'!$275:$275,'BS MARCH 31'!$276:$276,'BS MARCH 31'!$277:$277,'BS MARCH 31'!$278:$278,'BS MARCH 31'!$279:$279,'BS MARCH 31'!$280:$280,'BS MARCH 31'!$281:$281,'BS MARCH 31'!$282:$282,'BS MARCH 31'!$283:$283,'BS MARCH 31'!$284:$284,'BS MARCH 31'!$285:$285,'BS MARCH 31'!$286:$286,'BS MARCH 31'!$287:$287</definedName>
    <definedName name="QB_DATA_12" localSheetId="3" hidden="1">'BS MARCH 31 (2)'!$272:$272,'BS MARCH 31 (2)'!$273:$273,'BS MARCH 31 (2)'!$274:$274,'BS MARCH 31 (2)'!$275:$275,'BS MARCH 31 (2)'!$276:$276,'BS MARCH 31 (2)'!$277:$277,'BS MARCH 31 (2)'!$278:$278,'BS MARCH 31 (2)'!$279:$279,'BS MARCH 31 (2)'!$280:$280,'BS MARCH 31 (2)'!$281:$281,'BS MARCH 31 (2)'!$282:$282,'BS MARCH 31 (2)'!$283:$283,'BS MARCH 31 (2)'!$284:$284,'BS MARCH 31 (2)'!$285:$285,'BS MARCH 31 (2)'!$286:$286,'BS MARCH 31 (2)'!$287:$287</definedName>
    <definedName name="QB_DATA_12" localSheetId="18" hidden="1">'IS 2016'!$282:$282,'IS 2016'!$283:$283,'IS 2016'!$286:$286,'IS 2016'!$287:$287,'IS 2016'!$288:$288,'IS 2016'!$289:$289,'IS 2016'!$290:$290,'IS 2016'!$291:$291,'IS 2016'!$292:$292,'IS 2016'!$293:$293,'IS 2016'!$296:$296,'IS 2016'!$297:$297,'IS 2016'!$298:$298,'IS 2016'!$299:$299,'IS 2016'!$300:$300,'IS 2016'!$303:$303</definedName>
    <definedName name="QB_DATA_13" localSheetId="16" hidden="1">'2015'!$238:$238,'2015'!$187:$187,'2015'!$181:$181,'2015'!$184:$184,'2015'!$196:$196,'2015'!$203:$203,'2015'!$204:$204,'2015'!$205:$205,'2015'!$190:$190,'2015'!$206:$206,'2015'!$207:$207,'2015'!$208:$208,'2015'!$209:$209,'2015'!$210:$210,'2015'!$211:$211,'2015'!$212:$212</definedName>
    <definedName name="QB_DATA_13" localSheetId="12" hidden="1">'BS MARCH 31'!$288:$288,'BS MARCH 31'!$289:$289,'BS MARCH 31'!$290:$290,'BS MARCH 31'!$296:$296,'BS MARCH 31'!$297:$297,'BS MARCH 31'!$299:$299,'BS MARCH 31'!$300:$300</definedName>
    <definedName name="QB_DATA_13" localSheetId="3" hidden="1">'BS MARCH 31 (2)'!$288:$288,'BS MARCH 31 (2)'!$289:$289,'BS MARCH 31 (2)'!$290:$290,'BS MARCH 31 (2)'!$296:$296,'BS MARCH 31 (2)'!$297:$297,'BS MARCH 31 (2)'!$299:$299,'BS MARCH 31 (2)'!$300:$300</definedName>
    <definedName name="QB_DATA_13" localSheetId="18" hidden="1">'IS 2016'!$304:$304,'IS 2016'!$305:$305,'IS 2016'!$306:$306,'IS 2016'!$307:$307,'IS 2016'!$308:$308,'IS 2016'!$309:$309,'IS 2016'!$311:$311,'IS 2016'!$312:$312,'IS 2016'!$313:$313,'IS 2016'!$314:$314,'IS 2016'!$315:$315,'IS 2016'!$316:$316,'IS 2016'!$318:$318,'IS 2016'!$321:$321,'IS 2016'!$322:$322,'IS 2016'!$323:$323</definedName>
    <definedName name="QB_DATA_14" localSheetId="16" hidden="1">'2015'!$213:$213,'2015'!$194:$194,'2015'!$239:$239,'2015'!$240:$240,'2015'!$241:$241,'2015'!$242:$242,'2015'!$243:$243,'2015'!$244:$244,'2015'!$245:$245,'2015'!$246:$246,'2015'!$247:$247,'2015'!$248:$248,'2015'!$249:$249,'2015'!$250:$250,'2015'!$251:$251,'2015'!$252:$252</definedName>
    <definedName name="QB_DATA_14" localSheetId="18" hidden="1">'IS 2016'!$324:$324,'IS 2016'!$327:$327,'IS 2016'!$330:$330,'IS 2016'!$331:$331,'IS 2016'!$332:$332,'IS 2016'!$333:$333,'IS 2016'!$334:$334,'IS 2016'!$335:$335,'IS 2016'!$336:$336,'IS 2016'!$337:$337,'IS 2016'!$338:$338,'IS 2016'!$339:$339,'IS 2016'!$340:$340,'IS 2016'!$342:$342,'IS 2016'!$345:$345,'IS 2016'!$351:$351</definedName>
    <definedName name="QB_DATA_15" localSheetId="16" hidden="1">'2015'!$253:$253,'2015'!$254:$254,'2015'!$255:$255,'2015'!$256:$256,'2015'!$257:$257,'2015'!$258:$258,'2015'!$259:$259,'2015'!$260:$260,'2015'!$261:$261,'2015'!$262:$262,'2015'!$263:$263,'2015'!$264:$264,'2015'!$265:$265,'2015'!$267:$267,'2015'!$268:$268,'2015'!$269:$269</definedName>
    <definedName name="QB_DATA_15" localSheetId="18" hidden="1">'IS 2016'!$352:$352,'IS 2016'!$353:$353,'IS 2016'!$354:$354,'IS 2016'!$355:$355,'IS 2016'!$356:$356,'IS 2016'!$357:$357,'IS 2016'!$361:$361</definedName>
    <definedName name="QB_DATA_16" localSheetId="16" hidden="1">'2015'!$270:$270,'2015'!$271:$271,'2015'!$272:$272,'2015'!$273:$273,'2015'!$274:$274,'2015'!$275:$275,'2015'!$276:$276,'2015'!$277:$277,'2015'!$278:$278,'2015'!$279:$279,'2015'!$280:$280,'2015'!$281:$281,'2015'!$282:$282,'2015'!$283:$283,'2015'!$284:$284,'2015'!$285:$285</definedName>
    <definedName name="QB_DATA_17" localSheetId="16" hidden="1">'2015'!$286:$286,'2015'!$287:$287,'2015'!$288:$288,'2015'!$289:$289,'2015'!$290:$290,'2015'!$291:$291,'2015'!$292:$292,'2015'!$293:$293,'2015'!$294:$294,'2015'!$295:$295,'2015'!$296:$296,'2015'!$297:$297,'2015'!$298:$298,'2015'!$299:$299,'2015'!$300:$300,'2015'!$301:$301</definedName>
    <definedName name="QB_DATA_18" localSheetId="16" hidden="1">'2015'!$302:$302,'2015'!$303:$303,'2015'!$304:$304,'2015'!$305:$305,'2015'!$306:$306,'2015'!$307:$307,'2015'!$308:$308,'2015'!$309:$309,'2015'!$310:$310,'2015'!$311:$311,'2015'!$312:$312,'2015'!$313:$313,'2015'!$314:$314,'2015'!$315:$315,'2015'!$316:$316,'2015'!$317:$317</definedName>
    <definedName name="QB_DATA_19" localSheetId="16" hidden="1">'2015'!$318:$318,'2015'!$319:$319,'2015'!$320:$320,'2015'!$321:$321,'2015'!$322:$322,'2015'!$323:$323,'2015'!$324:$324,'2015'!$325:$325,'2015'!$326:$326,'2015'!$327:$327,'2015'!$328:$328,'2015'!$329:$329,'2015'!$330:$330,'2015'!$331:$331,'2015'!$332:$332,'2015'!$333:$333</definedName>
    <definedName name="QB_DATA_2" localSheetId="16" hidden="1">'2015'!$36:$36,'2015'!$37:$37,'2015'!$38:$38,'2015'!$39:$39,'2015'!$40:$40,'2015'!$41:$41,'2015'!$42:$42,'2015'!$43:$43,'2015'!$44:$44,'2015'!$45:$45,'2015'!$46:$46,'2015'!$47:$47,'2015'!$48:$48,'2015'!$49:$49,'2015'!$50:$50,'2015'!$51:$51</definedName>
    <definedName name="QB_DATA_2" localSheetId="17" hidden="1">'BS 2016'!$39:$39,'BS 2016'!$40:$40,'BS 2016'!$41:$41,'BS 2016'!$42:$42,'BS 2016'!$43:$43,'BS 2016'!$45:$45,'BS 2016'!$49:$49,'BS 2016'!$52:$52,'BS 2016'!$54:$54,'BS 2016'!$55:$55,'BS 2016'!$56:$56,'BS 2016'!$57:$57,'BS 2016'!$58:$58,'BS 2016'!$60:$60,'BS 2016'!$61:$61,'BS 2016'!$63:$63</definedName>
    <definedName name="QB_DATA_2" localSheetId="12" hidden="1">'BS MARCH 31'!$45:$45,'BS MARCH 31'!$48:$48,'BS MARCH 31'!$49:$49,'BS MARCH 31'!$51:$51,'BS MARCH 31'!$52:$52,'BS MARCH 31'!$53:$53,'BS MARCH 31'!$54:$54,'BS MARCH 31'!$55:$55,'BS MARCH 31'!$56:$56,'BS MARCH 31'!$58:$58,'BS MARCH 31'!$59:$59,'BS MARCH 31'!$61:$61,'BS MARCH 31'!$62:$62,'BS MARCH 31'!$63:$63,'BS MARCH 31'!$64:$64,'BS MARCH 31'!$65:$65</definedName>
    <definedName name="QB_DATA_2" localSheetId="3" hidden="1">'BS MARCH 31 (2)'!$45:$45,'BS MARCH 31 (2)'!$48:$48,'BS MARCH 31 (2)'!$49:$49,'BS MARCH 31 (2)'!$51:$51,'BS MARCH 31 (2)'!$52:$52,'BS MARCH 31 (2)'!$53:$53,'BS MARCH 31 (2)'!$54:$54,'BS MARCH 31 (2)'!$55:$55,'BS MARCH 31 (2)'!$56:$56,'BS MARCH 31 (2)'!$58:$58,'BS MARCH 31 (2)'!$59:$59,'BS MARCH 31 (2)'!$61:$61,'BS MARCH 31 (2)'!$62:$62,'BS MARCH 31 (2)'!$63:$63,'BS MARCH 31 (2)'!$64:$64,'BS MARCH 31 (2)'!$65:$65</definedName>
    <definedName name="QB_DATA_2" localSheetId="18" hidden="1">'IS 2016'!$50:$50,'IS 2016'!$51:$51,'IS 2016'!$52:$52,'IS 2016'!$53:$53,'IS 2016'!$56:$56,'IS 2016'!$57:$57,'IS 2016'!$58:$58,'IS 2016'!$59:$59,'IS 2016'!$60:$60,'IS 2016'!$61:$61,'IS 2016'!$62:$62,'IS 2016'!$65:$65,'IS 2016'!$66:$66,'IS 2016'!$69:$69,'IS 2016'!$70:$70,'IS 2016'!$71:$71</definedName>
    <definedName name="QB_DATA_2" localSheetId="13" hidden="1">'PL JAN-MARCH 2018'!$58:$58,'PL JAN-MARCH 2018'!$59:$59,'PL JAN-MARCH 2018'!$62:$62,'PL JAN-MARCH 2018'!$63:$63,'PL JAN-MARCH 2018'!$64:$64,'PL JAN-MARCH 2018'!$65:$65,'PL JAN-MARCH 2018'!$66:$66,'PL JAN-MARCH 2018'!$67:$67,'PL JAN-MARCH 2018'!$70:$70,'PL JAN-MARCH 2018'!$71:$71,'PL JAN-MARCH 2018'!$72:$72,'PL JAN-MARCH 2018'!$73:$73,'PL JAN-MARCH 2018'!$76:$76,'PL JAN-MARCH 2018'!$77:$77,'PL JAN-MARCH 2018'!$78:$78,'PL JAN-MARCH 2018'!$79:$79</definedName>
    <definedName name="QB_DATA_20" localSheetId="16" hidden="1">'2015'!$334:$334,'2015'!$335:$335,'2015'!$336:$336,'2015'!$337:$337,'2015'!$338:$338,'2015'!$339:$339,'2015'!$340:$340,'2015'!$341:$341,'2015'!$342:$342,'2015'!$343:$343,'2015'!$344:$344,'2015'!$345:$345,'2015'!$346:$346,'2015'!$347:$347,'2015'!$348:$348,'2015'!$349:$349</definedName>
    <definedName name="QB_DATA_21" localSheetId="16" hidden="1">'2015'!$350:$350,'2015'!$351:$351,'2015'!$352:$352,'2015'!$353:$353,'2015'!$354:$354,'2015'!$355:$355,'2015'!$356:$356,'2015'!$357:$357,'2015'!$358:$358,'2015'!$359:$359,'2015'!$360:$360,'2015'!$361:$361,'2015'!$362:$362,'2015'!$363:$363,'2015'!$364:$364,'2015'!$365:$365</definedName>
    <definedName name="QB_DATA_22" localSheetId="16" hidden="1">'2015'!$366:$366,'2015'!$367:$367,'2015'!$368:$368,'2015'!$369:$369,'2015'!$370:$370,'2015'!$371:$371,'2015'!$372:$372,'2015'!$373:$373,'2015'!$374:$374,'2015'!$375:$375,'2015'!$376:$376,'2015'!$377:$377,'2015'!$378:$378,'2015'!$379:$379,'2015'!$380:$380,'2015'!$381:$381</definedName>
    <definedName name="QB_DATA_23" localSheetId="16" hidden="1">'2015'!$382:$382,'2015'!$383:$383,'2015'!$384:$384,'2015'!$385:$385,'2015'!$386:$386,'2015'!$387:$387,'2015'!$388:$388,'2015'!$389:$389,'2015'!$390:$390,'2015'!$391:$391,'2015'!$392:$392,'2015'!$393:$393,'2015'!$394:$394,'2015'!$395:$395,'2015'!$396:$396,'2015'!$397:$397</definedName>
    <definedName name="QB_DATA_24" localSheetId="16" hidden="1">'2015'!$398:$398,'2015'!$399:$399,'2015'!$400:$400,'2015'!$401:$401,'2015'!$402:$402,'2015'!$403:$403,'2015'!$404:$404,'2015'!$405:$405,'2015'!$406:$406,'2015'!$407:$407,'2015'!$408:$408,'2015'!$409:$409,'2015'!$410:$410,'2015'!$411:$411,'2015'!$412:$412,'2015'!$413:$413</definedName>
    <definedName name="QB_DATA_25" localSheetId="16" hidden="1">'2015'!$414:$414,'2015'!$415:$415,'2015'!$416:$416,'2015'!$417:$417,'2015'!$418:$418,'2015'!$419:$419,'2015'!$420:$420,'2015'!$421:$421,'2015'!$422:$422,'2015'!$423:$423,'2015'!$424:$424,'2015'!$425:$425,'2015'!$426:$426,'2015'!$427:$427,'2015'!$428:$428,'2015'!$429:$429</definedName>
    <definedName name="QB_DATA_26" localSheetId="16" hidden="1">'2015'!$430:$430,'2015'!$431:$431,'2015'!$432:$432,'2015'!$433:$433,'2015'!$434:$434,'2015'!$435:$435,'2015'!$436:$436,'2015'!$437:$437,'2015'!$438:$438,'2015'!$439:$439,'2015'!$440:$440,'2015'!$441:$441,'2015'!$442:$442,'2015'!$443:$443,'2015'!$444:$444,'2015'!$445:$445</definedName>
    <definedName name="QB_DATA_27" localSheetId="16" hidden="1">'2015'!$446:$446,'2015'!$447:$447,'2015'!$448:$448,'2015'!$449:$449,'2015'!$450:$450,'2015'!$451:$451,'2015'!$452:$452,'2015'!$453:$453,'2015'!$454:$454,'2015'!$455:$455,'2015'!$456:$456,'2015'!$457:$457,'2015'!$458:$458,'2015'!$459:$459,'2015'!$460:$460,'2015'!$461:$461</definedName>
    <definedName name="QB_DATA_28" localSheetId="16" hidden="1">'2015'!$462:$462,'2015'!$463:$463,'2015'!$464:$464,'2015'!$465:$465,'2015'!$466:$466,'2015'!$467:$467,'2015'!$468:$468,'2015'!$469:$469,'2015'!$470:$470,'2015'!$471:$471,'2015'!$472:$472,'2015'!$473:$473,'2015'!$474:$474,'2015'!$475:$475,'2015'!$476:$476,'2015'!$477:$477</definedName>
    <definedName name="QB_DATA_29" localSheetId="16" hidden="1">'2015'!$478:$478,'2015'!$479:$479,'2015'!$480:$480,'2015'!$481:$481,'2015'!$482:$482,'2015'!$483:$483,'2015'!$484:$484,'2015'!$485:$485,'2015'!$486:$486,'2015'!$487:$487,'2015'!$488:$488,'2015'!$489:$489,'2015'!$490:$490,'2015'!$491:$491,'2015'!$492:$492,'2015'!$493:$493</definedName>
    <definedName name="QB_DATA_3" localSheetId="16" hidden="1">'2015'!$52:$52,'2015'!$53:$53,'2015'!$54:$54,'2015'!$55:$55,'2015'!$56:$56,'2015'!$57:$57,'2015'!$58:$58,'2015'!$59:$59,'2015'!$60:$60,'2015'!$61:$61,'2015'!$62:$62,'2015'!$63:$63,'2015'!$64:$64,'2015'!$65:$65,'2015'!$66:$66,'2015'!$67:$67</definedName>
    <definedName name="QB_DATA_3" localSheetId="17" hidden="1">'BS 2016'!$64:$64,'BS 2016'!$65:$65,'BS 2016'!$66:$66,'BS 2016'!$68:$68,'BS 2016'!$70:$70,'BS 2016'!$71:$71,'BS 2016'!$73:$73,'BS 2016'!$74:$74,'BS 2016'!$76:$76,'BS 2016'!$77:$77,'BS 2016'!$78:$78,'BS 2016'!$80:$80,'BS 2016'!$81:$81,'BS 2016'!$82:$82,'BS 2016'!$83:$83,'BS 2016'!$84:$84</definedName>
    <definedName name="QB_DATA_3" localSheetId="12" hidden="1">'BS MARCH 31'!$67:$67,'BS MARCH 31'!$69:$69,'BS MARCH 31'!$70:$70,'BS MARCH 31'!$72:$72,'BS MARCH 31'!$73:$73,'BS MARCH 31'!$75:$75,'BS MARCH 31'!$76:$76,'BS MARCH 31'!$77:$77,'BS MARCH 31'!$79:$79,'BS MARCH 31'!$80:$80,'BS MARCH 31'!$81:$81,'BS MARCH 31'!$82:$82,'BS MARCH 31'!$83:$83,'BS MARCH 31'!$84:$84,'BS MARCH 31'!$85:$85,'BS MARCH 31'!$86:$86</definedName>
    <definedName name="QB_DATA_3" localSheetId="3" hidden="1">'BS MARCH 31 (2)'!$67:$67,'BS MARCH 31 (2)'!$69:$69,'BS MARCH 31 (2)'!$70:$70,'BS MARCH 31 (2)'!$72:$72,'BS MARCH 31 (2)'!$73:$73,'BS MARCH 31 (2)'!$75:$75,'BS MARCH 31 (2)'!$76:$76,'BS MARCH 31 (2)'!$77:$77,'BS MARCH 31 (2)'!$79:$79,'BS MARCH 31 (2)'!$80:$80,'BS MARCH 31 (2)'!$81:$81,'BS MARCH 31 (2)'!$82:$82,'BS MARCH 31 (2)'!$83:$83,'BS MARCH 31 (2)'!$84:$84,'BS MARCH 31 (2)'!$85:$85,'BS MARCH 31 (2)'!$86:$86</definedName>
    <definedName name="QB_DATA_3" localSheetId="18" hidden="1">'IS 2016'!$73:$73,'IS 2016'!$74:$74,'IS 2016'!$76:$76,'IS 2016'!$78:$78,'IS 2016'!$86:$86,'IS 2016'!$87:$87,'IS 2016'!$88:$88,'IS 2016'!$89:$89,'IS 2016'!$90:$90,'IS 2016'!$92:$92,'IS 2016'!$94:$94,'IS 2016'!$95:$95,'IS 2016'!$96:$96,'IS 2016'!$98:$98,'IS 2016'!$99:$99,'IS 2016'!$101:$101</definedName>
    <definedName name="QB_DATA_3" localSheetId="13" hidden="1">'PL JAN-MARCH 2018'!$80:$80,'PL JAN-MARCH 2018'!$83:$83,'PL JAN-MARCH 2018'!$84:$84,'PL JAN-MARCH 2018'!$85:$85,'PL JAN-MARCH 2018'!$86:$86,'PL JAN-MARCH 2018'!$87:$87,'PL JAN-MARCH 2018'!$88:$88,'PL JAN-MARCH 2018'!$89:$89,'PL JAN-MARCH 2018'!$90:$90,'PL JAN-MARCH 2018'!$91:$91,'PL JAN-MARCH 2018'!$92:$92,'PL JAN-MARCH 2018'!$95:$95,'PL JAN-MARCH 2018'!$97:$97,'PL JAN-MARCH 2018'!$101:$101,'PL JAN-MARCH 2018'!$102:$102,'PL JAN-MARCH 2018'!$103:$103</definedName>
    <definedName name="QB_DATA_30" localSheetId="16" hidden="1">'2015'!$494:$494,'2015'!$495:$495,'2015'!$496:$496,'2015'!$497:$497,'2015'!$498:$498,'2015'!$499:$499,'2015'!$500:$500,'2015'!$502:$502,'2015'!$503:$503,'2015'!$504:$504,'2015'!$505:$505,'2015'!$506:$506,'2015'!$507:$507,'2015'!$508:$508</definedName>
    <definedName name="QB_DATA_4" localSheetId="16" hidden="1">'2015'!$68:$68,'2015'!$69:$69,'2015'!$70:$70,'2015'!$71:$71,'2015'!$72:$72,'2015'!$73:$73,'2015'!$74:$74,'2015'!$75:$75,'2015'!$76:$76,'2015'!$77:$77,'2015'!$78:$78,'2015'!$79:$79,'2015'!$80:$80,'2015'!$81:$81,'2015'!$82:$82,'2015'!$83:$83</definedName>
    <definedName name="QB_DATA_4" localSheetId="17" hidden="1">'BS 2016'!$85:$85,'BS 2016'!$86:$86,'BS 2016'!$87:$87,'BS 2016'!$89:$89,'BS 2016'!$90:$90,'BS 2016'!$92:$92,'BS 2016'!$93:$93,'BS 2016'!$94:$94,'BS 2016'!$96:$96,'BS 2016'!$97:$97,'BS 2016'!$98:$98,'BS 2016'!$99:$99,'BS 2016'!$100:$100,'BS 2016'!$101:$101,'BS 2016'!$102:$102,'BS 2016'!$104:$104</definedName>
    <definedName name="QB_DATA_4" localSheetId="12" hidden="1">'BS MARCH 31'!$87:$87,'BS MARCH 31'!$89:$89,'BS MARCH 31'!$90:$90,'BS MARCH 31'!$92:$92,'BS MARCH 31'!$93:$93,'BS MARCH 31'!$94:$94,'BS MARCH 31'!$95:$95,'BS MARCH 31'!$97:$97,'BS MARCH 31'!$98:$98,'BS MARCH 31'!$99:$99,'BS MARCH 31'!$100:$100,'BS MARCH 31'!$101:$101,'BS MARCH 31'!$102:$102,'BS MARCH 31'!$103:$103,'BS MARCH 31'!$104:$104,'BS MARCH 31'!$105:$105</definedName>
    <definedName name="QB_DATA_4" localSheetId="3" hidden="1">'BS MARCH 31 (2)'!$87:$87,'BS MARCH 31 (2)'!$89:$89,'BS MARCH 31 (2)'!$90:$90,'BS MARCH 31 (2)'!$92:$92,'BS MARCH 31 (2)'!$93:$93,'BS MARCH 31 (2)'!$94:$94,'BS MARCH 31 (2)'!$95:$95,'BS MARCH 31 (2)'!$97:$97,'BS MARCH 31 (2)'!$98:$98,'BS MARCH 31 (2)'!$99:$99,'BS MARCH 31 (2)'!$100:$100,'BS MARCH 31 (2)'!$101:$101,'BS MARCH 31 (2)'!$102:$102,'BS MARCH 31 (2)'!$103:$103,'BS MARCH 31 (2)'!$104:$104,'BS MARCH 31 (2)'!$105:$105</definedName>
    <definedName name="QB_DATA_4" localSheetId="18" hidden="1">'IS 2016'!$102:$102,'IS 2016'!$105:$105,'IS 2016'!$106:$106,'IS 2016'!$107:$107,'IS 2016'!$108:$108,'IS 2016'!$109:$109,'IS 2016'!$110:$110,'IS 2016'!$111:$111,'IS 2016'!$114:$114,'IS 2016'!$115:$115,'IS 2016'!$116:$116,'IS 2016'!$117:$117,'IS 2016'!$118:$118,'IS 2016'!$119:$119,'IS 2016'!$122:$122,'IS 2016'!$123:$123</definedName>
    <definedName name="QB_DATA_4" localSheetId="13" hidden="1">'PL JAN-MARCH 2018'!$104:$104,'PL JAN-MARCH 2018'!$105:$105,'PL JAN-MARCH 2018'!$106:$106,'PL JAN-MARCH 2018'!$107:$107,'PL JAN-MARCH 2018'!$108:$108,'PL JAN-MARCH 2018'!$109:$109,'PL JAN-MARCH 2018'!$110:$110,'PL JAN-MARCH 2018'!$111:$111,'PL JAN-MARCH 2018'!$112:$112,'PL JAN-MARCH 2018'!$113:$113,'PL JAN-MARCH 2018'!$116:$116,'PL JAN-MARCH 2018'!$117:$117,'PL JAN-MARCH 2018'!$118:$118,'PL JAN-MARCH 2018'!$119:$119,'PL JAN-MARCH 2018'!$122:$122,'PL JAN-MARCH 2018'!$123:$123</definedName>
    <definedName name="QB_DATA_5" localSheetId="16" hidden="1">'2015'!$84:$84,'2015'!$85:$85,'2015'!$86:$86,'2015'!$87:$87,'2015'!$88:$88,'2015'!$89:$89,'2015'!$91:$91,'2015'!$92:$92,'2015'!$93:$93,'2015'!$94:$94,'2015'!$95:$95,'2015'!$96:$96,'2015'!$97:$97,'2015'!$98:$98,'2015'!$99:$99,'2015'!$100:$100</definedName>
    <definedName name="QB_DATA_5" localSheetId="17" hidden="1">'BS 2016'!$111:$111,'BS 2016'!$112:$112,'BS 2016'!$113:$113,'BS 2016'!$114:$114,'BS 2016'!$115:$115,'BS 2016'!$116:$116,'BS 2016'!$117:$117,'BS 2016'!$118:$118,'BS 2016'!$119:$119,'BS 2016'!$120:$120,'BS 2016'!$121:$121,'BS 2016'!$122:$122,'BS 2016'!$123:$123,'BS 2016'!$124:$124,'BS 2016'!$125:$125,'BS 2016'!$126:$126</definedName>
    <definedName name="QB_DATA_5" localSheetId="12" hidden="1">'BS MARCH 31'!$106:$106,'BS MARCH 31'!$108:$108,'BS MARCH 31'!$109:$109,'BS MARCH 31'!$116:$116,'BS MARCH 31'!$117:$117,'BS MARCH 31'!$118:$118,'BS MARCH 31'!$119:$119,'BS MARCH 31'!$120:$120,'BS MARCH 31'!$121:$121,'BS MARCH 31'!$122:$122,'BS MARCH 31'!$123:$123,'BS MARCH 31'!$124:$124,'BS MARCH 31'!$125:$125,'BS MARCH 31'!$126:$126,'BS MARCH 31'!$127:$127,'BS MARCH 31'!$128:$128</definedName>
    <definedName name="QB_DATA_5" localSheetId="3" hidden="1">'BS MARCH 31 (2)'!$106:$106,'BS MARCH 31 (2)'!$108:$108,'BS MARCH 31 (2)'!$109:$109,'BS MARCH 31 (2)'!$116:$116,'BS MARCH 31 (2)'!$117:$117,'BS MARCH 31 (2)'!$118:$118,'BS MARCH 31 (2)'!$119:$119,'BS MARCH 31 (2)'!$120:$120,'BS MARCH 31 (2)'!$121:$121,'BS MARCH 31 (2)'!$122:$122,'BS MARCH 31 (2)'!$123:$123,'BS MARCH 31 (2)'!$124:$124,'BS MARCH 31 (2)'!$125:$125,'BS MARCH 31 (2)'!$126:$126,'BS MARCH 31 (2)'!$127:$127,'BS MARCH 31 (2)'!$128:$128</definedName>
    <definedName name="QB_DATA_5" localSheetId="18" hidden="1">'IS 2016'!$124:$124,'IS 2016'!$125:$125,'IS 2016'!$126:$126,'IS 2016'!$127:$127,'IS 2016'!$128:$128,'IS 2016'!$129:$129,'IS 2016'!$132:$132,'IS 2016'!$133:$133,'IS 2016'!$134:$134,'IS 2016'!$135:$135,'IS 2016'!$136:$136,'IS 2016'!$137:$137,'IS 2016'!$138:$138,'IS 2016'!$139:$139,'IS 2016'!$140:$140,'IS 2016'!$141:$141</definedName>
    <definedName name="QB_DATA_5" localSheetId="13" hidden="1">'PL JAN-MARCH 2018'!$126:$126,'PL JAN-MARCH 2018'!$127:$127,'PL JAN-MARCH 2018'!$128:$128,'PL JAN-MARCH 2018'!$129:$129,'PL JAN-MARCH 2018'!$130:$130,'PL JAN-MARCH 2018'!$133:$133,'PL JAN-MARCH 2018'!$134:$134,'PL JAN-MARCH 2018'!$135:$135,'PL JAN-MARCH 2018'!$136:$136,'PL JAN-MARCH 2018'!$137:$137,'PL JAN-MARCH 2018'!$138:$138,'PL JAN-MARCH 2018'!$139:$139,'PL JAN-MARCH 2018'!$142:$142,'PL JAN-MARCH 2018'!$143:$143,'PL JAN-MARCH 2018'!$144:$144,'PL JAN-MARCH 2018'!$149:$149</definedName>
    <definedName name="QB_DATA_6" localSheetId="16" hidden="1">'2015'!$101:$101,'2015'!$102:$102,'2015'!$103:$103,'2015'!$104:$104,'2015'!$105:$105,'2015'!$106:$106,'2015'!$107:$107,'2015'!$108:$108,'2015'!$109:$109,'2015'!$110:$110,'2015'!$111:$111,'2015'!$112:$112,'2015'!$113:$113,'2015'!$114:$114,'2015'!$115:$115,'2015'!$116:$116</definedName>
    <definedName name="QB_DATA_6" localSheetId="17" hidden="1">'BS 2016'!$127:$127,'BS 2016'!$128:$128,'BS 2016'!$129:$129,'BS 2016'!$130:$130,'BS 2016'!$131:$131,'BS 2016'!$134:$134,'BS 2016'!$135:$135,'BS 2016'!$136:$136,'BS 2016'!$137:$137,'BS 2016'!$138:$138,'BS 2016'!$139:$139,'BS 2016'!$140:$140,'BS 2016'!$141:$141,'BS 2016'!$142:$142,'BS 2016'!$145:$145,'BS 2016'!$146:$146</definedName>
    <definedName name="QB_DATA_6" localSheetId="12" hidden="1">'BS MARCH 31'!$129:$129,'BS MARCH 31'!$130:$130,'BS MARCH 31'!$131:$131,'BS MARCH 31'!$132:$132,'BS MARCH 31'!$133:$133,'BS MARCH 31'!$134:$134,'BS MARCH 31'!$135:$135,'BS MARCH 31'!$136:$136,'BS MARCH 31'!$137:$137,'BS MARCH 31'!$140:$140,'BS MARCH 31'!$141:$141,'BS MARCH 31'!$142:$142,'BS MARCH 31'!$143:$143,'BS MARCH 31'!$144:$144,'BS MARCH 31'!$145:$145,'BS MARCH 31'!$146:$146</definedName>
    <definedName name="QB_DATA_6" localSheetId="3" hidden="1">'BS MARCH 31 (2)'!$129:$129,'BS MARCH 31 (2)'!$130:$130,'BS MARCH 31 (2)'!$131:$131,'BS MARCH 31 (2)'!$132:$132,'BS MARCH 31 (2)'!$133:$133,'BS MARCH 31 (2)'!$134:$134,'BS MARCH 31 (2)'!$135:$135,'BS MARCH 31 (2)'!$136:$136,'BS MARCH 31 (2)'!$137:$137,'BS MARCH 31 (2)'!$140:$140,'BS MARCH 31 (2)'!$141:$141,'BS MARCH 31 (2)'!$142:$142,'BS MARCH 31 (2)'!$143:$143,'BS MARCH 31 (2)'!$144:$144,'BS MARCH 31 (2)'!$145:$145,'BS MARCH 31 (2)'!$146:$146</definedName>
    <definedName name="QB_DATA_6" localSheetId="18" hidden="1">'IS 2016'!$142:$142,'IS 2016'!$143:$143,'IS 2016'!$144:$144,'IS 2016'!$147:$147,'IS 2016'!$148:$148,'IS 2016'!$149:$149,'IS 2016'!$150:$150,'IS 2016'!$151:$151,'IS 2016'!$152:$152,'IS 2016'!$153:$153,'IS 2016'!$158:$158,'IS 2016'!$159:$159,'IS 2016'!$160:$160,'IS 2016'!$161:$161,'IS 2016'!$162:$162,'IS 2016'!$163:$163</definedName>
    <definedName name="QB_DATA_6" localSheetId="13" hidden="1">'PL JAN-MARCH 2018'!$150:$150,'PL JAN-MARCH 2018'!$151:$151,'PL JAN-MARCH 2018'!$152:$152,'PL JAN-MARCH 2018'!$155:$155,'PL JAN-MARCH 2018'!$156:$156,'PL JAN-MARCH 2018'!$157:$157,'PL JAN-MARCH 2018'!$162:$162,'PL JAN-MARCH 2018'!$164:$164,'PL JAN-MARCH 2018'!$165:$165,'PL JAN-MARCH 2018'!$167:$167,'PL JAN-MARCH 2018'!$170:$170,'PL JAN-MARCH 2018'!$171:$171,'PL JAN-MARCH 2018'!$172:$172,'PL JAN-MARCH 2018'!$175:$175,'PL JAN-MARCH 2018'!$176:$176,'PL JAN-MARCH 2018'!$181:$181</definedName>
    <definedName name="QB_DATA_7" localSheetId="16" hidden="1">'2015'!$117:$117,'2015'!$118:$118,'2015'!$119:$119,'2015'!$120:$120,'2015'!$121:$121,'2015'!$122:$122,'2015'!$123:$123,'2015'!$124:$124,'2015'!$125:$125,'2015'!$126:$126,'2015'!$127:$127,'2015'!$128:$128,'2015'!$129:$129,'2015'!$130:$130,'2015'!$131:$131,'2015'!$132:$132</definedName>
    <definedName name="QB_DATA_7" localSheetId="17" hidden="1">'BS 2016'!$147:$147,'BS 2016'!$148:$148,'BS 2016'!$149:$149,'BS 2016'!$150:$150,'BS 2016'!$153:$153,'BS 2016'!$154:$154,'BS 2016'!$155:$155,'BS 2016'!$158:$158,'BS 2016'!$159:$159,'BS 2016'!$160:$160,'BS 2016'!$163:$163,'BS 2016'!$164:$164,'BS 2016'!$165:$165,'BS 2016'!$166:$166,'BS 2016'!$169:$169,'BS 2016'!$170:$170</definedName>
    <definedName name="QB_DATA_7" localSheetId="12" hidden="1">'BS MARCH 31'!$147:$147,'BS MARCH 31'!$148:$148,'BS MARCH 31'!$151:$151,'BS MARCH 31'!$152:$152,'BS MARCH 31'!$153:$153,'BS MARCH 31'!$154:$154,'BS MARCH 31'!$155:$155,'BS MARCH 31'!$156:$156,'BS MARCH 31'!$159:$159,'BS MARCH 31'!$160:$160,'BS MARCH 31'!$161:$161,'BS MARCH 31'!$164:$164,'BS MARCH 31'!$165:$165,'BS MARCH 31'!$166:$166,'BS MARCH 31'!$169:$169,'BS MARCH 31'!$170:$170</definedName>
    <definedName name="QB_DATA_7" localSheetId="3" hidden="1">'BS MARCH 31 (2)'!$147:$147,'BS MARCH 31 (2)'!$148:$148,'BS MARCH 31 (2)'!$151:$151,'BS MARCH 31 (2)'!$152:$152,'BS MARCH 31 (2)'!$153:$153,'BS MARCH 31 (2)'!$154:$154,'BS MARCH 31 (2)'!$155:$155,'BS MARCH 31 (2)'!$156:$156,'BS MARCH 31 (2)'!$159:$159,'BS MARCH 31 (2)'!$160:$160,'BS MARCH 31 (2)'!$161:$161,'BS MARCH 31 (2)'!$164:$164,'BS MARCH 31 (2)'!$165:$165,'BS MARCH 31 (2)'!$166:$166,'BS MARCH 31 (2)'!$169:$169,'BS MARCH 31 (2)'!$170:$170</definedName>
    <definedName name="QB_DATA_7" localSheetId="18" hidden="1">'IS 2016'!$164:$164,'IS 2016'!$165:$165,'IS 2016'!$166:$166,'IS 2016'!$167:$167,'IS 2016'!$168:$168,'IS 2016'!$169:$169,'IS 2016'!$170:$170,'IS 2016'!$171:$171,'IS 2016'!$172:$172,'IS 2016'!$175:$175,'IS 2016'!$176:$176,'IS 2016'!$177:$177,'IS 2016'!$178:$178,'IS 2016'!$179:$179,'IS 2016'!$180:$180,'IS 2016'!$183:$183</definedName>
    <definedName name="QB_DATA_7" localSheetId="13" hidden="1">'PL JAN-MARCH 2018'!$182:$182,'PL JAN-MARCH 2018'!$183:$183,'PL JAN-MARCH 2018'!$186:$186,'PL JAN-MARCH 2018'!$187:$187,'PL JAN-MARCH 2018'!$188:$188,'PL JAN-MARCH 2018'!$189:$189,'PL JAN-MARCH 2018'!$190:$190,'PL JAN-MARCH 2018'!$191:$191,'PL JAN-MARCH 2018'!$192:$192,'PL JAN-MARCH 2018'!$193:$193,'PL JAN-MARCH 2018'!$194:$194,'PL JAN-MARCH 2018'!$195:$195,'PL JAN-MARCH 2018'!$196:$196,'PL JAN-MARCH 2018'!$197:$197,'PL JAN-MARCH 2018'!$198:$198,'PL JAN-MARCH 2018'!$201:$201</definedName>
    <definedName name="QB_DATA_8" localSheetId="16" hidden="1">'2015'!$133:$133,'2015'!$134:$134,'2015'!$135:$135,'2015'!$136:$136,'2015'!$137:$137,'2015'!$138:$138,'2015'!$139:$139,'2015'!$140:$140,'2015'!$141:$141,'2015'!$142:$142,'2015'!$143:$143,'2015'!$144:$144,'2015'!$145:$145,'2015'!$146:$146,'2015'!$147:$147,'2015'!$148:$148</definedName>
    <definedName name="QB_DATA_8" localSheetId="17" hidden="1">'BS 2016'!$171:$171,'BS 2016'!$172:$172,'BS 2016'!$173:$173,'BS 2016'!$177:$177,'BS 2016'!$178:$178,'BS 2016'!$179:$179,'BS 2016'!$180:$180,'BS 2016'!$181:$181,'BS 2016'!$182:$182,'BS 2016'!$183:$183,'BS 2016'!$184:$184,'BS 2016'!$185:$185,'BS 2016'!$186:$186,'BS 2016'!$187:$187,'BS 2016'!$190:$190,'BS 2016'!$191:$191</definedName>
    <definedName name="QB_DATA_8" localSheetId="12" hidden="1">'BS MARCH 31'!$171:$171,'BS MARCH 31'!$172:$172,'BS MARCH 31'!$175:$175,'BS MARCH 31'!$176:$176,'BS MARCH 31'!$177:$177,'BS MARCH 31'!$178:$178,'BS MARCH 31'!$179:$179,'BS MARCH 31'!$180:$180,'BS MARCH 31'!$182:$182,'BS MARCH 31'!$185:$185,'BS MARCH 31'!$186:$186,'BS MARCH 31'!$187:$187,'BS MARCH 31'!$188:$188,'BS MARCH 31'!$189:$189,'BS MARCH 31'!$190:$190,'BS MARCH 31'!$191:$191</definedName>
    <definedName name="QB_DATA_8" localSheetId="3" hidden="1">'BS MARCH 31 (2)'!$171:$171,'BS MARCH 31 (2)'!$172:$172,'BS MARCH 31 (2)'!$175:$175,'BS MARCH 31 (2)'!$176:$176,'BS MARCH 31 (2)'!$177:$177,'BS MARCH 31 (2)'!$178:$178,'BS MARCH 31 (2)'!$179:$179,'BS MARCH 31 (2)'!$180:$180,'BS MARCH 31 (2)'!$182:$182,'BS MARCH 31 (2)'!$185:$185,'BS MARCH 31 (2)'!$186:$186,'BS MARCH 31 (2)'!$187:$187,'BS MARCH 31 (2)'!$188:$188,'BS MARCH 31 (2)'!$189:$189,'BS MARCH 31 (2)'!$190:$190,'BS MARCH 31 (2)'!$191:$191</definedName>
    <definedName name="QB_DATA_8" localSheetId="18" hidden="1">'IS 2016'!$184:$184,'IS 2016'!$185:$185,'IS 2016'!$186:$186,'IS 2016'!$189:$189,'IS 2016'!$190:$190,'IS 2016'!$191:$191,'IS 2016'!$192:$192,'IS 2016'!$195:$195,'IS 2016'!$196:$196,'IS 2016'!$197:$197,'IS 2016'!$198:$198,'IS 2016'!$199:$199,'IS 2016'!$200:$200,'IS 2016'!$201:$201,'IS 2016'!$202:$202,'IS 2016'!$205:$205</definedName>
    <definedName name="QB_DATA_8" localSheetId="13" hidden="1">'PL JAN-MARCH 2018'!$202:$202,'PL JAN-MARCH 2018'!$203:$203,'PL JAN-MARCH 2018'!$204:$204,'PL JAN-MARCH 2018'!$205:$205,'PL JAN-MARCH 2018'!$206:$206,'PL JAN-MARCH 2018'!$209:$209,'PL JAN-MARCH 2018'!$210:$210,'PL JAN-MARCH 2018'!$211:$211,'PL JAN-MARCH 2018'!$212:$212,'PL JAN-MARCH 2018'!$213:$213,'PL JAN-MARCH 2018'!$216:$216,'PL JAN-MARCH 2018'!$217:$217,'PL JAN-MARCH 2018'!$218:$218,'PL JAN-MARCH 2018'!$219:$219,'PL JAN-MARCH 2018'!$220:$220,'PL JAN-MARCH 2018'!$221:$221</definedName>
    <definedName name="QB_DATA_9" localSheetId="16" hidden="1">'2015'!$149:$149,'2015'!$150:$150,'2015'!$151:$151,'2015'!$152:$152,'2015'!$153:$153,'2015'!$154:$154,'2015'!$155:$155,'2015'!$156:$156,'2015'!$157:$157,'2015'!$158:$158,'2015'!$159:$159,'2015'!$160:$160,'2015'!$161:$161,'2015'!$162:$162,'2015'!$163:$163,'2015'!$164:$164</definedName>
    <definedName name="QB_DATA_9" localSheetId="17" hidden="1">'BS 2016'!$193:$193,'BS 2016'!$197:$197,'BS 2016'!$199:$199,'BS 2016'!$207:$207,'BS 2016'!$208:$208,'BS 2016'!$209:$209,'BS 2016'!$213:$213,'BS 2016'!$214:$214,'BS 2016'!$219:$219,'BS 2016'!$220:$220,'BS 2016'!$221:$221,'BS 2016'!$222:$222,'BS 2016'!$223:$223,'BS 2016'!$224:$224,'BS 2016'!$227:$227,'BS 2016'!$228:$228</definedName>
    <definedName name="QB_DATA_9" localSheetId="12" hidden="1">'BS MARCH 31'!$192:$192,'BS MARCH 31'!$193:$193,'BS MARCH 31'!$194:$194,'BS MARCH 31'!$195:$195,'BS MARCH 31'!$196:$196,'BS MARCH 31'!$197:$197,'BS MARCH 31'!$198:$198,'BS MARCH 31'!$201:$201,'BS MARCH 31'!$202:$202,'BS MARCH 31'!$203:$203,'BS MARCH 31'!$208:$208,'BS MARCH 31'!$210:$210,'BS MARCH 31'!$218:$218,'BS MARCH 31'!$219:$219,'BS MARCH 31'!$220:$220,'BS MARCH 31'!$224:$224</definedName>
    <definedName name="QB_DATA_9" localSheetId="3" hidden="1">'BS MARCH 31 (2)'!$192:$192,'BS MARCH 31 (2)'!$193:$193,'BS MARCH 31 (2)'!$194:$194,'BS MARCH 31 (2)'!$195:$195,'BS MARCH 31 (2)'!$196:$196,'BS MARCH 31 (2)'!$197:$197,'BS MARCH 31 (2)'!$198:$198,'BS MARCH 31 (2)'!$201:$201,'BS MARCH 31 (2)'!$202:$202,'BS MARCH 31 (2)'!$203:$203,'BS MARCH 31 (2)'!$208:$208,'BS MARCH 31 (2)'!$210:$210,'BS MARCH 31 (2)'!$218:$218,'BS MARCH 31 (2)'!$219:$219,'BS MARCH 31 (2)'!$220:$220,'BS MARCH 31 (2)'!$224:$224</definedName>
    <definedName name="QB_DATA_9" localSheetId="18" hidden="1">'IS 2016'!$206:$206,'IS 2016'!$207:$207,'IS 2016'!$209:$209,'IS 2016'!$213:$213,'IS 2016'!$214:$214,'IS 2016'!$215:$215,'IS 2016'!$216:$216,'IS 2016'!$217:$217,'IS 2016'!$220:$220,'IS 2016'!$221:$221,'IS 2016'!$222:$222,'IS 2016'!$227:$227,'IS 2016'!$229:$229,'IS 2016'!$230:$230,'IS 2016'!$232:$232,'IS 2016'!$235:$235</definedName>
    <definedName name="QB_DATA_9" localSheetId="13" hidden="1">'PL JAN-MARCH 2018'!$223:$223,'PL JAN-MARCH 2018'!$224:$224,'PL JAN-MARCH 2018'!$225:$225,'PL JAN-MARCH 2018'!$226:$226,'PL JAN-MARCH 2018'!$227:$227,'PL JAN-MARCH 2018'!$229:$229,'PL JAN-MARCH 2018'!$230:$230,'PL JAN-MARCH 2018'!$233:$233,'PL JAN-MARCH 2018'!$234:$234,'PL JAN-MARCH 2018'!$235:$235,'PL JAN-MARCH 2018'!$236:$236,'PL JAN-MARCH 2018'!$239:$239,'PL JAN-MARCH 2018'!$242:$242,'PL JAN-MARCH 2018'!$243:$243,'PL JAN-MARCH 2018'!$244:$244,'PL JAN-MARCH 2018'!$245:$245</definedName>
    <definedName name="QB_FORMULA_0" localSheetId="16" hidden="1">'2015'!#REF!,'2015'!#REF!</definedName>
    <definedName name="QB_FORMULA_0" localSheetId="17" hidden="1">'BS 2016'!$H$44,'BS 2016'!$H$46,'BS 2016'!$H$47,'BS 2016'!$H$50,'BS 2016'!$H$67,'BS 2016'!$H$72,'BS 2016'!$H$75,'BS 2016'!$H$88,'BS 2016'!$H$95,'BS 2016'!$H$103,'BS 2016'!$H$105,'BS 2016'!$H$106,'BS 2016'!$H$132,'BS 2016'!$H$143,'BS 2016'!$H$151,'BS 2016'!$H$156</definedName>
    <definedName name="QB_FORMULA_0" localSheetId="12" hidden="1">'BS MARCH 31'!$H$32,'BS MARCH 31'!$H$40,'BS MARCH 31'!$H$42,'BS MARCH 31'!$H$43,'BS MARCH 31'!$H$46,'BS MARCH 31'!$H$66,'BS MARCH 31'!$H$71,'BS MARCH 31'!$H$74,'BS MARCH 31'!$H$88,'BS MARCH 31'!$H$96,'BS MARCH 31'!$H$107,'BS MARCH 31'!$H$110,'BS MARCH 31'!$H$111,'BS MARCH 31'!$H$138,'BS MARCH 31'!$H$149,'BS MARCH 31'!$H$157</definedName>
    <definedName name="QB_FORMULA_0" localSheetId="3" hidden="1">'BS MARCH 31 (2)'!$H$32,'BS MARCH 31 (2)'!$H$40,'BS MARCH 31 (2)'!$H$42,'BS MARCH 31 (2)'!$H$43,'BS MARCH 31 (2)'!$H$46,'BS MARCH 31 (2)'!$H$66,'BS MARCH 31 (2)'!$H$71,'BS MARCH 31 (2)'!$H$74,'BS MARCH 31 (2)'!$H$88,'BS MARCH 31 (2)'!$H$96,'BS MARCH 31 (2)'!$H$107,'BS MARCH 31 (2)'!$H$110,'BS MARCH 31 (2)'!$H$111,'BS MARCH 31 (2)'!$H$138,'BS MARCH 31 (2)'!$H$149,'BS MARCH 31 (2)'!$H$157</definedName>
    <definedName name="QB_FORMULA_0" localSheetId="18" hidden="1">'IS 2016'!$J$16,'IS 2016'!$J$18,'IS 2016'!$J$19,'IS 2016'!$J$26,'IS 2016'!$J$32,'IS 2016'!$J$45,'IS 2016'!$J$54,'IS 2016'!$J$63,'IS 2016'!$J$67,'IS 2016'!$J$75,'IS 2016'!$J$77,'IS 2016'!$J$79,'IS 2016'!$J$80,'IS 2016'!$J$81,'IS 2016'!$J$93,'IS 2016'!$J$100</definedName>
    <definedName name="QB_FORMULA_0" localSheetId="13" hidden="1">'PL JAN-MARCH 2018'!$J$10,'PL JAN-MARCH 2018'!$J$11,'PL JAN-MARCH 2018'!$J$21,'PL JAN-MARCH 2018'!$J$27,'PL JAN-MARCH 2018'!$J$34,'PL JAN-MARCH 2018'!$J$42,'PL JAN-MARCH 2018'!$J$43,'PL JAN-MARCH 2018'!$J$44,'PL JAN-MARCH 2018'!$J$45,'PL JAN-MARCH 2018'!$J$57,'PL JAN-MARCH 2018'!$J$60,'PL JAN-MARCH 2018'!$J$68,'PL JAN-MARCH 2018'!$J$74,'PL JAN-MARCH 2018'!$J$81,'PL JAN-MARCH 2018'!$J$93,'PL JAN-MARCH 2018'!$J$96</definedName>
    <definedName name="QB_FORMULA_1" localSheetId="17" hidden="1">'BS 2016'!$H$161,'BS 2016'!$H$167,'BS 2016'!$H$174,'BS 2016'!$H$175,'BS 2016'!$H$188,'BS 2016'!$H$192,'BS 2016'!$H$194,'BS 2016'!$H$195,'BS 2016'!$H$200,'BS 2016'!$H$201,'BS 2016'!$H$202,'BS 2016'!$H$210,'BS 2016'!$H$215,'BS 2016'!$H$216,'BS 2016'!$H$225,'BS 2016'!$H$234</definedName>
    <definedName name="QB_FORMULA_1" localSheetId="12" hidden="1">'BS MARCH 31'!$H$162,'BS MARCH 31'!$H$167,'BS MARCH 31'!$H$173,'BS MARCH 31'!$H$181,'BS MARCH 31'!$H$183,'BS MARCH 31'!$H$199,'BS MARCH 31'!$H$204,'BS MARCH 31'!$H$205,'BS MARCH 31'!$H$206,'BS MARCH 31'!$H$211,'BS MARCH 31'!$H$212,'BS MARCH 31'!$H$213,'BS MARCH 31'!$H$221,'BS MARCH 31'!$H$226,'BS MARCH 31'!$H$227,'BS MARCH 31'!$H$234</definedName>
    <definedName name="QB_FORMULA_1" localSheetId="3" hidden="1">'BS MARCH 31 (2)'!$H$162,'BS MARCH 31 (2)'!$H$167,'BS MARCH 31 (2)'!$H$173,'BS MARCH 31 (2)'!$H$181,'BS MARCH 31 (2)'!$H$183,'BS MARCH 31 (2)'!$H$199,'BS MARCH 31 (2)'!$H$204,'BS MARCH 31 (2)'!$H$205,'BS MARCH 31 (2)'!$H$206,'BS MARCH 31 (2)'!$H$211,'BS MARCH 31 (2)'!$H$212,'BS MARCH 31 (2)'!$H$213,'BS MARCH 31 (2)'!$H$221,'BS MARCH 31 (2)'!$H$226,'BS MARCH 31 (2)'!$H$227,'BS MARCH 31 (2)'!$H$234</definedName>
    <definedName name="QB_FORMULA_1" localSheetId="18" hidden="1">'IS 2016'!$J$103,'IS 2016'!$J$112,'IS 2016'!$J$120,'IS 2016'!$J$130,'IS 2016'!$J$145,'IS 2016'!$J$154,'IS 2016'!$J$155,'IS 2016'!$J$173,'IS 2016'!$J$181,'IS 2016'!$J$187,'IS 2016'!$J$193,'IS 2016'!$J$203,'IS 2016'!$J$208,'IS 2016'!$J$210,'IS 2016'!$J$218,'IS 2016'!$J$223</definedName>
    <definedName name="QB_FORMULA_1" localSheetId="13" hidden="1">'PL JAN-MARCH 2018'!$J$98,'PL JAN-MARCH 2018'!$J$114,'PL JAN-MARCH 2018'!$J$120,'PL JAN-MARCH 2018'!$J$124,'PL JAN-MARCH 2018'!$J$131,'PL JAN-MARCH 2018'!$J$140,'PL JAN-MARCH 2018'!$J$145,'PL JAN-MARCH 2018'!$J$146,'PL JAN-MARCH 2018'!$J$153,'PL JAN-MARCH 2018'!$J$158,'PL JAN-MARCH 2018'!$J$159,'PL JAN-MARCH 2018'!$J$166,'PL JAN-MARCH 2018'!$J$168,'PL JAN-MARCH 2018'!$J$173,'PL JAN-MARCH 2018'!$J$177,'PL JAN-MARCH 2018'!$J$178</definedName>
    <definedName name="QB_FORMULA_2" localSheetId="17" hidden="1">'BS 2016'!$H$239,'BS 2016'!$H$243,'BS 2016'!$H$247,'BS 2016'!$H$248,'BS 2016'!$H$262,'BS 2016'!$H$263,'BS 2016'!$H$264,'BS 2016'!$H$271,'BS 2016'!$H$274,'BS 2016'!$H$275</definedName>
    <definedName name="QB_FORMULA_2" localSheetId="12" hidden="1">'BS MARCH 31'!$H$248,'BS MARCH 31'!$H$253,'BS MARCH 31'!$H$258,'BS MARCH 31'!$H$264,'BS MARCH 31'!$H$265,'BS MARCH 31'!$H$291,'BS MARCH 31'!$H$292,'BS MARCH 31'!$H$293,'BS MARCH 31'!$H$298,'BS MARCH 31'!$H$301,'BS MARCH 31'!$H$302</definedName>
    <definedName name="QB_FORMULA_2" localSheetId="3" hidden="1">'BS MARCH 31 (2)'!$H$248,'BS MARCH 31 (2)'!$H$253,'BS MARCH 31 (2)'!$H$258,'BS MARCH 31 (2)'!$H$264,'BS MARCH 31 (2)'!$H$265,'BS MARCH 31 (2)'!$H$291,'BS MARCH 31 (2)'!$H$292,'BS MARCH 31 (2)'!$H$293,'BS MARCH 31 (2)'!$H$298,'BS MARCH 31 (2)'!$H$301,'BS MARCH 31 (2)'!$H$302</definedName>
    <definedName name="QB_FORMULA_2" localSheetId="18" hidden="1">'IS 2016'!$J$224,'IS 2016'!$J$231,'IS 2016'!$J$233,'IS 2016'!$J$239,'IS 2016'!$J$244,'IS 2016'!$J$245,'IS 2016'!$J$251,'IS 2016'!$J$254,'IS 2016'!$J$264,'IS 2016'!$J$273,'IS 2016'!$J$284,'IS 2016'!$J$294,'IS 2016'!$J$301,'IS 2016'!$J$317,'IS 2016'!$J$319,'IS 2016'!$J$325</definedName>
    <definedName name="QB_FORMULA_2" localSheetId="13" hidden="1">'PL JAN-MARCH 2018'!$J$184,'PL JAN-MARCH 2018'!$J$199,'PL JAN-MARCH 2018'!$J$207,'PL JAN-MARCH 2018'!$J$214,'PL JAN-MARCH 2018'!$J$228,'PL JAN-MARCH 2018'!$J$231,'PL JAN-MARCH 2018'!$J$237,'PL JAN-MARCH 2018'!$J$240,'PL JAN-MARCH 2018'!$J$248,'PL JAN-MARCH 2018'!$J$249,'PL JAN-MARCH 2018'!$J$250,'PL JAN-MARCH 2018'!$J$258,'PL JAN-MARCH 2018'!$J$259,'PL JAN-MARCH 2018'!$J$260,'PL JAN-MARCH 2018'!$J$266,'PL JAN-MARCH 2018'!$J$267</definedName>
    <definedName name="QB_FORMULA_3" localSheetId="18" hidden="1">'IS 2016'!$J$328,'IS 2016'!$J$341,'IS 2016'!$J$343,'IS 2016'!$J$344,'IS 2016'!$J$346,'IS 2016'!$J$347,'IS 2016'!$J$358,'IS 2016'!$J$359,'IS 2016'!$J$362,'IS 2016'!$J$363,'IS 2016'!$J$364</definedName>
    <definedName name="QB_FORMULA_3" localSheetId="13" hidden="1">'PL JAN-MARCH 2018'!$J$268,'PL JAN-MARCH 2018'!$J$269</definedName>
    <definedName name="QB_ROW_1" localSheetId="17" hidden="1">'BS 2016'!$A$2</definedName>
    <definedName name="QB_ROW_1" localSheetId="12" hidden="1">'BS MARCH 31'!$A$2</definedName>
    <definedName name="QB_ROW_1" localSheetId="3" hidden="1">'BS MARCH 31 (2)'!$A$2</definedName>
    <definedName name="QB_ROW_100210" localSheetId="16" hidden="1">'2015'!$A$123</definedName>
    <definedName name="QB_ROW_1002250" localSheetId="13" hidden="1">'PL JAN-MARCH 2018'!$F$256</definedName>
    <definedName name="QB_ROW_100250" localSheetId="17" hidden="1">'BS 2016'!$F$130</definedName>
    <definedName name="QB_ROW_100250" localSheetId="12" hidden="1">'BS MARCH 31'!$F$136</definedName>
    <definedName name="QB_ROW_100250" localSheetId="3" hidden="1">'BS MARCH 31 (2)'!$F$136</definedName>
    <definedName name="QB_ROW_10031" localSheetId="17" hidden="1">'BS 2016'!$D$206</definedName>
    <definedName name="QB_ROW_10031" localSheetId="12" hidden="1">'BS MARCH 31'!$D$217</definedName>
    <definedName name="QB_ROW_10031" localSheetId="3" hidden="1">'BS MARCH 31 (2)'!$D$217</definedName>
    <definedName name="QB_ROW_1003240" localSheetId="12" hidden="1">'BS MARCH 31'!$E$272</definedName>
    <definedName name="QB_ROW_1003240" localSheetId="3" hidden="1">'BS MARCH 31 (2)'!$E$272</definedName>
    <definedName name="QB_ROW_1004250" localSheetId="12" hidden="1">'BS MARCH 31'!$F$239</definedName>
    <definedName name="QB_ROW_1004250" localSheetId="3" hidden="1">'BS MARCH 31 (2)'!$F$239</definedName>
    <definedName name="QB_ROW_1005240" localSheetId="12" hidden="1">'BS MARCH 31'!$E$282</definedName>
    <definedName name="QB_ROW_1005240" localSheetId="3" hidden="1">'BS MARCH 31 (2)'!$E$282</definedName>
    <definedName name="QB_ROW_1007270" localSheetId="13" hidden="1">'PL JAN-MARCH 2018'!$H$198</definedName>
    <definedName name="QB_ROW_1008270" localSheetId="18" hidden="1">'IS 2016'!$H$142</definedName>
    <definedName name="QB_ROW_1009240" localSheetId="12" hidden="1">'BS MARCH 31'!$E$273</definedName>
    <definedName name="QB_ROW_1009240" localSheetId="3" hidden="1">'BS MARCH 31 (2)'!$E$273</definedName>
    <definedName name="QB_ROW_1010370" localSheetId="13" hidden="1">'PL JAN-MARCH 2018'!$H$229</definedName>
    <definedName name="QB_ROW_1011" localSheetId="17" hidden="1">'BS 2016'!$B$3</definedName>
    <definedName name="QB_ROW_1011" localSheetId="12" hidden="1">'BS MARCH 31'!$B$3</definedName>
    <definedName name="QB_ROW_1011" localSheetId="3" hidden="1">'BS MARCH 31 (2)'!$B$3</definedName>
    <definedName name="QB_ROW_101210" localSheetId="16" hidden="1">'2015'!$A$142</definedName>
    <definedName name="QB_ROW_1012240" localSheetId="12" hidden="1">'BS MARCH 31'!$E$283</definedName>
    <definedName name="QB_ROW_1012240" localSheetId="3" hidden="1">'BS MARCH 31 (2)'!$E$283</definedName>
    <definedName name="QB_ROW_101250" localSheetId="17" hidden="1">'BS 2016'!$F$153</definedName>
    <definedName name="QB_ROW_101250" localSheetId="12" hidden="1">'BS MARCH 31'!$F$159</definedName>
    <definedName name="QB_ROW_101250" localSheetId="3" hidden="1">'BS MARCH 31 (2)'!$F$159</definedName>
    <definedName name="QB_ROW_1013240" localSheetId="12" hidden="1">'BS MARCH 31'!$E$105</definedName>
    <definedName name="QB_ROW_1013240" localSheetId="3" hidden="1">'BS MARCH 31 (2)'!$E$105</definedName>
    <definedName name="QB_ROW_1014240" localSheetId="12" hidden="1">'BS MARCH 31'!$E$284</definedName>
    <definedName name="QB_ROW_1014240" localSheetId="3" hidden="1">'BS MARCH 31 (2)'!$E$284</definedName>
    <definedName name="QB_ROW_1015240" localSheetId="12" hidden="1">'BS MARCH 31'!$E$285</definedName>
    <definedName name="QB_ROW_1015240" localSheetId="3" hidden="1">'BS MARCH 31 (2)'!$E$285</definedName>
    <definedName name="QB_ROW_1016240" localSheetId="12" hidden="1">'BS MARCH 31'!$E$260</definedName>
    <definedName name="QB_ROW_1016240" localSheetId="3" hidden="1">'BS MARCH 31 (2)'!$E$260</definedName>
    <definedName name="QB_ROW_1017240" localSheetId="17" hidden="1">'BS 2016'!$E$256</definedName>
    <definedName name="QB_ROW_1017240" localSheetId="12" hidden="1">'BS MARCH 31'!$E$275</definedName>
    <definedName name="QB_ROW_1017240" localSheetId="3" hidden="1">'BS MARCH 31 (2)'!$E$275</definedName>
    <definedName name="QB_ROW_1019240" localSheetId="12" hidden="1">'BS MARCH 31'!$E$100</definedName>
    <definedName name="QB_ROW_1019240" localSheetId="3" hidden="1">'BS MARCH 31 (2)'!$E$100</definedName>
    <definedName name="QB_ROW_1020250" localSheetId="17" hidden="1">'BS 2016'!$F$171</definedName>
    <definedName name="QB_ROW_1020250" localSheetId="12" hidden="1">'BS MARCH 31'!$F$177</definedName>
    <definedName name="QB_ROW_1020250" localSheetId="3" hidden="1">'BS MARCH 31 (2)'!$F$177</definedName>
    <definedName name="QB_ROW_1021250" localSheetId="17" hidden="1">'BS 2016'!$F$173</definedName>
    <definedName name="QB_ROW_1021250" localSheetId="12" hidden="1">'BS MARCH 31'!$F$179</definedName>
    <definedName name="QB_ROW_1021250" localSheetId="3" hidden="1">'BS MARCH 31 (2)'!$F$179</definedName>
    <definedName name="QB_ROW_102210" localSheetId="16" hidden="1">'2015'!$A$143</definedName>
    <definedName name="QB_ROW_1022270" localSheetId="18" hidden="1">'IS 2016'!$H$202</definedName>
    <definedName name="QB_ROW_102250" localSheetId="17" hidden="1">'BS 2016'!$F$154</definedName>
    <definedName name="QB_ROW_102250" localSheetId="12" hidden="1">'BS MARCH 31'!$F$160</definedName>
    <definedName name="QB_ROW_102250" localSheetId="3" hidden="1">'BS MARCH 31 (2)'!$F$160</definedName>
    <definedName name="QB_ROW_1023240" localSheetId="17" hidden="1">'BS 2016'!$E$54</definedName>
    <definedName name="QB_ROW_1023240" localSheetId="12" hidden="1">'BS MARCH 31'!$E$51</definedName>
    <definedName name="QB_ROW_1023240" localSheetId="3" hidden="1">'BS MARCH 31 (2)'!$E$51</definedName>
    <definedName name="QB_ROW_1025260" localSheetId="12" hidden="1">'BS MARCH 31'!$G$246</definedName>
    <definedName name="QB_ROW_1025260" localSheetId="3" hidden="1">'BS MARCH 31 (2)'!$G$246</definedName>
    <definedName name="QB_ROW_1028240" localSheetId="12" hidden="1">'BS MARCH 31'!$E$286</definedName>
    <definedName name="QB_ROW_1028240" localSheetId="3" hidden="1">'BS MARCH 31 (2)'!$E$286</definedName>
    <definedName name="QB_ROW_1029240" localSheetId="12" hidden="1">'BS MARCH 31'!$E$287</definedName>
    <definedName name="QB_ROW_1029240" localSheetId="3" hidden="1">'BS MARCH 31 (2)'!$E$287</definedName>
    <definedName name="QB_ROW_1030250" localSheetId="13" hidden="1">'PL JAN-MARCH 2018'!$F$257</definedName>
    <definedName name="QB_ROW_103210" localSheetId="16" hidden="1">'2015'!$A$145</definedName>
    <definedName name="QB_ROW_1032250" localSheetId="12" hidden="1">'BS MARCH 31'!$F$95</definedName>
    <definedName name="QB_ROW_1032250" localSheetId="3" hidden="1">'BS MARCH 31 (2)'!$F$95</definedName>
    <definedName name="QB_ROW_103250" localSheetId="17" hidden="1">'BS 2016'!$F$158</definedName>
    <definedName name="QB_ROW_103250" localSheetId="12" hidden="1">'BS MARCH 31'!$F$164</definedName>
    <definedName name="QB_ROW_103250" localSheetId="3" hidden="1">'BS MARCH 31 (2)'!$F$164</definedName>
    <definedName name="QB_ROW_10331" localSheetId="17" hidden="1">'BS 2016'!$D$210</definedName>
    <definedName name="QB_ROW_10331" localSheetId="12" hidden="1">'BS MARCH 31'!$D$221</definedName>
    <definedName name="QB_ROW_10331" localSheetId="3" hidden="1">'BS MARCH 31 (2)'!$D$221</definedName>
    <definedName name="QB_ROW_1033240" localSheetId="12" hidden="1">'BS MARCH 31'!$E$288</definedName>
    <definedName name="QB_ROW_1033240" localSheetId="3" hidden="1">'BS MARCH 31 (2)'!$E$288</definedName>
    <definedName name="QB_ROW_1034240" localSheetId="12" hidden="1">'BS MARCH 31'!$E$289</definedName>
    <definedName name="QB_ROW_1034240" localSheetId="3" hidden="1">'BS MARCH 31 (2)'!$E$289</definedName>
    <definedName name="QB_ROW_1035240" localSheetId="12" hidden="1">'BS MARCH 31'!$E$290</definedName>
    <definedName name="QB_ROW_1035240" localSheetId="3" hidden="1">'BS MARCH 31 (2)'!$E$290</definedName>
    <definedName name="QB_ROW_1036240" localSheetId="12" hidden="1">'BS MARCH 31'!$E$194</definedName>
    <definedName name="QB_ROW_1036240" localSheetId="3" hidden="1">'BS MARCH 31 (2)'!$E$194</definedName>
    <definedName name="QB_ROW_1040250" localSheetId="12" hidden="1">'BS MARCH 31'!$F$257</definedName>
    <definedName name="QB_ROW_1040250" localSheetId="3" hidden="1">'BS MARCH 31 (2)'!$F$257</definedName>
    <definedName name="QB_ROW_1041240" localSheetId="12" hidden="1">'BS MARCH 31'!$E$20</definedName>
    <definedName name="QB_ROW_1041240" localSheetId="3" hidden="1">'BS MARCH 31 (2)'!$E$20</definedName>
    <definedName name="QB_ROW_104210" localSheetId="16" hidden="1">'2015'!$A$146</definedName>
    <definedName name="QB_ROW_1042240" localSheetId="12" hidden="1">'BS MARCH 31'!$E$196</definedName>
    <definedName name="QB_ROW_1042240" localSheetId="3" hidden="1">'BS MARCH 31 (2)'!$E$196</definedName>
    <definedName name="QB_ROW_104250" localSheetId="17" hidden="1">'BS 2016'!$F$159</definedName>
    <definedName name="QB_ROW_104250" localSheetId="12" hidden="1">'BS MARCH 31'!$F$165</definedName>
    <definedName name="QB_ROW_104250" localSheetId="3" hidden="1">'BS MARCH 31 (2)'!$F$165</definedName>
    <definedName name="QB_ROW_1043240" localSheetId="12" hidden="1">'BS MARCH 31'!$E$197</definedName>
    <definedName name="QB_ROW_1043240" localSheetId="3" hidden="1">'BS MARCH 31 (2)'!$E$197</definedName>
    <definedName name="QB_ROW_1045040" localSheetId="12" hidden="1">'BS MARCH 31'!$E$33</definedName>
    <definedName name="QB_ROW_1045040" localSheetId="3" hidden="1">'BS MARCH 31 (2)'!$E$33</definedName>
    <definedName name="QB_ROW_1045340" localSheetId="12" hidden="1">'BS MARCH 31'!$E$40</definedName>
    <definedName name="QB_ROW_1045340" localSheetId="3" hidden="1">'BS MARCH 31 (2)'!$E$40</definedName>
    <definedName name="QB_ROW_1046250" localSheetId="12" hidden="1">'BS MARCH 31'!$F$34</definedName>
    <definedName name="QB_ROW_1046250" localSheetId="3" hidden="1">'BS MARCH 31 (2)'!$F$34</definedName>
    <definedName name="QB_ROW_1047250" localSheetId="12" hidden="1">'BS MARCH 31'!$F$35</definedName>
    <definedName name="QB_ROW_1047250" localSheetId="3" hidden="1">'BS MARCH 31 (2)'!$F$35</definedName>
    <definedName name="QB_ROW_1049250" localSheetId="12" hidden="1">'BS MARCH 31'!$F$36</definedName>
    <definedName name="QB_ROW_1049250" localSheetId="3" hidden="1">'BS MARCH 31 (2)'!$F$36</definedName>
    <definedName name="QB_ROW_1050250" localSheetId="12" hidden="1">'BS MARCH 31'!$F$37</definedName>
    <definedName name="QB_ROW_1050250" localSheetId="3" hidden="1">'BS MARCH 31 (2)'!$F$37</definedName>
    <definedName name="QB_ROW_1051250" localSheetId="12" hidden="1">'BS MARCH 31'!$F$38</definedName>
    <definedName name="QB_ROW_1051250" localSheetId="3" hidden="1">'BS MARCH 31 (2)'!$F$38</definedName>
    <definedName name="QB_ROW_105210" localSheetId="16" hidden="1">'2015'!$A$147</definedName>
    <definedName name="QB_ROW_1052240" localSheetId="12" hidden="1">'BS MARCH 31'!$E$261</definedName>
    <definedName name="QB_ROW_1052240" localSheetId="3" hidden="1">'BS MARCH 31 (2)'!$E$261</definedName>
    <definedName name="QB_ROW_105250" localSheetId="17" hidden="1">'BS 2016'!$F$163</definedName>
    <definedName name="QB_ROW_105250" localSheetId="12" hidden="1">'BS MARCH 31'!$F$169</definedName>
    <definedName name="QB_ROW_105250" localSheetId="3" hidden="1">'BS MARCH 31 (2)'!$F$169</definedName>
    <definedName name="QB_ROW_1053260" localSheetId="12" hidden="1">'BS MARCH 31'!$G$247</definedName>
    <definedName name="QB_ROW_1053260" localSheetId="3" hidden="1">'BS MARCH 31 (2)'!$G$247</definedName>
    <definedName name="QB_ROW_1054230" localSheetId="12" hidden="1">'BS MARCH 31'!$D$48</definedName>
    <definedName name="QB_ROW_1054230" localSheetId="3" hidden="1">'BS MARCH 31 (2)'!$D$48</definedName>
    <definedName name="QB_ROW_1056250" localSheetId="12" hidden="1">'BS MARCH 31'!$F$39</definedName>
    <definedName name="QB_ROW_1056250" localSheetId="3" hidden="1">'BS MARCH 31 (2)'!$F$39</definedName>
    <definedName name="QB_ROW_1060" localSheetId="18" hidden="1">'IS 2016'!$G$104</definedName>
    <definedName name="QB_ROW_1060" localSheetId="13" hidden="1">'PL JAN-MARCH 2018'!$G$61</definedName>
    <definedName name="QB_ROW_106210" localSheetId="16" hidden="1">'2015'!$A$150</definedName>
    <definedName name="QB_ROW_106250" localSheetId="17" hidden="1">'BS 2016'!$F$166</definedName>
    <definedName name="QB_ROW_106250" localSheetId="12" hidden="1">'BS MARCH 31'!$F$172</definedName>
    <definedName name="QB_ROW_106250" localSheetId="3" hidden="1">'BS MARCH 31 (2)'!$F$172</definedName>
    <definedName name="QB_ROW_110210" localSheetId="16" hidden="1">'2015'!$A$166</definedName>
    <definedName name="QB_ROW_11031" localSheetId="17" hidden="1">'BS 2016'!$D$211</definedName>
    <definedName name="QB_ROW_11031" localSheetId="12" hidden="1">'BS MARCH 31'!$D$222</definedName>
    <definedName name="QB_ROW_11031" localSheetId="3" hidden="1">'BS MARCH 31 (2)'!$D$222</definedName>
    <definedName name="QB_ROW_11331" localSheetId="17" hidden="1">'BS 2016'!$D$216</definedName>
    <definedName name="QB_ROW_11331" localSheetId="12" hidden="1">'BS MARCH 31'!$D$227</definedName>
    <definedName name="QB_ROW_11331" localSheetId="3" hidden="1">'BS MARCH 31 (2)'!$D$227</definedName>
    <definedName name="QB_ROW_118030" localSheetId="17" hidden="1">'BS 2016'!$D$53</definedName>
    <definedName name="QB_ROW_118030" localSheetId="12" hidden="1">'BS MARCH 31'!$D$50</definedName>
    <definedName name="QB_ROW_118030" localSheetId="3" hidden="1">'BS MARCH 31 (2)'!$D$50</definedName>
    <definedName name="QB_ROW_118330" localSheetId="17" hidden="1">'BS 2016'!$D$103</definedName>
    <definedName name="QB_ROW_118330" localSheetId="12" hidden="1">'BS MARCH 31'!$D$107</definedName>
    <definedName name="QB_ROW_118330" localSheetId="3" hidden="1">'BS MARCH 31 (2)'!$D$107</definedName>
    <definedName name="QB_ROW_120210" localSheetId="16" hidden="1">'2015'!$A$53</definedName>
    <definedName name="QB_ROW_120240" localSheetId="17" hidden="1">'BS 2016'!$E$55</definedName>
    <definedName name="QB_ROW_120240" localSheetId="12" hidden="1">'BS MARCH 31'!$E$52</definedName>
    <definedName name="QB_ROW_120240" localSheetId="3" hidden="1">'BS MARCH 31 (2)'!$E$52</definedName>
    <definedName name="QB_ROW_12031" localSheetId="17" hidden="1">'BS 2016'!$D$217</definedName>
    <definedName name="QB_ROW_12031" localSheetId="12" hidden="1">'BS MARCH 31'!$D$228</definedName>
    <definedName name="QB_ROW_12031" localSheetId="3" hidden="1">'BS MARCH 31 (2)'!$D$228</definedName>
    <definedName name="QB_ROW_121210" localSheetId="16" hidden="1">'2015'!$A$57</definedName>
    <definedName name="QB_ROW_121240" localSheetId="17" hidden="1">'BS 2016'!$E$56</definedName>
    <definedName name="QB_ROW_121240" localSheetId="12" hidden="1">'BS MARCH 31'!$E$53</definedName>
    <definedName name="QB_ROW_121240" localSheetId="3" hidden="1">'BS MARCH 31 (2)'!$E$53</definedName>
    <definedName name="QB_ROW_122210" localSheetId="16" hidden="1">'2015'!$A$58</definedName>
    <definedName name="QB_ROW_123030" localSheetId="17" hidden="1">'BS 2016'!$D$5</definedName>
    <definedName name="QB_ROW_123030" localSheetId="12" hidden="1">'BS MARCH 31'!$D$5</definedName>
    <definedName name="QB_ROW_123030" localSheetId="3" hidden="1">'BS MARCH 31 (2)'!$D$5</definedName>
    <definedName name="QB_ROW_123210" localSheetId="16" hidden="1">'2015'!$A$4</definedName>
    <definedName name="QB_ROW_123240" localSheetId="17" hidden="1">'BS 2016'!$E$45</definedName>
    <definedName name="QB_ROW_123240" localSheetId="12" hidden="1">'BS MARCH 31'!$E$41</definedName>
    <definedName name="QB_ROW_123240" localSheetId="3" hidden="1">'BS MARCH 31 (2)'!$E$41</definedName>
    <definedName name="QB_ROW_12331" localSheetId="17" hidden="1">'BS 2016'!$D$247</definedName>
    <definedName name="QB_ROW_12331" localSheetId="12" hidden="1">'BS MARCH 31'!$D$264</definedName>
    <definedName name="QB_ROW_12331" localSheetId="3" hidden="1">'BS MARCH 31 (2)'!$D$264</definedName>
    <definedName name="QB_ROW_123330" localSheetId="17" hidden="1">'BS 2016'!$D$46</definedName>
    <definedName name="QB_ROW_123330" localSheetId="12" hidden="1">'BS MARCH 31'!$D$42</definedName>
    <definedName name="QB_ROW_123330" localSheetId="3" hidden="1">'BS MARCH 31 (2)'!$D$42</definedName>
    <definedName name="QB_ROW_124210" localSheetId="16" hidden="1">'2015'!$A$6</definedName>
    <definedName name="QB_ROW_124240" localSheetId="17" hidden="1">'BS 2016'!$E$7</definedName>
    <definedName name="QB_ROW_124240" localSheetId="12" hidden="1">'BS MARCH 31'!$E$7</definedName>
    <definedName name="QB_ROW_124240" localSheetId="3" hidden="1">'BS MARCH 31 (2)'!$E$7</definedName>
    <definedName name="QB_ROW_125210" localSheetId="16" hidden="1">'2015'!$A$5</definedName>
    <definedName name="QB_ROW_125240" localSheetId="17" hidden="1">'BS 2016'!$E$6</definedName>
    <definedName name="QB_ROW_125240" localSheetId="12" hidden="1">'BS MARCH 31'!$E$6</definedName>
    <definedName name="QB_ROW_125240" localSheetId="3" hidden="1">'BS MARCH 31 (2)'!$E$6</definedName>
    <definedName name="QB_ROW_129210" localSheetId="16" hidden="1">'2015'!$A$88</definedName>
    <definedName name="QB_ROW_129250" localSheetId="17" hidden="1">'BS 2016'!$F$92</definedName>
    <definedName name="QB_ROW_129250" localSheetId="12" hidden="1">'BS MARCH 31'!$F$92</definedName>
    <definedName name="QB_ROW_129250" localSheetId="3" hidden="1">'BS MARCH 31 (2)'!$F$92</definedName>
    <definedName name="QB_ROW_13021" localSheetId="17" hidden="1">'BS 2016'!$C$249</definedName>
    <definedName name="QB_ROW_13021" localSheetId="12" hidden="1">'BS MARCH 31'!$C$266</definedName>
    <definedName name="QB_ROW_13021" localSheetId="3" hidden="1">'BS MARCH 31 (2)'!$C$266</definedName>
    <definedName name="QB_ROW_130210" localSheetId="16" hidden="1">'2015'!$A$89</definedName>
    <definedName name="QB_ROW_130250" localSheetId="17" hidden="1">'BS 2016'!$F$93</definedName>
    <definedName name="QB_ROW_130250" localSheetId="12" hidden="1">'BS MARCH 31'!$F$93</definedName>
    <definedName name="QB_ROW_130250" localSheetId="3" hidden="1">'BS MARCH 31 (2)'!$F$93</definedName>
    <definedName name="QB_ROW_1311" localSheetId="17" hidden="1">'BS 2016'!$B$106</definedName>
    <definedName name="QB_ROW_1311" localSheetId="12" hidden="1">'BS MARCH 31'!$B$111</definedName>
    <definedName name="QB_ROW_1311" localSheetId="3" hidden="1">'BS MARCH 31 (2)'!$B$111</definedName>
    <definedName name="QB_ROW_132040" localSheetId="17" hidden="1">'BS 2016'!$E$79</definedName>
    <definedName name="QB_ROW_132040" localSheetId="12" hidden="1">'BS MARCH 31'!$E$78</definedName>
    <definedName name="QB_ROW_132040" localSheetId="3" hidden="1">'BS MARCH 31 (2)'!$E$78</definedName>
    <definedName name="QB_ROW_132210" localSheetId="16" hidden="1">'2015'!$A$78</definedName>
    <definedName name="QB_ROW_132250" localSheetId="17" hidden="1">'BS 2016'!$F$87</definedName>
    <definedName name="QB_ROW_132250" localSheetId="12" hidden="1">'BS MARCH 31'!$F$87</definedName>
    <definedName name="QB_ROW_132250" localSheetId="3" hidden="1">'BS MARCH 31 (2)'!$F$87</definedName>
    <definedName name="QB_ROW_132340" localSheetId="17" hidden="1">'BS 2016'!$E$88</definedName>
    <definedName name="QB_ROW_132340" localSheetId="12" hidden="1">'BS MARCH 31'!$E$88</definedName>
    <definedName name="QB_ROW_132340" localSheetId="3" hidden="1">'BS MARCH 31 (2)'!$E$88</definedName>
    <definedName name="QB_ROW_13321" localSheetId="17" hidden="1">'BS 2016'!$C$263</definedName>
    <definedName name="QB_ROW_13321" localSheetId="12" hidden="1">'BS MARCH 31'!$C$292</definedName>
    <definedName name="QB_ROW_13321" localSheetId="3" hidden="1">'BS MARCH 31 (2)'!$C$292</definedName>
    <definedName name="QB_ROW_134210" localSheetId="16" hidden="1">'2015'!$A$65</definedName>
    <definedName name="QB_ROW_134250" localSheetId="17" hidden="1">'BS 2016'!$F$60</definedName>
    <definedName name="QB_ROW_134250" localSheetId="12" hidden="1">'BS MARCH 31'!$F$58</definedName>
    <definedName name="QB_ROW_134250" localSheetId="3" hidden="1">'BS MARCH 31 (2)'!$F$58</definedName>
    <definedName name="QB_ROW_1360" localSheetId="18" hidden="1">'IS 2016'!$G$112</definedName>
    <definedName name="QB_ROW_1360" localSheetId="13" hidden="1">'PL JAN-MARCH 2018'!$G$68</definedName>
    <definedName name="QB_ROW_136210" localSheetId="16" hidden="1">'2015'!$A$71</definedName>
    <definedName name="QB_ROW_136250" localSheetId="17" hidden="1">'BS 2016'!$F$68</definedName>
    <definedName name="QB_ROW_136250" localSheetId="12" hidden="1">'BS MARCH 31'!$F$67</definedName>
    <definedName name="QB_ROW_136250" localSheetId="3" hidden="1">'BS MARCH 31 (2)'!$F$67</definedName>
    <definedName name="QB_ROW_138050" localSheetId="17" hidden="1">'BS 2016'!$F$62</definedName>
    <definedName name="QB_ROW_138050" localSheetId="12" hidden="1">'BS MARCH 31'!$F$60</definedName>
    <definedName name="QB_ROW_138050" localSheetId="3" hidden="1">'BS MARCH 31 (2)'!$F$60</definedName>
    <definedName name="QB_ROW_138210" localSheetId="16" hidden="1">'2015'!$A$67</definedName>
    <definedName name="QB_ROW_138260" localSheetId="17" hidden="1">'BS 2016'!$G$66</definedName>
    <definedName name="QB_ROW_138260" localSheetId="12" hidden="1">'BS MARCH 31'!$G$65</definedName>
    <definedName name="QB_ROW_138260" localSheetId="3" hidden="1">'BS MARCH 31 (2)'!$G$65</definedName>
    <definedName name="QB_ROW_138350" localSheetId="17" hidden="1">'BS 2016'!$F$67</definedName>
    <definedName name="QB_ROW_138350" localSheetId="12" hidden="1">'BS MARCH 31'!$F$66</definedName>
    <definedName name="QB_ROW_138350" localSheetId="3" hidden="1">'BS MARCH 31 (2)'!$F$66</definedName>
    <definedName name="QB_ROW_139210" localSheetId="16" hidden="1">'2015'!$A$87</definedName>
    <definedName name="QB_ROW_139240" localSheetId="17" hidden="1">'BS 2016'!$E$90</definedName>
    <definedName name="QB_ROW_139240" localSheetId="12" hidden="1">'BS MARCH 31'!$E$90</definedName>
    <definedName name="QB_ROW_139240" localSheetId="3" hidden="1">'BS MARCH 31 (2)'!$E$90</definedName>
    <definedName name="QB_ROW_14011" localSheetId="17" hidden="1">'BS 2016'!$B$265</definedName>
    <definedName name="QB_ROW_14011" localSheetId="12" hidden="1">'BS MARCH 31'!$B$294</definedName>
    <definedName name="QB_ROW_14011" localSheetId="3" hidden="1">'BS MARCH 31 (2)'!$B$294</definedName>
    <definedName name="QB_ROW_140210" localSheetId="16" hidden="1">'2015'!$A$86</definedName>
    <definedName name="QB_ROW_140240" localSheetId="17" hidden="1">'BS 2016'!$E$89</definedName>
    <definedName name="QB_ROW_140240" localSheetId="12" hidden="1">'BS MARCH 31'!$E$89</definedName>
    <definedName name="QB_ROW_140240" localSheetId="3" hidden="1">'BS MARCH 31 (2)'!$E$89</definedName>
    <definedName name="QB_ROW_141030" localSheetId="17" hidden="1">'BS 2016'!$D$250</definedName>
    <definedName name="QB_ROW_141030" localSheetId="12" hidden="1">'BS MARCH 31'!$D$267</definedName>
    <definedName name="QB_ROW_141030" localSheetId="3" hidden="1">'BS MARCH 31 (2)'!$D$267</definedName>
    <definedName name="QB_ROW_141330" localSheetId="17" hidden="1">'BS 2016'!$D$262</definedName>
    <definedName name="QB_ROW_141330" localSheetId="12" hidden="1">'BS MARCH 31'!$D$291</definedName>
    <definedName name="QB_ROW_141330" localSheetId="3" hidden="1">'BS MARCH 31 (2)'!$D$291</definedName>
    <definedName name="QB_ROW_14311" localSheetId="17" hidden="1">'BS 2016'!$B$274</definedName>
    <definedName name="QB_ROW_14311" localSheetId="12" hidden="1">'BS MARCH 31'!$B$301</definedName>
    <definedName name="QB_ROW_14311" localSheetId="3" hidden="1">'BS MARCH 31 (2)'!$B$301</definedName>
    <definedName name="QB_ROW_144040" localSheetId="17" hidden="1">'BS 2016'!$E$226</definedName>
    <definedName name="QB_ROW_144040" localSheetId="12" hidden="1">'BS MARCH 31'!$E$235</definedName>
    <definedName name="QB_ROW_144040" localSheetId="3" hidden="1">'BS MARCH 31 (2)'!$E$235</definedName>
    <definedName name="QB_ROW_144340" localSheetId="17" hidden="1">'BS 2016'!$E$243</definedName>
    <definedName name="QB_ROW_144340" localSheetId="12" hidden="1">'BS MARCH 31'!$E$258</definedName>
    <definedName name="QB_ROW_144340" localSheetId="3" hidden="1">'BS MARCH 31 (2)'!$E$258</definedName>
    <definedName name="QB_ROW_145210" localSheetId="16" hidden="1">'2015'!$A$170</definedName>
    <definedName name="QB_ROW_145240" localSheetId="17" hidden="1">'BS 2016'!$E$207</definedName>
    <definedName name="QB_ROW_145240" localSheetId="12" hidden="1">'BS MARCH 31'!$E$218</definedName>
    <definedName name="QB_ROW_145240" localSheetId="3" hidden="1">'BS MARCH 31 (2)'!$E$218</definedName>
    <definedName name="QB_ROW_146210" localSheetId="16" hidden="1">'2015'!$A$214</definedName>
    <definedName name="QB_ROW_146250" localSheetId="17" hidden="1">'BS 2016'!$F$219</definedName>
    <definedName name="QB_ROW_146250" localSheetId="12" hidden="1">'BS MARCH 31'!$F$230</definedName>
    <definedName name="QB_ROW_146250" localSheetId="3" hidden="1">'BS MARCH 31 (2)'!$F$230</definedName>
    <definedName name="QB_ROW_147210" localSheetId="16" hidden="1">'2015'!$A$221</definedName>
    <definedName name="QB_ROW_147250" localSheetId="17" hidden="1">'BS 2016'!$F$228</definedName>
    <definedName name="QB_ROW_147250" localSheetId="12" hidden="1">'BS MARCH 31'!$F$237</definedName>
    <definedName name="QB_ROW_147250" localSheetId="3" hidden="1">'BS MARCH 31 (2)'!$F$237</definedName>
    <definedName name="QB_ROW_148210" localSheetId="16" hidden="1">'2015'!$A$215</definedName>
    <definedName name="QB_ROW_148250" localSheetId="17" hidden="1">'BS 2016'!$F$220</definedName>
    <definedName name="QB_ROW_149210" localSheetId="16" hidden="1">'2015'!$A$216</definedName>
    <definedName name="QB_ROW_149250" localSheetId="17" hidden="1">'BS 2016'!$F$221</definedName>
    <definedName name="QB_ROW_150210" localSheetId="16" hidden="1">'2015'!$A$217</definedName>
    <definedName name="QB_ROW_150250" localSheetId="17" hidden="1">'BS 2016'!$F$222</definedName>
    <definedName name="QB_ROW_150250" localSheetId="12" hidden="1">'BS MARCH 31'!$F$231</definedName>
    <definedName name="QB_ROW_150250" localSheetId="3" hidden="1">'BS MARCH 31 (2)'!$F$231</definedName>
    <definedName name="QB_ROW_151210" localSheetId="16" hidden="1">'2015'!$A$218</definedName>
    <definedName name="QB_ROW_151250" localSheetId="17" hidden="1">'BS 2016'!$F$223</definedName>
    <definedName name="QB_ROW_151250" localSheetId="12" hidden="1">'BS MARCH 31'!$F$232</definedName>
    <definedName name="QB_ROW_151250" localSheetId="3" hidden="1">'BS MARCH 31 (2)'!$F$232</definedName>
    <definedName name="QB_ROW_157050" localSheetId="17" hidden="1">'BS 2016'!$F$235</definedName>
    <definedName name="QB_ROW_157050" localSheetId="12" hidden="1">'BS MARCH 31'!$F$249</definedName>
    <definedName name="QB_ROW_157050" localSheetId="3" hidden="1">'BS MARCH 31 (2)'!$F$249</definedName>
    <definedName name="QB_ROW_157210" localSheetId="16" hidden="1">'2015'!$A$228</definedName>
    <definedName name="QB_ROW_157260" localSheetId="17" hidden="1">'BS 2016'!$G$238</definedName>
    <definedName name="QB_ROW_157260" localSheetId="12" hidden="1">'BS MARCH 31'!$G$252</definedName>
    <definedName name="QB_ROW_157260" localSheetId="3" hidden="1">'BS MARCH 31 (2)'!$G$252</definedName>
    <definedName name="QB_ROW_157350" localSheetId="17" hidden="1">'BS 2016'!$F$239</definedName>
    <definedName name="QB_ROW_157350" localSheetId="12" hidden="1">'BS MARCH 31'!$F$253</definedName>
    <definedName name="QB_ROW_157350" localSheetId="3" hidden="1">'BS MARCH 31 (2)'!$F$253</definedName>
    <definedName name="QB_ROW_162210" localSheetId="16" hidden="1">'2015'!$A$93</definedName>
    <definedName name="QB_ROW_162240" localSheetId="17" hidden="1">'BS 2016'!$E$98</definedName>
    <definedName name="QB_ROW_162240" localSheetId="12" hidden="1">'BS MARCH 31'!$E$99</definedName>
    <definedName name="QB_ROW_162240" localSheetId="3" hidden="1">'BS MARCH 31 (2)'!$E$99</definedName>
    <definedName name="QB_ROW_163050" localSheetId="17" hidden="1">'BS 2016'!$F$231</definedName>
    <definedName name="QB_ROW_163050" localSheetId="12" hidden="1">'BS MARCH 31'!$F$242</definedName>
    <definedName name="QB_ROW_163050" localSheetId="3" hidden="1">'BS MARCH 31 (2)'!$F$242</definedName>
    <definedName name="QB_ROW_163350" localSheetId="17" hidden="1">'BS 2016'!$F$234</definedName>
    <definedName name="QB_ROW_163350" localSheetId="12" hidden="1">'BS MARCH 31'!$F$248</definedName>
    <definedName name="QB_ROW_163350" localSheetId="3" hidden="1">'BS MARCH 31 (2)'!$F$248</definedName>
    <definedName name="QB_ROW_164020" localSheetId="17" hidden="1">'BS 2016'!$C$266</definedName>
    <definedName name="QB_ROW_164020" localSheetId="12" hidden="1">'BS MARCH 31'!$C$295</definedName>
    <definedName name="QB_ROW_164020" localSheetId="3" hidden="1">'BS MARCH 31 (2)'!$C$295</definedName>
    <definedName name="QB_ROW_164210" localSheetId="16" hidden="1">'2015'!$A$239</definedName>
    <definedName name="QB_ROW_164320" localSheetId="17" hidden="1">'BS 2016'!$C$271</definedName>
    <definedName name="QB_ROW_164320" localSheetId="12" hidden="1">'BS MARCH 31'!$C$298</definedName>
    <definedName name="QB_ROW_164320" localSheetId="3" hidden="1">'BS MARCH 31 (2)'!$C$298</definedName>
    <definedName name="QB_ROW_165210" localSheetId="16" hidden="1">'2015'!$A$240</definedName>
    <definedName name="QB_ROW_165230" localSheetId="17" hidden="1">'BS 2016'!$D$267</definedName>
    <definedName name="QB_ROW_165230" localSheetId="12" hidden="1">'BS MARCH 31'!$D$296</definedName>
    <definedName name="QB_ROW_165230" localSheetId="3" hidden="1">'BS MARCH 31 (2)'!$D$296</definedName>
    <definedName name="QB_ROW_166210" localSheetId="16" hidden="1">'2015'!$A$241</definedName>
    <definedName name="QB_ROW_166230" localSheetId="17" hidden="1">'BS 2016'!$D$268</definedName>
    <definedName name="QB_ROW_167210" localSheetId="16" hidden="1">'2015'!$A$242</definedName>
    <definedName name="QB_ROW_167230" localSheetId="17" hidden="1">'BS 2016'!$D$269</definedName>
    <definedName name="QB_ROW_168210" localSheetId="16" hidden="1">'2015'!$A$246</definedName>
    <definedName name="QB_ROW_168350" localSheetId="18" hidden="1">'IS 2016'!$F$5</definedName>
    <definedName name="QB_ROW_168350" localSheetId="13" hidden="1">'PL JAN-MARCH 2018'!$F$5</definedName>
    <definedName name="QB_ROW_169030" localSheetId="18" hidden="1">'IS 2016'!$D$350</definedName>
    <definedName name="QB_ROW_169030" localSheetId="13" hidden="1">'PL JAN-MARCH 2018'!$D$263</definedName>
    <definedName name="QB_ROW_169330" localSheetId="18" hidden="1">'IS 2016'!$D$358</definedName>
    <definedName name="QB_ROW_169330" localSheetId="13" hidden="1">'PL JAN-MARCH 2018'!$D$266</definedName>
    <definedName name="QB_ROW_170210" localSheetId="16" hidden="1">'2015'!$A$502</definedName>
    <definedName name="QB_ROW_170240" localSheetId="18" hidden="1">'IS 2016'!$E$351</definedName>
    <definedName name="QB_ROW_171210" localSheetId="16" hidden="1">'2015'!$A$503</definedName>
    <definedName name="QB_ROW_171240" localSheetId="18" hidden="1">'IS 2016'!$E$352</definedName>
    <definedName name="QB_ROW_17210" localSheetId="16" hidden="1">'2015'!$A$496</definedName>
    <definedName name="QB_ROW_17221" localSheetId="17" hidden="1">'BS 2016'!$C$273</definedName>
    <definedName name="QB_ROW_17221" localSheetId="12" hidden="1">'BS MARCH 31'!$C$300</definedName>
    <definedName name="QB_ROW_17221" localSheetId="3" hidden="1">'BS MARCH 31 (2)'!$C$300</definedName>
    <definedName name="QB_ROW_172240" localSheetId="13" hidden="1">'PL JAN-MARCH 2018'!$E$264</definedName>
    <definedName name="QB_ROW_17270" localSheetId="18" hidden="1">'IS 2016'!$H$332</definedName>
    <definedName name="QB_ROW_17270" localSheetId="13" hidden="1">'PL JAN-MARCH 2018'!$H$244</definedName>
    <definedName name="QB_ROW_173040" localSheetId="18" hidden="1">'IS 2016'!$E$83</definedName>
    <definedName name="QB_ROW_173040" localSheetId="13" hidden="1">'PL JAN-MARCH 2018'!$E$47</definedName>
    <definedName name="QB_ROW_173340" localSheetId="18" hidden="1">'IS 2016'!$E$344</definedName>
    <definedName name="QB_ROW_173340" localSheetId="13" hidden="1">'PL JAN-MARCH 2018'!$E$250</definedName>
    <definedName name="QB_ROW_174040" localSheetId="18" hidden="1">'IS 2016'!$E$22</definedName>
    <definedName name="QB_ROW_174040" localSheetId="13" hidden="1">'PL JAN-MARCH 2018'!$E$14</definedName>
    <definedName name="QB_ROW_174210" localSheetId="16" hidden="1">'2015'!$A$264</definedName>
    <definedName name="QB_ROW_174250" localSheetId="18" hidden="1">'IS 2016'!$F$78</definedName>
    <definedName name="QB_ROW_174340" localSheetId="18" hidden="1">'IS 2016'!$E$79</definedName>
    <definedName name="QB_ROW_174340" localSheetId="13" hidden="1">'PL JAN-MARCH 2018'!$E$43</definedName>
    <definedName name="QB_ROW_177210" localSheetId="16" hidden="1">'2015'!$A$265</definedName>
    <definedName name="QB_ROW_178050" localSheetId="18" hidden="1">'IS 2016'!$F$23</definedName>
    <definedName name="QB_ROW_178350" localSheetId="18" hidden="1">'IS 2016'!$F$26</definedName>
    <definedName name="QB_ROW_180260" localSheetId="18" hidden="1">'IS 2016'!$G$24</definedName>
    <definedName name="QB_ROW_181050" localSheetId="18" hidden="1">'IS 2016'!$F$27</definedName>
    <definedName name="QB_ROW_181050" localSheetId="13" hidden="1">'PL JAN-MARCH 2018'!$F$15</definedName>
    <definedName name="QB_ROW_181210" localSheetId="16" hidden="1">'2015'!$A$267</definedName>
    <definedName name="QB_ROW_181350" localSheetId="18" hidden="1">'IS 2016'!$F$32</definedName>
    <definedName name="QB_ROW_181350" localSheetId="13" hidden="1">'PL JAN-MARCH 2018'!$F$21</definedName>
    <definedName name="QB_ROW_182210" localSheetId="16" hidden="1">'2015'!$A$269</definedName>
    <definedName name="QB_ROW_182260" localSheetId="18" hidden="1">'IS 2016'!$G$29</definedName>
    <definedName name="QB_ROW_182260" localSheetId="13" hidden="1">'PL JAN-MARCH 2018'!$G$18</definedName>
    <definedName name="QB_ROW_18301" localSheetId="18" hidden="1">'IS 2016'!$A$364</definedName>
    <definedName name="QB_ROW_18301" localSheetId="13" hidden="1">'PL JAN-MARCH 2018'!$A$269</definedName>
    <definedName name="QB_ROW_183210" localSheetId="16" hidden="1">'2015'!$A$268</definedName>
    <definedName name="QB_ROW_183260" localSheetId="18" hidden="1">'IS 2016'!$G$28</definedName>
    <definedName name="QB_ROW_183260" localSheetId="13" hidden="1">'PL JAN-MARCH 2018'!$G$16</definedName>
    <definedName name="QB_ROW_184050" localSheetId="18" hidden="1">'IS 2016'!$F$46</definedName>
    <definedName name="QB_ROW_184050" localSheetId="13" hidden="1">'PL JAN-MARCH 2018'!$F$28</definedName>
    <definedName name="QB_ROW_184350" localSheetId="18" hidden="1">'IS 2016'!$F$54</definedName>
    <definedName name="QB_ROW_184350" localSheetId="13" hidden="1">'PL JAN-MARCH 2018'!$F$34</definedName>
    <definedName name="QB_ROW_185210" localSheetId="16" hidden="1">'2015'!$A$284</definedName>
    <definedName name="QB_ROW_185260" localSheetId="18" hidden="1">'IS 2016'!$G$47</definedName>
    <definedName name="QB_ROW_185260" localSheetId="13" hidden="1">'PL JAN-MARCH 2018'!$G$29</definedName>
    <definedName name="QB_ROW_186210" localSheetId="16" hidden="1">'2015'!$A$288</definedName>
    <definedName name="QB_ROW_186260" localSheetId="18" hidden="1">'IS 2016'!$G$51</definedName>
    <definedName name="QB_ROW_186260" localSheetId="13" hidden="1">'PL JAN-MARCH 2018'!$G$32</definedName>
    <definedName name="QB_ROW_187050" localSheetId="18" hidden="1">'IS 2016'!$F$84</definedName>
    <definedName name="QB_ROW_187050" localSheetId="13" hidden="1">'PL JAN-MARCH 2018'!$F$48</definedName>
    <definedName name="QB_ROW_187210" localSheetId="16" hidden="1">'2015'!$A$301</definedName>
    <definedName name="QB_ROW_187260" localSheetId="13" hidden="1">'PL JAN-MARCH 2018'!$G$97</definedName>
    <definedName name="QB_ROW_187350" localSheetId="18" hidden="1">'IS 2016'!$F$155</definedName>
    <definedName name="QB_ROW_187350" localSheetId="13" hidden="1">'PL JAN-MARCH 2018'!$F$98</definedName>
    <definedName name="QB_ROW_188210" localSheetId="16" hidden="1">'2015'!$A$302</definedName>
    <definedName name="QB_ROW_188270" localSheetId="18" hidden="1">'IS 2016'!$H$86</definedName>
    <definedName name="QB_ROW_188270" localSheetId="13" hidden="1">'PL JAN-MARCH 2018'!$H$50</definedName>
    <definedName name="QB_ROW_189260" localSheetId="18" hidden="1">'IS 2016'!$G$65</definedName>
    <definedName name="QB_ROW_19011" localSheetId="18" hidden="1">'IS 2016'!$B$2</definedName>
    <definedName name="QB_ROW_19011" localSheetId="13" hidden="1">'PL JAN-MARCH 2018'!$B$2</definedName>
    <definedName name="QB_ROW_190210" localSheetId="16" hidden="1">'2015'!$A$296</definedName>
    <definedName name="QB_ROW_191210" localSheetId="16" hidden="1">'2015'!$A$303</definedName>
    <definedName name="QB_ROW_191270" localSheetId="18" hidden="1">'IS 2016'!$H$87</definedName>
    <definedName name="QB_ROW_191270" localSheetId="13" hidden="1">'PL JAN-MARCH 2018'!$H$51</definedName>
    <definedName name="QB_ROW_19210" localSheetId="16" hidden="1">'2015'!$A$483</definedName>
    <definedName name="QB_ROW_192210" localSheetId="16" hidden="1">'2015'!$A$290</definedName>
    <definedName name="QB_ROW_192260" localSheetId="18" hidden="1">'IS 2016'!$G$56</definedName>
    <definedName name="QB_ROW_192260" localSheetId="13" hidden="1">'PL JAN-MARCH 2018'!$G$36</definedName>
    <definedName name="QB_ROW_19270" localSheetId="18" hidden="1">'IS 2016'!$H$308</definedName>
    <definedName name="QB_ROW_19270" localSheetId="13" hidden="1">'PL JAN-MARCH 2018'!$H$221</definedName>
    <definedName name="QB_ROW_19311" localSheetId="18" hidden="1">'IS 2016'!$B$347</definedName>
    <definedName name="QB_ROW_19311" localSheetId="13" hidden="1">'PL JAN-MARCH 2018'!$B$260</definedName>
    <definedName name="QB_ROW_195210" localSheetId="16" hidden="1">'2015'!$A$304</definedName>
    <definedName name="QB_ROW_195270" localSheetId="18" hidden="1">'IS 2016'!$H$88</definedName>
    <definedName name="QB_ROW_195270" localSheetId="13" hidden="1">'PL JAN-MARCH 2018'!$H$52</definedName>
    <definedName name="QB_ROW_196210" localSheetId="16" hidden="1">'2015'!$A$291</definedName>
    <definedName name="QB_ROW_196260" localSheetId="18" hidden="1">'IS 2016'!$G$57</definedName>
    <definedName name="QB_ROW_196260" localSheetId="13" hidden="1">'PL JAN-MARCH 2018'!$G$37</definedName>
    <definedName name="QB_ROW_197210" localSheetId="16" hidden="1">'2015'!$A$292</definedName>
    <definedName name="QB_ROW_197260" localSheetId="18" hidden="1">'IS 2016'!$G$58</definedName>
    <definedName name="QB_ROW_197260" localSheetId="13" hidden="1">'PL JAN-MARCH 2018'!$G$38</definedName>
    <definedName name="QB_ROW_199210" localSheetId="16" hidden="1">'2015'!$A$314</definedName>
    <definedName name="QB_ROW_199270" localSheetId="18" hidden="1">'IS 2016'!$H$105</definedName>
    <definedName name="QB_ROW_199270" localSheetId="13" hidden="1">'PL JAN-MARCH 2018'!$H$62</definedName>
    <definedName name="QB_ROW_200210" localSheetId="16" hidden="1">'2015'!$A$315</definedName>
    <definedName name="QB_ROW_200270" localSheetId="18" hidden="1">'IS 2016'!$H$106</definedName>
    <definedName name="QB_ROW_200270" localSheetId="13" hidden="1">'PL JAN-MARCH 2018'!$H$63</definedName>
    <definedName name="QB_ROW_20031" localSheetId="18" hidden="1">'IS 2016'!$D$3</definedName>
    <definedName name="QB_ROW_20031" localSheetId="13" hidden="1">'PL JAN-MARCH 2018'!$D$3</definedName>
    <definedName name="QB_ROW_201210" localSheetId="16" hidden="1">'2015'!$A$316</definedName>
    <definedName name="QB_ROW_201270" localSheetId="18" hidden="1">'IS 2016'!$H$107</definedName>
    <definedName name="QB_ROW_201270" localSheetId="13" hidden="1">'PL JAN-MARCH 2018'!$H$64</definedName>
    <definedName name="QB_ROW_2021" localSheetId="17" hidden="1">'BS 2016'!$C$4</definedName>
    <definedName name="QB_ROW_2021" localSheetId="12" hidden="1">'BS MARCH 31'!$C$4</definedName>
    <definedName name="QB_ROW_2021" localSheetId="3" hidden="1">'BS MARCH 31 (2)'!$C$4</definedName>
    <definedName name="QB_ROW_202210" localSheetId="16" hidden="1">'2015'!$A$318</definedName>
    <definedName name="QB_ROW_202270" localSheetId="18" hidden="1">'IS 2016'!$H$109</definedName>
    <definedName name="QB_ROW_202270" localSheetId="13" hidden="1">'PL JAN-MARCH 2018'!$H$66</definedName>
    <definedName name="QB_ROW_203210" localSheetId="16" hidden="1">'2015'!$A$312</definedName>
    <definedName name="QB_ROW_203280" localSheetId="18" hidden="1">'IS 2016'!$I$99</definedName>
    <definedName name="QB_ROW_20331" localSheetId="18" hidden="1">'IS 2016'!$D$19</definedName>
    <definedName name="QB_ROW_20331" localSheetId="13" hidden="1">'PL JAN-MARCH 2018'!$D$11</definedName>
    <definedName name="QB_ROW_2040" localSheetId="17" hidden="1">'BS 2016'!$E$218</definedName>
    <definedName name="QB_ROW_2040" localSheetId="12" hidden="1">'BS MARCH 31'!$E$229</definedName>
    <definedName name="QB_ROW_2040" localSheetId="3" hidden="1">'BS MARCH 31 (2)'!$E$229</definedName>
    <definedName name="QB_ROW_205210" localSheetId="16" hidden="1">'2015'!$A$313</definedName>
    <definedName name="QB_ROW_205270" localSheetId="18" hidden="1">'IS 2016'!$H$101</definedName>
    <definedName name="QB_ROW_206210" localSheetId="16" hidden="1">'2015'!$A$327</definedName>
    <definedName name="QB_ROW_206270" localSheetId="18" hidden="1">'IS 2016'!$H$122</definedName>
    <definedName name="QB_ROW_206270" localSheetId="13" hidden="1">'PL JAN-MARCH 2018'!$H$76</definedName>
    <definedName name="QB_ROW_207210" localSheetId="16" hidden="1">'2015'!$A$311</definedName>
    <definedName name="QB_ROW_207280" localSheetId="18" hidden="1">'IS 2016'!$I$98</definedName>
    <definedName name="QB_ROW_209060" localSheetId="18" hidden="1">'IS 2016'!$G$256</definedName>
    <definedName name="QB_ROW_209060" localSheetId="13" hidden="1">'PL JAN-MARCH 2018'!$G$180</definedName>
    <definedName name="QB_ROW_209360" localSheetId="18" hidden="1">'IS 2016'!$G$264</definedName>
    <definedName name="QB_ROW_209360" localSheetId="13" hidden="1">'PL JAN-MARCH 2018'!$G$184</definedName>
    <definedName name="QB_ROW_210210" localSheetId="16" hidden="1">'2015'!$A$442</definedName>
    <definedName name="QB_ROW_210270" localSheetId="18" hidden="1">'IS 2016'!$H$257</definedName>
    <definedName name="QB_ROW_21031" localSheetId="18" hidden="1">'IS 2016'!$D$82</definedName>
    <definedName name="QB_ROW_21031" localSheetId="13" hidden="1">'PL JAN-MARCH 2018'!$D$46</definedName>
    <definedName name="QB_ROW_212270" localSheetId="18" hidden="1">'IS 2016'!$H$259</definedName>
    <definedName name="QB_ROW_212270" localSheetId="13" hidden="1">'PL JAN-MARCH 2018'!$H$181</definedName>
    <definedName name="QB_ROW_213270" localSheetId="18" hidden="1">'IS 2016'!$H$260</definedName>
    <definedName name="QB_ROW_213270" localSheetId="13" hidden="1">'PL JAN-MARCH 2018'!$H$182</definedName>
    <definedName name="QB_ROW_21331" localSheetId="18" hidden="1">'IS 2016'!$D$346</definedName>
    <definedName name="QB_ROW_21331" localSheetId="13" hidden="1">'PL JAN-MARCH 2018'!$D$259</definedName>
    <definedName name="QB_ROW_216210" localSheetId="16" hidden="1">'2015'!$A$450</definedName>
    <definedName name="QB_ROW_216270" localSheetId="18" hidden="1">'IS 2016'!$H$268</definedName>
    <definedName name="QB_ROW_216270" localSheetId="13" hidden="1">'PL JAN-MARCH 2018'!$H$187</definedName>
    <definedName name="QB_ROW_217210" localSheetId="16" hidden="1">'2015'!$A$451</definedName>
    <definedName name="QB_ROW_217280" localSheetId="18" hidden="1">'IS 2016'!$I$270</definedName>
    <definedName name="QB_ROW_22011" localSheetId="18" hidden="1">'IS 2016'!$B$348</definedName>
    <definedName name="QB_ROW_22011" localSheetId="13" hidden="1">'PL JAN-MARCH 2018'!$B$261</definedName>
    <definedName name="QB_ROW_220210" localSheetId="16" hidden="1">'2015'!$A$480</definedName>
    <definedName name="QB_ROW_220270" localSheetId="18" hidden="1">'IS 2016'!$H$305</definedName>
    <definedName name="QB_ROW_221210" localSheetId="16" hidden="1">'2015'!$A$453</definedName>
    <definedName name="QB_ROW_221270" localSheetId="18" hidden="1">'IS 2016'!$H$274</definedName>
    <definedName name="QB_ROW_221270" localSheetId="13" hidden="1">'PL JAN-MARCH 2018'!$H$188</definedName>
    <definedName name="QB_ROW_222060" localSheetId="18" hidden="1">'IS 2016'!$G$285</definedName>
    <definedName name="QB_ROW_222060" localSheetId="13" hidden="1">'PL JAN-MARCH 2018'!$G$200</definedName>
    <definedName name="QB_ROW_222270" localSheetId="18" hidden="1">'IS 2016'!$H$293</definedName>
    <definedName name="QB_ROW_222360" localSheetId="18" hidden="1">'IS 2016'!$G$294</definedName>
    <definedName name="QB_ROW_222360" localSheetId="13" hidden="1">'PL JAN-MARCH 2018'!$G$207</definedName>
    <definedName name="QB_ROW_22311" localSheetId="18" hidden="1">'IS 2016'!$B$363</definedName>
    <definedName name="QB_ROW_22311" localSheetId="13" hidden="1">'PL JAN-MARCH 2018'!$B$268</definedName>
    <definedName name="QB_ROW_224210" localSheetId="16" hidden="1">'2015'!$A$467</definedName>
    <definedName name="QB_ROW_224270" localSheetId="18" hidden="1">'IS 2016'!$H$288</definedName>
    <definedName name="QB_ROW_224270" localSheetId="13" hidden="1">'PL JAN-MARCH 2018'!$H$203</definedName>
    <definedName name="QB_ROW_225210" localSheetId="16" hidden="1">'2015'!$A$466</definedName>
    <definedName name="QB_ROW_225270" localSheetId="18" hidden="1">'IS 2016'!$H$287</definedName>
    <definedName name="QB_ROW_225270" localSheetId="13" hidden="1">'PL JAN-MARCH 2018'!$H$202</definedName>
    <definedName name="QB_ROW_226060" localSheetId="18" hidden="1">'IS 2016'!$G$295</definedName>
    <definedName name="QB_ROW_226060" localSheetId="13" hidden="1">'PL JAN-MARCH 2018'!$G$208</definedName>
    <definedName name="QB_ROW_226360" localSheetId="18" hidden="1">'IS 2016'!$G$301</definedName>
    <definedName name="QB_ROW_226360" localSheetId="13" hidden="1">'PL JAN-MARCH 2018'!$G$214</definedName>
    <definedName name="QB_ROW_227210" localSheetId="16" hidden="1">'2015'!$A$473</definedName>
    <definedName name="QB_ROW_227270" localSheetId="18" hidden="1">'IS 2016'!$H$296</definedName>
    <definedName name="QB_ROW_227270" localSheetId="13" hidden="1">'PL JAN-MARCH 2018'!$H$209</definedName>
    <definedName name="QB_ROW_228210" localSheetId="16" hidden="1">'2015'!$A$475</definedName>
    <definedName name="QB_ROW_228270" localSheetId="18" hidden="1">'IS 2016'!$H$298</definedName>
    <definedName name="QB_ROW_228270" localSheetId="13" hidden="1">'PL JAN-MARCH 2018'!$H$211</definedName>
    <definedName name="QB_ROW_229210" localSheetId="16" hidden="1">'2015'!$A$474</definedName>
    <definedName name="QB_ROW_229270" localSheetId="18" hidden="1">'IS 2016'!$H$297</definedName>
    <definedName name="QB_ROW_229270" localSheetId="13" hidden="1">'PL JAN-MARCH 2018'!$H$210</definedName>
    <definedName name="QB_ROW_23021" localSheetId="18" hidden="1">'IS 2016'!$C$349</definedName>
    <definedName name="QB_ROW_23021" localSheetId="13" hidden="1">'PL JAN-MARCH 2018'!$C$262</definedName>
    <definedName name="QB_ROW_230210" localSheetId="16" hidden="1">'2015'!$A$476</definedName>
    <definedName name="QB_ROW_230270" localSheetId="18" hidden="1">'IS 2016'!$H$299</definedName>
    <definedName name="QB_ROW_230270" localSheetId="13" hidden="1">'PL JAN-MARCH 2018'!$H$212</definedName>
    <definedName name="QB_ROW_232060" localSheetId="18" hidden="1">'IS 2016'!$G$302</definedName>
    <definedName name="QB_ROW_232060" localSheetId="13" hidden="1">'PL JAN-MARCH 2018'!$G$215</definedName>
    <definedName name="QB_ROW_2321" localSheetId="17" hidden="1">'BS 2016'!$C$47</definedName>
    <definedName name="QB_ROW_2321" localSheetId="12" hidden="1">'BS MARCH 31'!$C$43</definedName>
    <definedName name="QB_ROW_2321" localSheetId="3" hidden="1">'BS MARCH 31 (2)'!$C$43</definedName>
    <definedName name="QB_ROW_232270" localSheetId="18" hidden="1">'IS 2016'!$H$318</definedName>
    <definedName name="QB_ROW_232270" localSheetId="13" hidden="1">'PL JAN-MARCH 2018'!$H$230</definedName>
    <definedName name="QB_ROW_232360" localSheetId="18" hidden="1">'IS 2016'!$G$319</definedName>
    <definedName name="QB_ROW_232360" localSheetId="13" hidden="1">'PL JAN-MARCH 2018'!$G$231</definedName>
    <definedName name="QB_ROW_23321" localSheetId="18" hidden="1">'IS 2016'!$C$359</definedName>
    <definedName name="QB_ROW_23321" localSheetId="13" hidden="1">'PL JAN-MARCH 2018'!$C$267</definedName>
    <definedName name="QB_ROW_233210" localSheetId="16" hidden="1">'2015'!$A$478</definedName>
    <definedName name="QB_ROW_233270" localSheetId="18" hidden="1">'IS 2016'!$H$303</definedName>
    <definedName name="QB_ROW_233270" localSheetId="13" hidden="1">'PL JAN-MARCH 2018'!$H$217</definedName>
    <definedName name="QB_ROW_2340" localSheetId="17" hidden="1">'BS 2016'!$E$225</definedName>
    <definedName name="QB_ROW_2340" localSheetId="12" hidden="1">'BS MARCH 31'!$E$234</definedName>
    <definedName name="QB_ROW_2340" localSheetId="3" hidden="1">'BS MARCH 31 (2)'!$E$234</definedName>
    <definedName name="QB_ROW_238210" localSheetId="16" hidden="1">'2015'!$A$479</definedName>
    <definedName name="QB_ROW_238270" localSheetId="18" hidden="1">'IS 2016'!$H$304</definedName>
    <definedName name="QB_ROW_238270" localSheetId="13" hidden="1">'PL JAN-MARCH 2018'!$H$218</definedName>
    <definedName name="QB_ROW_239210" localSheetId="16" hidden="1">'2015'!$A$481</definedName>
    <definedName name="QB_ROW_239270" localSheetId="18" hidden="1">'IS 2016'!$H$306</definedName>
    <definedName name="QB_ROW_239270" localSheetId="13" hidden="1">'PL JAN-MARCH 2018'!$H$219</definedName>
    <definedName name="QB_ROW_240060" localSheetId="18" hidden="1">'IS 2016'!$G$320</definedName>
    <definedName name="QB_ROW_240060" localSheetId="13" hidden="1">'PL JAN-MARCH 2018'!$G$232</definedName>
    <definedName name="QB_ROW_24021" localSheetId="18" hidden="1">'IS 2016'!$C$360</definedName>
    <definedName name="QB_ROW_240360" localSheetId="18" hidden="1">'IS 2016'!$G$325</definedName>
    <definedName name="QB_ROW_240360" localSheetId="13" hidden="1">'PL JAN-MARCH 2018'!$G$237</definedName>
    <definedName name="QB_ROW_241210" localSheetId="16" hidden="1">'2015'!$A$489</definedName>
    <definedName name="QB_ROW_241270" localSheetId="18" hidden="1">'IS 2016'!$H$322</definedName>
    <definedName name="QB_ROW_241270" localSheetId="13" hidden="1">'PL JAN-MARCH 2018'!$H$234</definedName>
    <definedName name="QB_ROW_242210" localSheetId="16" hidden="1">'2015'!$A$488</definedName>
    <definedName name="QB_ROW_242270" localSheetId="18" hidden="1">'IS 2016'!$H$321</definedName>
    <definedName name="QB_ROW_242270" localSheetId="13" hidden="1">'PL JAN-MARCH 2018'!$H$233</definedName>
    <definedName name="QB_ROW_24321" localSheetId="18" hidden="1">'IS 2016'!$C$362</definedName>
    <definedName name="QB_ROW_243210" localSheetId="16" hidden="1">'2015'!$A$342</definedName>
    <definedName name="QB_ROW_243270" localSheetId="18" hidden="1">'IS 2016'!$H$138</definedName>
    <definedName name="QB_ROW_243270" localSheetId="13" hidden="1">'PL JAN-MARCH 2018'!$H$89</definedName>
    <definedName name="QB_ROW_244210" localSheetId="16" hidden="1">'2015'!$A$490</definedName>
    <definedName name="QB_ROW_244270" localSheetId="18" hidden="1">'IS 2016'!$H$323</definedName>
    <definedName name="QB_ROW_244270" localSheetId="13" hidden="1">'PL JAN-MARCH 2018'!$H$235</definedName>
    <definedName name="QB_ROW_245210" localSheetId="16" hidden="1">'2015'!$A$491</definedName>
    <definedName name="QB_ROW_245270" localSheetId="18" hidden="1">'IS 2016'!$H$324</definedName>
    <definedName name="QB_ROW_245270" localSheetId="13" hidden="1">'PL JAN-MARCH 2018'!$H$236</definedName>
    <definedName name="QB_ROW_246210" localSheetId="16" hidden="1">'2015'!$A$344</definedName>
    <definedName name="QB_ROW_246270" localSheetId="18" hidden="1">'IS 2016'!$H$140</definedName>
    <definedName name="QB_ROW_246270" localSheetId="13" hidden="1">'PL JAN-MARCH 2018'!$H$91</definedName>
    <definedName name="QB_ROW_247060" localSheetId="18" hidden="1">'IS 2016'!$G$265</definedName>
    <definedName name="QB_ROW_247060" localSheetId="13" hidden="1">'PL JAN-MARCH 2018'!$G$185</definedName>
    <definedName name="QB_ROW_247360" localSheetId="18" hidden="1">'IS 2016'!$G$284</definedName>
    <definedName name="QB_ROW_247360" localSheetId="13" hidden="1">'PL JAN-MARCH 2018'!$G$199</definedName>
    <definedName name="QB_ROW_248210" localSheetId="16" hidden="1">'2015'!$A$449</definedName>
    <definedName name="QB_ROW_248270" localSheetId="18" hidden="1">'IS 2016'!$H$267</definedName>
    <definedName name="QB_ROW_248270" localSheetId="13" hidden="1">'PL JAN-MARCH 2018'!$H$186</definedName>
    <definedName name="QB_ROW_249210" localSheetId="16" hidden="1">'2015'!$A$448</definedName>
    <definedName name="QB_ROW_249270" localSheetId="18" hidden="1">'IS 2016'!$H$266</definedName>
    <definedName name="QB_ROW_250210" localSheetId="16" hidden="1">'2015'!$A$455</definedName>
    <definedName name="QB_ROW_250270" localSheetId="18" hidden="1">'IS 2016'!$H$276</definedName>
    <definedName name="QB_ROW_250270" localSheetId="13" hidden="1">'PL JAN-MARCH 2018'!$H$189</definedName>
    <definedName name="QB_ROW_25301" localSheetId="16" hidden="1">'2015'!#REF!</definedName>
    <definedName name="QB_ROW_253210" localSheetId="16" hidden="1">'2015'!$A$456</definedName>
    <definedName name="QB_ROW_253270" localSheetId="18" hidden="1">'IS 2016'!$H$277</definedName>
    <definedName name="QB_ROW_253270" localSheetId="13" hidden="1">'PL JAN-MARCH 2018'!$H$190</definedName>
    <definedName name="QB_ROW_254210" localSheetId="16" hidden="1">'2015'!$A$457</definedName>
    <definedName name="QB_ROW_254270" localSheetId="18" hidden="1">'IS 2016'!$H$278</definedName>
    <definedName name="QB_ROW_254270" localSheetId="13" hidden="1">'PL JAN-MARCH 2018'!$H$191</definedName>
    <definedName name="QB_ROW_255210" localSheetId="16" hidden="1">'2015'!$A$452</definedName>
    <definedName name="QB_ROW_255280" localSheetId="18" hidden="1">'IS 2016'!$I$271</definedName>
    <definedName name="QB_ROW_256210" localSheetId="16" hidden="1">'2015'!$A$464</definedName>
    <definedName name="QB_ROW_256270" localSheetId="18" hidden="1">'IS 2016'!$H$283</definedName>
    <definedName name="QB_ROW_256270" localSheetId="13" hidden="1">'PL JAN-MARCH 2018'!$H$197</definedName>
    <definedName name="QB_ROW_257210" localSheetId="16" hidden="1">'2015'!$A$458</definedName>
    <definedName name="QB_ROW_257270" localSheetId="18" hidden="1">'IS 2016'!$H$279</definedName>
    <definedName name="QB_ROW_257270" localSheetId="13" hidden="1">'PL JAN-MARCH 2018'!$H$192</definedName>
    <definedName name="QB_ROW_263060" localSheetId="18" hidden="1">'IS 2016'!$G$326</definedName>
    <definedName name="QB_ROW_263060" localSheetId="13" hidden="1">'PL JAN-MARCH 2018'!$G$238</definedName>
    <definedName name="QB_ROW_263360" localSheetId="18" hidden="1">'IS 2016'!$G$328</definedName>
    <definedName name="QB_ROW_263360" localSheetId="13" hidden="1">'PL JAN-MARCH 2018'!$G$240</definedName>
    <definedName name="QB_ROW_264210" localSheetId="16" hidden="1">'2015'!$A$492</definedName>
    <definedName name="QB_ROW_264270" localSheetId="18" hidden="1">'IS 2016'!$H$327</definedName>
    <definedName name="QB_ROW_264270" localSheetId="13" hidden="1">'PL JAN-MARCH 2018'!$H$239</definedName>
    <definedName name="QB_ROW_267060" localSheetId="18" hidden="1">'IS 2016'!$G$329</definedName>
    <definedName name="QB_ROW_267060" localSheetId="13" hidden="1">'PL JAN-MARCH 2018'!$G$241</definedName>
    <definedName name="QB_ROW_267270" localSheetId="18" hidden="1">'IS 2016'!$H$340</definedName>
    <definedName name="QB_ROW_267360" localSheetId="18" hidden="1">'IS 2016'!$G$341</definedName>
    <definedName name="QB_ROW_267360" localSheetId="13" hidden="1">'PL JAN-MARCH 2018'!$G$248</definedName>
    <definedName name="QB_ROW_268210" localSheetId="16" hidden="1">'2015'!$A$493</definedName>
    <definedName name="QB_ROW_269210" localSheetId="16" hidden="1">'2015'!$A$495</definedName>
    <definedName name="QB_ROW_269270" localSheetId="18" hidden="1">'IS 2016'!$H$331</definedName>
    <definedName name="QB_ROW_269270" localSheetId="13" hidden="1">'PL JAN-MARCH 2018'!$H$243</definedName>
    <definedName name="QB_ROW_277210" localSheetId="16" hidden="1">'2015'!$A$249</definedName>
    <definedName name="QB_ROW_277250" localSheetId="18" hidden="1">'IS 2016'!$F$9</definedName>
    <definedName name="QB_ROW_277250" localSheetId="13" hidden="1">'PL JAN-MARCH 2018'!$F$7</definedName>
    <definedName name="QB_ROW_278210" localSheetId="16" hidden="1">'2015'!$A$468</definedName>
    <definedName name="QB_ROW_278270" localSheetId="18" hidden="1">'IS 2016'!$H$289</definedName>
    <definedName name="QB_ROW_278270" localSheetId="13" hidden="1">'PL JAN-MARCH 2018'!$H$204</definedName>
    <definedName name="QB_ROW_279210" localSheetId="16" hidden="1">'2015'!$A$250</definedName>
    <definedName name="QB_ROW_279250" localSheetId="18" hidden="1">'IS 2016'!$F$10</definedName>
    <definedName name="QB_ROW_279250" localSheetId="13" hidden="1">'PL JAN-MARCH 2018'!$F$8</definedName>
    <definedName name="QB_ROW_280210" localSheetId="16" hidden="1">'2015'!$A$233</definedName>
    <definedName name="QB_ROW_280250" localSheetId="17" hidden="1">'BS 2016'!$F$241</definedName>
    <definedName name="QB_ROW_280250" localSheetId="12" hidden="1">'BS MARCH 31'!$F$255</definedName>
    <definedName name="QB_ROW_280250" localSheetId="3" hidden="1">'BS MARCH 31 (2)'!$F$255</definedName>
    <definedName name="QB_ROW_282210" localSheetId="16" hidden="1">'2015'!$A$232</definedName>
    <definedName name="QB_ROW_282250" localSheetId="17" hidden="1">'BS 2016'!$F$240</definedName>
    <definedName name="QB_ROW_282250" localSheetId="12" hidden="1">'BS MARCH 31'!$F$254</definedName>
    <definedName name="QB_ROW_282250" localSheetId="3" hidden="1">'BS MARCH 31 (2)'!$F$254</definedName>
    <definedName name="QB_ROW_283210" localSheetId="16" hidden="1">'2015'!$A$203</definedName>
    <definedName name="QB_ROW_284210" localSheetId="16" hidden="1">'2015'!$A$317</definedName>
    <definedName name="QB_ROW_284270" localSheetId="18" hidden="1">'IS 2016'!$H$108</definedName>
    <definedName name="QB_ROW_284270" localSheetId="13" hidden="1">'PL JAN-MARCH 2018'!$H$65</definedName>
    <definedName name="QB_ROW_285210" localSheetId="16" hidden="1">'2015'!$A$345</definedName>
    <definedName name="QB_ROW_285270" localSheetId="18" hidden="1">'IS 2016'!$H$143</definedName>
    <definedName name="QB_ROW_285270" localSheetId="13" hidden="1">'PL JAN-MARCH 2018'!$H$92</definedName>
    <definedName name="QB_ROW_286210" localSheetId="16" hidden="1">'2015'!$A$454</definedName>
    <definedName name="QB_ROW_286270" localSheetId="18" hidden="1">'IS 2016'!$H$275</definedName>
    <definedName name="QB_ROW_287210" localSheetId="16" hidden="1">'2015'!$A$305</definedName>
    <definedName name="QB_ROW_287370" localSheetId="18" hidden="1">'IS 2016'!$H$89</definedName>
    <definedName name="QB_ROW_287370" localSheetId="13" hidden="1">'PL JAN-MARCH 2018'!$H$53</definedName>
    <definedName name="QB_ROW_288210" localSheetId="16" hidden="1">'2015'!$A$339</definedName>
    <definedName name="QB_ROW_288270" localSheetId="18" hidden="1">'IS 2016'!$H$135</definedName>
    <definedName name="QB_ROW_288270" localSheetId="13" hidden="1">'PL JAN-MARCH 2018'!$H$86</definedName>
    <definedName name="QB_ROW_289210" localSheetId="16" hidden="1">'2015'!$A$309</definedName>
    <definedName name="QB_ROW_289270" localSheetId="18" hidden="1">'IS 2016'!$H$94</definedName>
    <definedName name="QB_ROW_289270" localSheetId="13" hidden="1">'PL JAN-MARCH 2018'!$H$58</definedName>
    <definedName name="QB_ROW_290210" localSheetId="16" hidden="1">'2015'!$A$341</definedName>
    <definedName name="QB_ROW_290270" localSheetId="18" hidden="1">'IS 2016'!$H$137</definedName>
    <definedName name="QB_ROW_290270" localSheetId="13" hidden="1">'PL JAN-MARCH 2018'!$H$88</definedName>
    <definedName name="QB_ROW_291210" localSheetId="16" hidden="1">'2015'!$A$338</definedName>
    <definedName name="QB_ROW_291270" localSheetId="18" hidden="1">'IS 2016'!$H$134</definedName>
    <definedName name="QB_ROW_291270" localSheetId="13" hidden="1">'PL JAN-MARCH 2018'!$H$85</definedName>
    <definedName name="QB_ROW_292210" localSheetId="16" hidden="1">'2015'!$A$310</definedName>
    <definedName name="QB_ROW_292270" localSheetId="18" hidden="1">'IS 2016'!$H$96</definedName>
    <definedName name="QB_ROW_292270" localSheetId="13" hidden="1">'PL JAN-MARCH 2018'!$H$59</definedName>
    <definedName name="QB_ROW_293210" localSheetId="16" hidden="1">'2015'!$A$112</definedName>
    <definedName name="QB_ROW_294210" localSheetId="16" hidden="1">'2015'!$A$494</definedName>
    <definedName name="QB_ROW_294270" localSheetId="18" hidden="1">'IS 2016'!$H$330</definedName>
    <definedName name="QB_ROW_294270" localSheetId="13" hidden="1">'PL JAN-MARCH 2018'!$H$242</definedName>
    <definedName name="QB_ROW_295270" localSheetId="18" hidden="1">'IS 2016'!$H$150</definedName>
    <definedName name="QB_ROW_296210" localSheetId="16" hidden="1">'2015'!$A$9</definedName>
    <definedName name="QB_ROW_297210" localSheetId="16" hidden="1">'2015'!$A$319</definedName>
    <definedName name="QB_ROW_297270" localSheetId="18" hidden="1">'IS 2016'!$H$110</definedName>
    <definedName name="QB_ROW_297270" localSheetId="13" hidden="1">'PL JAN-MARCH 2018'!$H$67</definedName>
    <definedName name="QB_ROW_298210" localSheetId="16" hidden="1">'2015'!$A$469</definedName>
    <definedName name="QB_ROW_298270" localSheetId="18" hidden="1">'IS 2016'!$H$290</definedName>
    <definedName name="QB_ROW_301" localSheetId="17" hidden="1">'BS 2016'!$A$202</definedName>
    <definedName name="QB_ROW_301" localSheetId="12" hidden="1">'BS MARCH 31'!$A$213</definedName>
    <definedName name="QB_ROW_301" localSheetId="3" hidden="1">'BS MARCH 31 (2)'!$A$213</definedName>
    <definedName name="QB_ROW_3021" localSheetId="17" hidden="1">'BS 2016'!$C$48</definedName>
    <definedName name="QB_ROW_3021" localSheetId="12" hidden="1">'BS MARCH 31'!$C$44</definedName>
    <definedName name="QB_ROW_3021" localSheetId="3" hidden="1">'BS MARCH 31 (2)'!$C$44</definedName>
    <definedName name="QB_ROW_302210" localSheetId="16" hidden="1">'2015'!$A$336</definedName>
    <definedName name="QB_ROW_302270" localSheetId="18" hidden="1">'IS 2016'!$H$132</definedName>
    <definedName name="QB_ROW_302270" localSheetId="13" hidden="1">'PL JAN-MARCH 2018'!$H$83</definedName>
    <definedName name="QB_ROW_303210" localSheetId="16" hidden="1">'2015'!$A$337</definedName>
    <definedName name="QB_ROW_306210" localSheetId="16" hidden="1">'2015'!$A$138</definedName>
    <definedName name="QB_ROW_306250" localSheetId="17" hidden="1">'BS 2016'!$F$147</definedName>
    <definedName name="QB_ROW_306250" localSheetId="12" hidden="1">'BS MARCH 31'!$F$153</definedName>
    <definedName name="QB_ROW_306250" localSheetId="3" hidden="1">'BS MARCH 31 (2)'!$F$153</definedName>
    <definedName name="QB_ROW_309210" localSheetId="16" hidden="1">'2015'!$A$137</definedName>
    <definedName name="QB_ROW_309250" localSheetId="17" hidden="1">'BS 2016'!$F$146</definedName>
    <definedName name="QB_ROW_309250" localSheetId="12" hidden="1">'BS MARCH 31'!$F$152</definedName>
    <definedName name="QB_ROW_309250" localSheetId="3" hidden="1">'BS MARCH 31 (2)'!$F$152</definedName>
    <definedName name="QB_ROW_310210" localSheetId="16" hidden="1">'2015'!$A$113</definedName>
    <definedName name="QB_ROW_311210" localSheetId="16" hidden="1">'2015'!$A$75</definedName>
    <definedName name="QB_ROW_311240" localSheetId="17" hidden="1">'BS 2016'!$E$76</definedName>
    <definedName name="QB_ROW_311240" localSheetId="12" hidden="1">'BS MARCH 31'!$E$75</definedName>
    <definedName name="QB_ROW_311240" localSheetId="3" hidden="1">'BS MARCH 31 (2)'!$E$75</definedName>
    <definedName name="QB_ROW_313040" localSheetId="17" hidden="1">'BS 2016'!$E$91</definedName>
    <definedName name="QB_ROW_313040" localSheetId="12" hidden="1">'BS MARCH 31'!$E$91</definedName>
    <definedName name="QB_ROW_313040" localSheetId="3" hidden="1">'BS MARCH 31 (2)'!$E$91</definedName>
    <definedName name="QB_ROW_313340" localSheetId="17" hidden="1">'BS 2016'!$E$95</definedName>
    <definedName name="QB_ROW_313340" localSheetId="12" hidden="1">'BS MARCH 31'!$E$96</definedName>
    <definedName name="QB_ROW_313340" localSheetId="3" hidden="1">'BS MARCH 31 (2)'!$E$96</definedName>
    <definedName name="QB_ROW_317210" localSheetId="16" hidden="1">'2015'!$A$36</definedName>
    <definedName name="QB_ROW_318040" localSheetId="17" hidden="1">'BS 2016'!$E$25</definedName>
    <definedName name="QB_ROW_318040" localSheetId="12" hidden="1">'BS MARCH 31'!$E$22</definedName>
    <definedName name="QB_ROW_318040" localSheetId="3" hidden="1">'BS MARCH 31 (2)'!$E$22</definedName>
    <definedName name="QB_ROW_318210" localSheetId="16" hidden="1">'2015'!$A$24</definedName>
    <definedName name="QB_ROW_318340" localSheetId="17" hidden="1">'BS 2016'!$E$44</definedName>
    <definedName name="QB_ROW_318340" localSheetId="12" hidden="1">'BS MARCH 31'!$E$32</definedName>
    <definedName name="QB_ROW_318340" localSheetId="3" hidden="1">'BS MARCH 31 (2)'!$E$32</definedName>
    <definedName name="QB_ROW_319210" localSheetId="16" hidden="1">'2015'!$A$482</definedName>
    <definedName name="QB_ROW_319270" localSheetId="18" hidden="1">'IS 2016'!$H$307</definedName>
    <definedName name="QB_ROW_319270" localSheetId="13" hidden="1">'PL JAN-MARCH 2018'!$H$220</definedName>
    <definedName name="QB_ROW_320210" localSheetId="16" hidden="1">'2015'!$A$322</definedName>
    <definedName name="QB_ROW_320270" localSheetId="18" hidden="1">'IS 2016'!$H$114</definedName>
    <definedName name="QB_ROW_325210" localSheetId="16" hidden="1">'2015'!$A$297</definedName>
    <definedName name="QB_ROW_326210" localSheetId="16" hidden="1">'2015'!$A$332</definedName>
    <definedName name="QB_ROW_327210" localSheetId="16" hidden="1">'2015'!$A$340</definedName>
    <definedName name="QB_ROW_327270" localSheetId="18" hidden="1">'IS 2016'!$H$136</definedName>
    <definedName name="QB_ROW_327270" localSheetId="13" hidden="1">'PL JAN-MARCH 2018'!$H$87</definedName>
    <definedName name="QB_ROW_328210" localSheetId="16" hidden="1">'2015'!$A$330</definedName>
    <definedName name="QB_ROW_328270" localSheetId="18" hidden="1">'IS 2016'!$H$125</definedName>
    <definedName name="QB_ROW_328270" localSheetId="13" hidden="1">'PL JAN-MARCH 2018'!$H$78</definedName>
    <definedName name="QB_ROW_3321" localSheetId="17" hidden="1">'BS 2016'!$C$50</definedName>
    <definedName name="QB_ROW_3321" localSheetId="12" hidden="1">'BS MARCH 31'!$C$46</definedName>
    <definedName name="QB_ROW_3321" localSheetId="3" hidden="1">'BS MARCH 31 (2)'!$C$46</definedName>
    <definedName name="QB_ROW_335210" localSheetId="16" hidden="1">'2015'!$A$270</definedName>
    <definedName name="QB_ROW_335260" localSheetId="18" hidden="1">'IS 2016'!$G$30</definedName>
    <definedName name="QB_ROW_335260" localSheetId="13" hidden="1">'PL JAN-MARCH 2018'!$G$19</definedName>
    <definedName name="QB_ROW_337210" localSheetId="16" hidden="1">'2015'!$A$465</definedName>
    <definedName name="QB_ROW_337270" localSheetId="18" hidden="1">'IS 2016'!$H$286</definedName>
    <definedName name="QB_ROW_337270" localSheetId="13" hidden="1">'PL JAN-MARCH 2018'!$H$201</definedName>
    <definedName name="QB_ROW_340210" localSheetId="16" hidden="1">'2015'!$A$91</definedName>
    <definedName name="QB_ROW_340240" localSheetId="17" hidden="1">'BS 2016'!$E$96</definedName>
    <definedName name="QB_ROW_340240" localSheetId="12" hidden="1">'BS MARCH 31'!$E$97</definedName>
    <definedName name="QB_ROW_340240" localSheetId="3" hidden="1">'BS MARCH 31 (2)'!$E$97</definedName>
    <definedName name="QB_ROW_342070" localSheetId="18" hidden="1">'IS 2016'!$H$91</definedName>
    <definedName name="QB_ROW_342070" localSheetId="13" hidden="1">'PL JAN-MARCH 2018'!$H$55</definedName>
    <definedName name="QB_ROW_342210" localSheetId="16" hidden="1">'2015'!$A$307</definedName>
    <definedName name="QB_ROW_342370" localSheetId="18" hidden="1">'IS 2016'!$H$93</definedName>
    <definedName name="QB_ROW_342370" localSheetId="13" hidden="1">'PL JAN-MARCH 2018'!$H$57</definedName>
    <definedName name="QB_ROW_344210" localSheetId="16" hidden="1">'2015'!$A$308</definedName>
    <definedName name="QB_ROW_344280" localSheetId="18" hidden="1">'IS 2016'!$I$92</definedName>
    <definedName name="QB_ROW_344280" localSheetId="13" hidden="1">'PL JAN-MARCH 2018'!$I$56</definedName>
    <definedName name="QB_ROW_346270" localSheetId="18" hidden="1">'IS 2016'!$H$133</definedName>
    <definedName name="QB_ROW_346270" localSheetId="13" hidden="1">'PL JAN-MARCH 2018'!$H$84</definedName>
    <definedName name="QB_ROW_347210" localSheetId="16" hidden="1">'2015'!$A$331</definedName>
    <definedName name="QB_ROW_347270" localSheetId="18" hidden="1">'IS 2016'!$H$126</definedName>
    <definedName name="QB_ROW_347270" localSheetId="13" hidden="1">'PL JAN-MARCH 2018'!$H$79</definedName>
    <definedName name="QB_ROW_348210" localSheetId="16" hidden="1">'2015'!$A$329</definedName>
    <definedName name="QB_ROW_348270" localSheetId="18" hidden="1">'IS 2016'!$H$124</definedName>
    <definedName name="QB_ROW_349210" localSheetId="16" hidden="1">'2015'!$A$328</definedName>
    <definedName name="QB_ROW_349270" localSheetId="18" hidden="1">'IS 2016'!$H$123</definedName>
    <definedName name="QB_ROW_349270" localSheetId="13" hidden="1">'PL JAN-MARCH 2018'!$H$77</definedName>
    <definedName name="QB_ROW_350210" localSheetId="16" hidden="1">'2015'!$A$470</definedName>
    <definedName name="QB_ROW_353210" localSheetId="16" hidden="1">'2015'!$A$273</definedName>
    <definedName name="QB_ROW_353260" localSheetId="18" hidden="1">'IS 2016'!$G$35</definedName>
    <definedName name="QB_ROW_354210" localSheetId="16" hidden="1">'2015'!$A$7</definedName>
    <definedName name="QB_ROW_354240" localSheetId="17" hidden="1">'BS 2016'!$E$8</definedName>
    <definedName name="QB_ROW_354240" localSheetId="12" hidden="1">'BS MARCH 31'!$E$8</definedName>
    <definedName name="QB_ROW_354240" localSheetId="3" hidden="1">'BS MARCH 31 (2)'!$E$8</definedName>
    <definedName name="QB_ROW_358210" localSheetId="16" hidden="1">'2015'!$A$169</definedName>
    <definedName name="QB_ROW_361210" localSheetId="16" hidden="1">'2015'!$A$271</definedName>
    <definedName name="QB_ROW_361260" localSheetId="18" hidden="1">'IS 2016'!$G$31</definedName>
    <definedName name="QB_ROW_361260" localSheetId="13" hidden="1">'PL JAN-MARCH 2018'!$G$20</definedName>
    <definedName name="QB_ROW_367210" localSheetId="16" hidden="1">'2015'!$A$63</definedName>
    <definedName name="QB_ROW_368210" localSheetId="16" hidden="1">'2015'!$A$127</definedName>
    <definedName name="QB_ROW_368250" localSheetId="17" hidden="1">'BS 2016'!$F$136</definedName>
    <definedName name="QB_ROW_368250" localSheetId="12" hidden="1">'BS MARCH 31'!$F$143</definedName>
    <definedName name="QB_ROW_368250" localSheetId="3" hidden="1">'BS MARCH 31 (2)'!$F$143</definedName>
    <definedName name="QB_ROW_384210" localSheetId="16" hidden="1">'2015'!$A$323</definedName>
    <definedName name="QB_ROW_384270" localSheetId="18" hidden="1">'IS 2016'!$H$115</definedName>
    <definedName name="QB_ROW_384270" localSheetId="13" hidden="1">'PL JAN-MARCH 2018'!$H$70</definedName>
    <definedName name="QB_ROW_386050" localSheetId="18" hidden="1">'IS 2016'!$F$64</definedName>
    <definedName name="QB_ROW_386350" localSheetId="18" hidden="1">'IS 2016'!$F$67</definedName>
    <definedName name="QB_ROW_387210" localSheetId="16" hidden="1">'2015'!$A$325</definedName>
    <definedName name="QB_ROW_387270" localSheetId="18" hidden="1">'IS 2016'!$H$118</definedName>
    <definedName name="QB_ROW_387270" localSheetId="13" hidden="1">'PL JAN-MARCH 2018'!$H$72</definedName>
    <definedName name="QB_ROW_389210" localSheetId="16" hidden="1">'2015'!$A$498</definedName>
    <definedName name="QB_ROW_389270" localSheetId="18" hidden="1">'IS 2016'!$H$335</definedName>
    <definedName name="QB_ROW_390210" localSheetId="16" hidden="1">'2015'!$A$103</definedName>
    <definedName name="QB_ROW_390250" localSheetId="17" hidden="1">'BS 2016'!$F$113</definedName>
    <definedName name="QB_ROW_390250" localSheetId="12" hidden="1">'BS MARCH 31'!$F$118</definedName>
    <definedName name="QB_ROW_390250" localSheetId="3" hidden="1">'BS MARCH 31 (2)'!$F$118</definedName>
    <definedName name="QB_ROW_391210" localSheetId="16" hidden="1">'2015'!$A$324</definedName>
    <definedName name="QB_ROW_391270" localSheetId="18" hidden="1">'IS 2016'!$H$116</definedName>
    <definedName name="QB_ROW_394060" localSheetId="18" hidden="1">'IS 2016'!$G$113</definedName>
    <definedName name="QB_ROW_394060" localSheetId="13" hidden="1">'PL JAN-MARCH 2018'!$G$69</definedName>
    <definedName name="QB_ROW_394360" localSheetId="18" hidden="1">'IS 2016'!$G$120</definedName>
    <definedName name="QB_ROW_394360" localSheetId="13" hidden="1">'PL JAN-MARCH 2018'!$G$74</definedName>
    <definedName name="QB_ROW_395060" localSheetId="18" hidden="1">'IS 2016'!$G$85</definedName>
    <definedName name="QB_ROW_395060" localSheetId="13" hidden="1">'PL JAN-MARCH 2018'!$G$49</definedName>
    <definedName name="QB_ROW_395270" localSheetId="18" hidden="1">'IS 2016'!$H$102</definedName>
    <definedName name="QB_ROW_395360" localSheetId="18" hidden="1">'IS 2016'!$G$103</definedName>
    <definedName name="QB_ROW_395360" localSheetId="13" hidden="1">'PL JAN-MARCH 2018'!$G$60</definedName>
    <definedName name="QB_ROW_396060" localSheetId="18" hidden="1">'IS 2016'!$G$121</definedName>
    <definedName name="QB_ROW_396060" localSheetId="13" hidden="1">'PL JAN-MARCH 2018'!$G$75</definedName>
    <definedName name="QB_ROW_396360" localSheetId="18" hidden="1">'IS 2016'!$G$130</definedName>
    <definedName name="QB_ROW_396360" localSheetId="13" hidden="1">'PL JAN-MARCH 2018'!$G$81</definedName>
    <definedName name="QB_ROW_397060" localSheetId="18" hidden="1">'IS 2016'!$G$131</definedName>
    <definedName name="QB_ROW_397060" localSheetId="13" hidden="1">'PL JAN-MARCH 2018'!$G$82</definedName>
    <definedName name="QB_ROW_397270" localSheetId="18" hidden="1">'IS 2016'!$H$144</definedName>
    <definedName name="QB_ROW_397360" localSheetId="18" hidden="1">'IS 2016'!$G$145</definedName>
    <definedName name="QB_ROW_397360" localSheetId="13" hidden="1">'PL JAN-MARCH 2018'!$G$93</definedName>
    <definedName name="QB_ROW_399070" localSheetId="18" hidden="1">'IS 2016'!$H$97</definedName>
    <definedName name="QB_ROW_399370" localSheetId="18" hidden="1">'IS 2016'!$H$100</definedName>
    <definedName name="QB_ROW_400050" localSheetId="18" hidden="1">'IS 2016'!$F$255</definedName>
    <definedName name="QB_ROW_400050" localSheetId="13" hidden="1">'PL JAN-MARCH 2018'!$F$179</definedName>
    <definedName name="QB_ROW_400210" localSheetId="16" hidden="1">'2015'!$A$441</definedName>
    <definedName name="QB_ROW_400260" localSheetId="18" hidden="1">'IS 2016'!$G$342</definedName>
    <definedName name="QB_ROW_400350" localSheetId="18" hidden="1">'IS 2016'!$F$343</definedName>
    <definedName name="QB_ROW_400350" localSheetId="13" hidden="1">'PL JAN-MARCH 2018'!$F$249</definedName>
    <definedName name="QB_ROW_4021" localSheetId="17" hidden="1">'BS 2016'!$C$51</definedName>
    <definedName name="QB_ROW_4021" localSheetId="12" hidden="1">'BS MARCH 31'!$C$47</definedName>
    <definedName name="QB_ROW_4021" localSheetId="3" hidden="1">'BS MARCH 31 (2)'!$C$47</definedName>
    <definedName name="QB_ROW_402210" localSheetId="16" hidden="1">'2015'!$A$347</definedName>
    <definedName name="QB_ROW_402270" localSheetId="18" hidden="1">'IS 2016'!$H$148</definedName>
    <definedName name="QB_ROW_405210" localSheetId="16" hidden="1">'2015'!$A$66</definedName>
    <definedName name="QB_ROW_405250" localSheetId="17" hidden="1">'BS 2016'!$F$61</definedName>
    <definedName name="QB_ROW_405250" localSheetId="12" hidden="1">'BS MARCH 31'!$F$59</definedName>
    <definedName name="QB_ROW_405250" localSheetId="3" hidden="1">'BS MARCH 31 (2)'!$F$59</definedName>
    <definedName name="QB_ROW_407210" localSheetId="16" hidden="1">'2015'!$A$139</definedName>
    <definedName name="QB_ROW_407250" localSheetId="17" hidden="1">'BS 2016'!$F$148</definedName>
    <definedName name="QB_ROW_407250" localSheetId="12" hidden="1">'BS MARCH 31'!$F$154</definedName>
    <definedName name="QB_ROW_407250" localSheetId="3" hidden="1">'BS MARCH 31 (2)'!$F$154</definedName>
    <definedName name="QB_ROW_408270" localSheetId="18" hidden="1">'IS 2016'!$H$95</definedName>
    <definedName name="QB_ROW_409210" localSheetId="16" hidden="1">'2015'!$A$333</definedName>
    <definedName name="QB_ROW_409270" localSheetId="18" hidden="1">'IS 2016'!$H$127</definedName>
    <definedName name="QB_ROW_409270" localSheetId="13" hidden="1">'PL JAN-MARCH 2018'!$H$80</definedName>
    <definedName name="QB_ROW_410210" localSheetId="16" hidden="1">'2015'!$A$351</definedName>
    <definedName name="QB_ROW_410270" localSheetId="18" hidden="1">'IS 2016'!$H$151</definedName>
    <definedName name="QB_ROW_411210" localSheetId="16" hidden="1">'2015'!$A$119</definedName>
    <definedName name="QB_ROW_411250" localSheetId="17" hidden="1">'BS 2016'!$F$126</definedName>
    <definedName name="QB_ROW_411250" localSheetId="12" hidden="1">'BS MARCH 31'!$F$132</definedName>
    <definedName name="QB_ROW_411250" localSheetId="3" hidden="1">'BS MARCH 31 (2)'!$F$132</definedName>
    <definedName name="QB_ROW_414210" localSheetId="16" hidden="1">'2015'!$A$149</definedName>
    <definedName name="QB_ROW_414250" localSheetId="17" hidden="1">'BS 2016'!$F$165</definedName>
    <definedName name="QB_ROW_414250" localSheetId="12" hidden="1">'BS MARCH 31'!$F$171</definedName>
    <definedName name="QB_ROW_414250" localSheetId="3" hidden="1">'BS MARCH 31 (2)'!$F$171</definedName>
    <definedName name="QB_ROW_419210" localSheetId="16" hidden="1">'2015'!$A$497</definedName>
    <definedName name="QB_ROW_419270" localSheetId="18" hidden="1">'IS 2016'!$H$333</definedName>
    <definedName name="QB_ROW_419270" localSheetId="13" hidden="1">'PL JAN-MARCH 2018'!$H$245</definedName>
    <definedName name="QB_ROW_423040" localSheetId="17" hidden="1">'BS 2016'!$E$110</definedName>
    <definedName name="QB_ROW_423040" localSheetId="12" hidden="1">'BS MARCH 31'!$E$115</definedName>
    <definedName name="QB_ROW_423040" localSheetId="3" hidden="1">'BS MARCH 31 (2)'!$E$115</definedName>
    <definedName name="QB_ROW_423340" localSheetId="17" hidden="1">'BS 2016'!$E$132</definedName>
    <definedName name="QB_ROW_423340" localSheetId="12" hidden="1">'BS MARCH 31'!$E$138</definedName>
    <definedName name="QB_ROW_423340" localSheetId="3" hidden="1">'BS MARCH 31 (2)'!$E$138</definedName>
    <definedName name="QB_ROW_424210" localSheetId="16" hidden="1">'2015'!$A$114</definedName>
    <definedName name="QB_ROW_425020" localSheetId="17" hidden="1">'BS 2016'!$C$198</definedName>
    <definedName name="QB_ROW_425020" localSheetId="12" hidden="1">'BS MARCH 31'!$C$209</definedName>
    <definedName name="QB_ROW_425020" localSheetId="3" hidden="1">'BS MARCH 31 (2)'!$C$209</definedName>
    <definedName name="QB_ROW_425320" localSheetId="17" hidden="1">'BS 2016'!$C$200</definedName>
    <definedName name="QB_ROW_425320" localSheetId="12" hidden="1">'BS MARCH 31'!$C$211</definedName>
    <definedName name="QB_ROW_425320" localSheetId="3" hidden="1">'BS MARCH 31 (2)'!$C$211</definedName>
    <definedName name="QB_ROW_428270" localSheetId="18" hidden="1">'IS 2016'!$H$334</definedName>
    <definedName name="QB_ROW_428270" localSheetId="13" hidden="1">'PL JAN-MARCH 2018'!$H$246</definedName>
    <definedName name="QB_ROW_430210" localSheetId="16" hidden="1">'2015'!$A$220</definedName>
    <definedName name="QB_ROW_430250" localSheetId="17" hidden="1">'BS 2016'!$F$227</definedName>
    <definedName name="QB_ROW_430250" localSheetId="12" hidden="1">'BS MARCH 31'!$F$236</definedName>
    <definedName name="QB_ROW_430250" localSheetId="3" hidden="1">'BS MARCH 31 (2)'!$F$236</definedName>
    <definedName name="QB_ROW_4321" localSheetId="17" hidden="1">'BS 2016'!$C$105</definedName>
    <definedName name="QB_ROW_4321" localSheetId="12" hidden="1">'BS MARCH 31'!$C$110</definedName>
    <definedName name="QB_ROW_4321" localSheetId="3" hidden="1">'BS MARCH 31 (2)'!$C$110</definedName>
    <definedName name="QB_ROW_437210" localSheetId="16" hidden="1">'2015'!$A$500</definedName>
    <definedName name="QB_ROW_437270" localSheetId="18" hidden="1">'IS 2016'!$H$337</definedName>
    <definedName name="QB_ROW_438210" localSheetId="16" hidden="1">'2015'!$A$32</definedName>
    <definedName name="QB_ROW_438250" localSheetId="17" hidden="1">'BS 2016'!$F$31</definedName>
    <definedName name="QB_ROW_438250" localSheetId="12" hidden="1">'BS MARCH 31'!$F$26</definedName>
    <definedName name="QB_ROW_438250" localSheetId="3" hidden="1">'BS MARCH 31 (2)'!$F$26</definedName>
    <definedName name="QB_ROW_439210" localSheetId="16" hidden="1">'2015'!$A$33</definedName>
    <definedName name="QB_ROW_440210" localSheetId="16" hidden="1">'2015'!$A$34</definedName>
    <definedName name="QB_ROW_441210" localSheetId="16" hidden="1">'2015'!$A$25</definedName>
    <definedName name="QB_ROW_441250" localSheetId="17" hidden="1">'BS 2016'!$F$26</definedName>
    <definedName name="QB_ROW_441250" localSheetId="12" hidden="1">'BS MARCH 31'!$F$23</definedName>
    <definedName name="QB_ROW_441250" localSheetId="3" hidden="1">'BS MARCH 31 (2)'!$F$23</definedName>
    <definedName name="QB_ROW_442210" localSheetId="16" hidden="1">'2015'!$A$26</definedName>
    <definedName name="QB_ROW_444210" localSheetId="16" hidden="1">'2015'!$A$206</definedName>
    <definedName name="QB_ROW_446210" localSheetId="16" hidden="1">'2015'!$A$198</definedName>
    <definedName name="QB_ROW_447210" localSheetId="16" hidden="1">'2015'!$A$293</definedName>
    <definedName name="QB_ROW_447260" localSheetId="18" hidden="1">'IS 2016'!$G$59</definedName>
    <definedName name="QB_ROW_447260" localSheetId="13" hidden="1">'PL JAN-MARCH 2018'!$G$39</definedName>
    <definedName name="QB_ROW_448210" localSheetId="16" hidden="1">'2015'!$A$294</definedName>
    <definedName name="QB_ROW_448260" localSheetId="18" hidden="1">'IS 2016'!$G$60</definedName>
    <definedName name="QB_ROW_448260" localSheetId="13" hidden="1">'PL JAN-MARCH 2018'!$G$40</definedName>
    <definedName name="QB_ROW_449210" localSheetId="16" hidden="1">'2015'!$A$295</definedName>
    <definedName name="QB_ROW_449260" localSheetId="18" hidden="1">'IS 2016'!$G$61</definedName>
    <definedName name="QB_ROW_449260" localSheetId="13" hidden="1">'PL JAN-MARCH 2018'!$G$41</definedName>
    <definedName name="QB_ROW_450210" localSheetId="16" hidden="1">'2015'!$A$443</definedName>
    <definedName name="QB_ROW_450270" localSheetId="18" hidden="1">'IS 2016'!$H$258</definedName>
    <definedName name="QB_ROW_451210" localSheetId="16" hidden="1">'2015'!$A$76</definedName>
    <definedName name="QB_ROW_451240" localSheetId="17" hidden="1">'BS 2016'!$E$77</definedName>
    <definedName name="QB_ROW_451240" localSheetId="12" hidden="1">'BS MARCH 31'!$E$76</definedName>
    <definedName name="QB_ROW_451240" localSheetId="3" hidden="1">'BS MARCH 31 (2)'!$E$76</definedName>
    <definedName name="QB_ROW_453210" localSheetId="16" hidden="1">'2015'!$A$37</definedName>
    <definedName name="QB_ROW_453250" localSheetId="17" hidden="1">'BS 2016'!$F$32</definedName>
    <definedName name="QB_ROW_453250" localSheetId="12" hidden="1">'BS MARCH 31'!$F$27</definedName>
    <definedName name="QB_ROW_453250" localSheetId="3" hidden="1">'BS MARCH 31 (2)'!$F$27</definedName>
    <definedName name="QB_ROW_456210" localSheetId="16" hidden="1">'2015'!$A$346</definedName>
    <definedName name="QB_ROW_456270" localSheetId="18" hidden="1">'IS 2016'!$H$147</definedName>
    <definedName name="QB_ROW_457210" localSheetId="16" hidden="1">'2015'!$A$348</definedName>
    <definedName name="QB_ROW_458210" localSheetId="16" hidden="1">'2015'!$A$199</definedName>
    <definedName name="QB_ROW_460210" localSheetId="16" hidden="1">'2015'!$A$508</definedName>
    <definedName name="QB_ROW_460230" localSheetId="18" hidden="1">'IS 2016'!$D$361</definedName>
    <definedName name="QB_ROW_461210" localSheetId="16" hidden="1">'2015'!$A$197</definedName>
    <definedName name="QB_ROW_465210" localSheetId="16" hidden="1">'2015'!$A$134</definedName>
    <definedName name="QB_ROW_465250" localSheetId="17" hidden="1">'BS 2016'!$F$141</definedName>
    <definedName name="QB_ROW_465250" localSheetId="12" hidden="1">'BS MARCH 31'!$F$147</definedName>
    <definedName name="QB_ROW_465250" localSheetId="3" hidden="1">'BS MARCH 31 (2)'!$F$147</definedName>
    <definedName name="QB_ROW_466210" localSheetId="16" hidden="1">'2015'!$A$235</definedName>
    <definedName name="QB_ROW_467040" localSheetId="18" hidden="1">'IS 2016'!$E$4</definedName>
    <definedName name="QB_ROW_467040" localSheetId="13" hidden="1">'PL JAN-MARCH 2018'!$E$4</definedName>
    <definedName name="QB_ROW_467210" localSheetId="16" hidden="1">'2015'!$A$245</definedName>
    <definedName name="QB_ROW_467250" localSheetId="18" hidden="1">'IS 2016'!$F$17</definedName>
    <definedName name="QB_ROW_467340" localSheetId="18" hidden="1">'IS 2016'!$E$18</definedName>
    <definedName name="QB_ROW_467340" localSheetId="13" hidden="1">'PL JAN-MARCH 2018'!$E$10</definedName>
    <definedName name="QB_ROW_469040" localSheetId="17" hidden="1">'BS 2016'!$E$59</definedName>
    <definedName name="QB_ROW_469040" localSheetId="12" hidden="1">'BS MARCH 31'!$E$57</definedName>
    <definedName name="QB_ROW_469040" localSheetId="3" hidden="1">'BS MARCH 31 (2)'!$E$57</definedName>
    <definedName name="QB_ROW_469210" localSheetId="16" hidden="1">'2015'!$A$64</definedName>
    <definedName name="QB_ROW_469250" localSheetId="17" hidden="1">'BS 2016'!$F$74</definedName>
    <definedName name="QB_ROW_469250" localSheetId="12" hidden="1">'BS MARCH 31'!$F$73</definedName>
    <definedName name="QB_ROW_469250" localSheetId="3" hidden="1">'BS MARCH 31 (2)'!$F$73</definedName>
    <definedName name="QB_ROW_469340" localSheetId="17" hidden="1">'BS 2016'!$E$75</definedName>
    <definedName name="QB_ROW_469340" localSheetId="12" hidden="1">'BS MARCH 31'!$E$74</definedName>
    <definedName name="QB_ROW_469340" localSheetId="3" hidden="1">'BS MARCH 31 (2)'!$E$74</definedName>
    <definedName name="QB_ROW_472210" localSheetId="16" hidden="1">'2015'!$A$23</definedName>
    <definedName name="QB_ROW_472240" localSheetId="17" hidden="1">'BS 2016'!$E$24</definedName>
    <definedName name="QB_ROW_472240" localSheetId="12" hidden="1">'BS MARCH 31'!$E$21</definedName>
    <definedName name="QB_ROW_472240" localSheetId="3" hidden="1">'BS MARCH 31 (2)'!$E$21</definedName>
    <definedName name="QB_ROW_474210" localSheetId="16" hidden="1">'2015'!$A$243</definedName>
    <definedName name="QB_ROW_474230" localSheetId="17" hidden="1">'BS 2016'!$D$270</definedName>
    <definedName name="QB_ROW_474230" localSheetId="12" hidden="1">'BS MARCH 31'!$D$297</definedName>
    <definedName name="QB_ROW_474230" localSheetId="3" hidden="1">'BS MARCH 31 (2)'!$D$297</definedName>
    <definedName name="QB_ROW_475040" localSheetId="17" hidden="1">'BS 2016'!$E$144</definedName>
    <definedName name="QB_ROW_475040" localSheetId="12" hidden="1">'BS MARCH 31'!$E$150</definedName>
    <definedName name="QB_ROW_475040" localSheetId="3" hidden="1">'BS MARCH 31 (2)'!$E$150</definedName>
    <definedName name="QB_ROW_475250" localSheetId="17" hidden="1">'BS 2016'!$F$150</definedName>
    <definedName name="QB_ROW_475250" localSheetId="12" hidden="1">'BS MARCH 31'!$F$156</definedName>
    <definedName name="QB_ROW_475250" localSheetId="3" hidden="1">'BS MARCH 31 (2)'!$F$156</definedName>
    <definedName name="QB_ROW_475340" localSheetId="17" hidden="1">'BS 2016'!$E$151</definedName>
    <definedName name="QB_ROW_475340" localSheetId="12" hidden="1">'BS MARCH 31'!$E$157</definedName>
    <definedName name="QB_ROW_475340" localSheetId="3" hidden="1">'BS MARCH 31 (2)'!$E$157</definedName>
    <definedName name="QB_ROW_476040" localSheetId="17" hidden="1">'BS 2016'!$E$152</definedName>
    <definedName name="QB_ROW_476040" localSheetId="12" hidden="1">'BS MARCH 31'!$E$158</definedName>
    <definedName name="QB_ROW_476040" localSheetId="3" hidden="1">'BS MARCH 31 (2)'!$E$158</definedName>
    <definedName name="QB_ROW_476210" localSheetId="16" hidden="1">'2015'!$A$141</definedName>
    <definedName name="QB_ROW_476250" localSheetId="17" hidden="1">'BS 2016'!$F$155</definedName>
    <definedName name="QB_ROW_476250" localSheetId="12" hidden="1">'BS MARCH 31'!$F$161</definedName>
    <definedName name="QB_ROW_476250" localSheetId="3" hidden="1">'BS MARCH 31 (2)'!$F$161</definedName>
    <definedName name="QB_ROW_476340" localSheetId="17" hidden="1">'BS 2016'!$E$156</definedName>
    <definedName name="QB_ROW_476340" localSheetId="12" hidden="1">'BS MARCH 31'!$E$162</definedName>
    <definedName name="QB_ROW_476340" localSheetId="3" hidden="1">'BS MARCH 31 (2)'!$E$162</definedName>
    <definedName name="QB_ROW_477040" localSheetId="17" hidden="1">'BS 2016'!$E$162</definedName>
    <definedName name="QB_ROW_477040" localSheetId="12" hidden="1">'BS MARCH 31'!$E$168</definedName>
    <definedName name="QB_ROW_477040" localSheetId="3" hidden="1">'BS MARCH 31 (2)'!$E$168</definedName>
    <definedName name="QB_ROW_477340" localSheetId="17" hidden="1">'BS 2016'!$E$167</definedName>
    <definedName name="QB_ROW_477340" localSheetId="12" hidden="1">'BS MARCH 31'!$E$173</definedName>
    <definedName name="QB_ROW_477340" localSheetId="3" hidden="1">'BS MARCH 31 (2)'!$E$173</definedName>
    <definedName name="QB_ROW_478040" localSheetId="17" hidden="1">'BS 2016'!$E$157</definedName>
    <definedName name="QB_ROW_478040" localSheetId="12" hidden="1">'BS MARCH 31'!$E$163</definedName>
    <definedName name="QB_ROW_478040" localSheetId="3" hidden="1">'BS MARCH 31 (2)'!$E$163</definedName>
    <definedName name="QB_ROW_478210" localSheetId="16" hidden="1">'2015'!$A$144</definedName>
    <definedName name="QB_ROW_478250" localSheetId="17" hidden="1">'BS 2016'!$F$160</definedName>
    <definedName name="QB_ROW_478250" localSheetId="12" hidden="1">'BS MARCH 31'!$F$166</definedName>
    <definedName name="QB_ROW_478250" localSheetId="3" hidden="1">'BS MARCH 31 (2)'!$F$166</definedName>
    <definedName name="QB_ROW_478340" localSheetId="17" hidden="1">'BS 2016'!$E$161</definedName>
    <definedName name="QB_ROW_478340" localSheetId="12" hidden="1">'BS MARCH 31'!$E$167</definedName>
    <definedName name="QB_ROW_478340" localSheetId="3" hidden="1">'BS MARCH 31 (2)'!$E$167</definedName>
    <definedName name="QB_ROW_479210" localSheetId="16" hidden="1">'2015'!$A$148</definedName>
    <definedName name="QB_ROW_479250" localSheetId="17" hidden="1">'BS 2016'!$F$164</definedName>
    <definedName name="QB_ROW_479250" localSheetId="12" hidden="1">'BS MARCH 31'!$F$170</definedName>
    <definedName name="QB_ROW_479250" localSheetId="3" hidden="1">'BS MARCH 31 (2)'!$F$170</definedName>
    <definedName name="QB_ROW_480210" localSheetId="16" hidden="1">'2015'!$A$124</definedName>
    <definedName name="QB_ROW_480250" localSheetId="17" hidden="1">'BS 2016'!$F$134</definedName>
    <definedName name="QB_ROW_480250" localSheetId="12" hidden="1">'BS MARCH 31'!$F$140</definedName>
    <definedName name="QB_ROW_480250" localSheetId="3" hidden="1">'BS MARCH 31 (2)'!$F$140</definedName>
    <definedName name="QB_ROW_481210" localSheetId="16" hidden="1">'2015'!$A$111</definedName>
    <definedName name="QB_ROW_481250" localSheetId="17" hidden="1">'BS 2016'!$F$121</definedName>
    <definedName name="QB_ROW_481250" localSheetId="12" hidden="1">'BS MARCH 31'!$F$127</definedName>
    <definedName name="QB_ROW_481250" localSheetId="3" hidden="1">'BS MARCH 31 (2)'!$F$127</definedName>
    <definedName name="QB_ROW_482210" localSheetId="16" hidden="1">'2015'!$A$115</definedName>
    <definedName name="QB_ROW_482250" localSheetId="17" hidden="1">'BS 2016'!$F$122</definedName>
    <definedName name="QB_ROW_482250" localSheetId="12" hidden="1">'BS MARCH 31'!$F$128</definedName>
    <definedName name="QB_ROW_482250" localSheetId="3" hidden="1">'BS MARCH 31 (2)'!$F$128</definedName>
    <definedName name="QB_ROW_483210" localSheetId="16" hidden="1">'2015'!$A$116</definedName>
    <definedName name="QB_ROW_483250" localSheetId="17" hidden="1">'BS 2016'!$F$123</definedName>
    <definedName name="QB_ROW_483250" localSheetId="12" hidden="1">'BS MARCH 31'!$F$129</definedName>
    <definedName name="QB_ROW_483250" localSheetId="3" hidden="1">'BS MARCH 31 (2)'!$F$129</definedName>
    <definedName name="QB_ROW_484210" localSheetId="16" hidden="1">'2015'!$A$117</definedName>
    <definedName name="QB_ROW_484250" localSheetId="17" hidden="1">'BS 2016'!$F$124</definedName>
    <definedName name="QB_ROW_484250" localSheetId="12" hidden="1">'BS MARCH 31'!$F$130</definedName>
    <definedName name="QB_ROW_484250" localSheetId="3" hidden="1">'BS MARCH 31 (2)'!$F$130</definedName>
    <definedName name="QB_ROW_485210" localSheetId="16" hidden="1">'2015'!$A$118</definedName>
    <definedName name="QB_ROW_485250" localSheetId="17" hidden="1">'BS 2016'!$F$125</definedName>
    <definedName name="QB_ROW_485250" localSheetId="12" hidden="1">'BS MARCH 31'!$F$131</definedName>
    <definedName name="QB_ROW_485250" localSheetId="3" hidden="1">'BS MARCH 31 (2)'!$F$131</definedName>
    <definedName name="QB_ROW_487210" localSheetId="16" hidden="1">'2015'!$A$159</definedName>
    <definedName name="QB_ROW_488210" localSheetId="16" hidden="1">'2015'!$A$505</definedName>
    <definedName name="QB_ROW_488240" localSheetId="18" hidden="1">'IS 2016'!$E$354</definedName>
    <definedName name="QB_ROW_489210" localSheetId="16" hidden="1">'2015'!$A$98</definedName>
    <definedName name="QB_ROW_489240" localSheetId="12" hidden="1">'BS MARCH 31'!$E$106</definedName>
    <definedName name="QB_ROW_489240" localSheetId="3" hidden="1">'BS MARCH 31 (2)'!$E$106</definedName>
    <definedName name="QB_ROW_490210" localSheetId="16" hidden="1">'2015'!$A$320</definedName>
    <definedName name="QB_ROW_491210" localSheetId="16" hidden="1">'2015'!$A$349</definedName>
    <definedName name="QB_ROW_491270" localSheetId="18" hidden="1">'IS 2016'!$H$149</definedName>
    <definedName name="QB_ROW_491270" localSheetId="13" hidden="1">'PL JAN-MARCH 2018'!$H$95</definedName>
    <definedName name="QB_ROW_492060" localSheetId="18" hidden="1">'IS 2016'!$G$146</definedName>
    <definedName name="QB_ROW_492060" localSheetId="13" hidden="1">'PL JAN-MARCH 2018'!$G$94</definedName>
    <definedName name="QB_ROW_49210" localSheetId="16" hidden="1">'2015'!$A$263</definedName>
    <definedName name="QB_ROW_492270" localSheetId="18" hidden="1">'IS 2016'!$H$153</definedName>
    <definedName name="QB_ROW_492360" localSheetId="18" hidden="1">'IS 2016'!$G$154</definedName>
    <definedName name="QB_ROW_492360" localSheetId="13" hidden="1">'PL JAN-MARCH 2018'!$G$96</definedName>
    <definedName name="QB_ROW_49240" localSheetId="18" hidden="1">'IS 2016'!$E$21</definedName>
    <definedName name="QB_ROW_49240" localSheetId="13" hidden="1">'PL JAN-MARCH 2018'!$E$13</definedName>
    <definedName name="QB_ROW_493210" localSheetId="16" hidden="1">'2015'!$A$350</definedName>
    <definedName name="QB_ROW_495070" localSheetId="18" hidden="1">'IS 2016'!$H$269</definedName>
    <definedName name="QB_ROW_495280" localSheetId="18" hidden="1">'IS 2016'!$I$272</definedName>
    <definedName name="QB_ROW_495370" localSheetId="18" hidden="1">'IS 2016'!$H$273</definedName>
    <definedName name="QB_ROW_498210" localSheetId="16" hidden="1">'2015'!$A$125</definedName>
    <definedName name="QB_ROW_498250" localSheetId="17" hidden="1">'BS 2016'!$F$135</definedName>
    <definedName name="QB_ROW_498250" localSheetId="12" hidden="1">'BS MARCH 31'!$F$142</definedName>
    <definedName name="QB_ROW_498250" localSheetId="3" hidden="1">'BS MARCH 31 (2)'!$F$142</definedName>
    <definedName name="QB_ROW_501040" localSheetId="17" hidden="1">'BS 2016'!$E$212</definedName>
    <definedName name="QB_ROW_501040" localSheetId="12" hidden="1">'BS MARCH 31'!$E$223</definedName>
    <definedName name="QB_ROW_501040" localSheetId="3" hidden="1">'BS MARCH 31 (2)'!$E$223</definedName>
    <definedName name="QB_ROW_5011" localSheetId="17" hidden="1">'BS 2016'!$B$107</definedName>
    <definedName name="QB_ROW_5011" localSheetId="12" hidden="1">'BS MARCH 31'!$B$112</definedName>
    <definedName name="QB_ROW_5011" localSheetId="3" hidden="1">'BS MARCH 31 (2)'!$B$112</definedName>
    <definedName name="QB_ROW_501340" localSheetId="17" hidden="1">'BS 2016'!$E$215</definedName>
    <definedName name="QB_ROW_501340" localSheetId="12" hidden="1">'BS MARCH 31'!$E$226</definedName>
    <definedName name="QB_ROW_501340" localSheetId="3" hidden="1">'BS MARCH 31 (2)'!$E$226</definedName>
    <definedName name="QB_ROW_503210" localSheetId="16" hidden="1">'2015'!$A$244</definedName>
    <definedName name="QB_ROW_503220" localSheetId="17" hidden="1">'BS 2016'!$C$272</definedName>
    <definedName name="QB_ROW_503220" localSheetId="12" hidden="1">'BS MARCH 31'!$C$299</definedName>
    <definedName name="QB_ROW_503220" localSheetId="3" hidden="1">'BS MARCH 31 (2)'!$C$299</definedName>
    <definedName name="QB_ROW_504210" localSheetId="16" hidden="1">'2015'!$A$49</definedName>
    <definedName name="QB_ROW_505210" localSheetId="16" hidden="1">'2015'!$A$52</definedName>
    <definedName name="QB_ROW_507210" localSheetId="16" hidden="1">'2015'!$A$343</definedName>
    <definedName name="QB_ROW_507270" localSheetId="18" hidden="1">'IS 2016'!$H$139</definedName>
    <definedName name="QB_ROW_507270" localSheetId="13" hidden="1">'PL JAN-MARCH 2018'!$H$90</definedName>
    <definedName name="QB_ROW_508210" localSheetId="16" hidden="1">'2015'!$A$223</definedName>
    <definedName name="QB_ROW_508250" localSheetId="17" hidden="1">'BS 2016'!$F$229</definedName>
    <definedName name="QB_ROW_508250" localSheetId="12" hidden="1">'BS MARCH 31'!$F$238</definedName>
    <definedName name="QB_ROW_508250" localSheetId="3" hidden="1">'BS MARCH 31 (2)'!$F$238</definedName>
    <definedName name="QB_ROW_509210" localSheetId="16" hidden="1">'2015'!$A$79</definedName>
    <definedName name="QB_ROW_509250" localSheetId="17" hidden="1">'BS 2016'!$F$80</definedName>
    <definedName name="QB_ROW_509250" localSheetId="12" hidden="1">'BS MARCH 31'!$F$79</definedName>
    <definedName name="QB_ROW_509250" localSheetId="3" hidden="1">'BS MARCH 31 (2)'!$F$79</definedName>
    <definedName name="QB_ROW_510210" localSheetId="16" hidden="1">'2015'!$A$80</definedName>
    <definedName name="QB_ROW_510250" localSheetId="17" hidden="1">'BS 2016'!$F$81</definedName>
    <definedName name="QB_ROW_510250" localSheetId="12" hidden="1">'BS MARCH 31'!$F$80</definedName>
    <definedName name="QB_ROW_510250" localSheetId="3" hidden="1">'BS MARCH 31 (2)'!$F$80</definedName>
    <definedName name="QB_ROW_511210" localSheetId="16" hidden="1">'2015'!$A$251</definedName>
    <definedName name="QB_ROW_511250" localSheetId="18" hidden="1">'IS 2016'!$F$11</definedName>
    <definedName name="QB_ROW_511250" localSheetId="13" hidden="1">'PL JAN-MARCH 2018'!$F$9</definedName>
    <definedName name="QB_ROW_513210" localSheetId="16" hidden="1">'2015'!$A$219</definedName>
    <definedName name="QB_ROW_513250" localSheetId="17" hidden="1">'BS 2016'!$F$224</definedName>
    <definedName name="QB_ROW_513250" localSheetId="12" hidden="1">'BS MARCH 31'!$F$233</definedName>
    <definedName name="QB_ROW_513250" localSheetId="3" hidden="1">'BS MARCH 31 (2)'!$F$233</definedName>
    <definedName name="QB_ROW_514270" localSheetId="18" hidden="1">'IS 2016'!$H$152</definedName>
    <definedName name="QB_ROW_515210" localSheetId="16" hidden="1">'2015'!$A$247</definedName>
    <definedName name="QB_ROW_515250" localSheetId="18" hidden="1">'IS 2016'!$F$6</definedName>
    <definedName name="QB_ROW_515250" localSheetId="13" hidden="1">'PL JAN-MARCH 2018'!$F$6</definedName>
    <definedName name="QB_ROW_517210" localSheetId="16" hidden="1">'2015'!$A$204</definedName>
    <definedName name="QB_ROW_519210" localSheetId="16" hidden="1">'2015'!$A$108</definedName>
    <definedName name="QB_ROW_519250" localSheetId="17" hidden="1">'BS 2016'!$F$118</definedName>
    <definedName name="QB_ROW_519250" localSheetId="12" hidden="1">'BS MARCH 31'!$F$123</definedName>
    <definedName name="QB_ROW_519250" localSheetId="3" hidden="1">'BS MARCH 31 (2)'!$F$123</definedName>
    <definedName name="QB_ROW_520210" localSheetId="16" hidden="1">'2015'!$A$45</definedName>
    <definedName name="QB_ROW_520250" localSheetId="17" hidden="1">'BS 2016'!$F$39</definedName>
    <definedName name="QB_ROW_520250" localSheetId="12" hidden="1">'BS MARCH 31'!$F$29</definedName>
    <definedName name="QB_ROW_520250" localSheetId="3" hidden="1">'BS MARCH 31 (2)'!$F$29</definedName>
    <definedName name="QB_ROW_521210" localSheetId="16" hidden="1">'2015'!$A$81</definedName>
    <definedName name="QB_ROW_521250" localSheetId="17" hidden="1">'BS 2016'!$F$82</definedName>
    <definedName name="QB_ROW_521250" localSheetId="12" hidden="1">'BS MARCH 31'!$F$81</definedName>
    <definedName name="QB_ROW_521250" localSheetId="3" hidden="1">'BS MARCH 31 (2)'!$F$81</definedName>
    <definedName name="QB_ROW_522210" localSheetId="16" hidden="1">'2015'!$A$82</definedName>
    <definedName name="QB_ROW_522250" localSheetId="17" hidden="1">'BS 2016'!$F$83</definedName>
    <definedName name="QB_ROW_522250" localSheetId="12" hidden="1">'BS MARCH 31'!$F$82</definedName>
    <definedName name="QB_ROW_522250" localSheetId="3" hidden="1">'BS MARCH 31 (2)'!$F$82</definedName>
    <definedName name="QB_ROW_523210" localSheetId="16" hidden="1">'2015'!$A$287</definedName>
    <definedName name="QB_ROW_523260" localSheetId="18" hidden="1">'IS 2016'!$G$50</definedName>
    <definedName name="QB_ROW_523260" localSheetId="13" hidden="1">'PL JAN-MARCH 2018'!$G$31</definedName>
    <definedName name="QB_ROW_524210" localSheetId="16" hidden="1">'2015'!$A$126</definedName>
    <definedName name="QB_ROW_526050" localSheetId="18" hidden="1">'IS 2016'!$F$55</definedName>
    <definedName name="QB_ROW_526050" localSheetId="13" hidden="1">'PL JAN-MARCH 2018'!$F$35</definedName>
    <definedName name="QB_ROW_526350" localSheetId="18" hidden="1">'IS 2016'!$F$63</definedName>
    <definedName name="QB_ROW_526350" localSheetId="13" hidden="1">'PL JAN-MARCH 2018'!$F$42</definedName>
    <definedName name="QB_ROW_527050" localSheetId="18" hidden="1">'IS 2016'!$F$33</definedName>
    <definedName name="QB_ROW_527050" localSheetId="13" hidden="1">'PL JAN-MARCH 2018'!$F$22</definedName>
    <definedName name="QB_ROW_527350" localSheetId="18" hidden="1">'IS 2016'!$F$45</definedName>
    <definedName name="QB_ROW_527350" localSheetId="13" hidden="1">'PL JAN-MARCH 2018'!$F$27</definedName>
    <definedName name="QB_ROW_528210" localSheetId="16" hidden="1">'2015'!$A$207</definedName>
    <definedName name="QB_ROW_529210" localSheetId="16" hidden="1">'2015'!$A$94</definedName>
    <definedName name="QB_ROW_5311" localSheetId="17" hidden="1">'BS 2016'!$B$195</definedName>
    <definedName name="QB_ROW_5311" localSheetId="12" hidden="1">'BS MARCH 31'!$B$206</definedName>
    <definedName name="QB_ROW_5311" localSheetId="3" hidden="1">'BS MARCH 31 (2)'!$B$206</definedName>
    <definedName name="QB_ROW_534210" localSheetId="16" hidden="1">'2015'!$A$224</definedName>
    <definedName name="QB_ROW_536210" localSheetId="16" hidden="1">'2015'!$A$225</definedName>
    <definedName name="QB_ROW_538210" localSheetId="16" hidden="1">'2015'!$A$85</definedName>
    <definedName name="QB_ROW_538250" localSheetId="17" hidden="1">'BS 2016'!$F$86</definedName>
    <definedName name="QB_ROW_538250" localSheetId="12" hidden="1">'BS MARCH 31'!$F$86</definedName>
    <definedName name="QB_ROW_538250" localSheetId="3" hidden="1">'BS MARCH 31 (2)'!$F$86</definedName>
    <definedName name="QB_ROW_540210" localSheetId="16" hidden="1">'2015'!$A$46</definedName>
    <definedName name="QB_ROW_540250" localSheetId="17" hidden="1">'BS 2016'!$F$40</definedName>
    <definedName name="QB_ROW_540250" localSheetId="12" hidden="1">'BS MARCH 31'!$F$30</definedName>
    <definedName name="QB_ROW_540250" localSheetId="3" hidden="1">'BS MARCH 31 (2)'!$F$30</definedName>
    <definedName name="QB_ROW_541210" localSheetId="16" hidden="1">'2015'!$A$177</definedName>
    <definedName name="QB_ROW_542210" localSheetId="16" hidden="1">'2015'!$A$444</definedName>
    <definedName name="QB_ROW_542270" localSheetId="18" hidden="1">'IS 2016'!$H$261</definedName>
    <definedName name="QB_ROW_542270" localSheetId="13" hidden="1">'PL JAN-MARCH 2018'!$H$183</definedName>
    <definedName name="QB_ROW_543210" localSheetId="16" hidden="1">'2015'!$A$178</definedName>
    <definedName name="QB_ROW_544210" localSheetId="16" hidden="1">'2015'!$A$208</definedName>
    <definedName name="QB_ROW_549210" localSheetId="16" hidden="1">'2015'!$A$59</definedName>
    <definedName name="QB_ROW_549240" localSheetId="17" hidden="1">'BS 2016'!$E$57</definedName>
    <definedName name="QB_ROW_549240" localSheetId="12" hidden="1">'BS MARCH 31'!$E$54</definedName>
    <definedName name="QB_ROW_549240" localSheetId="3" hidden="1">'BS MARCH 31 (2)'!$E$54</definedName>
    <definedName name="QB_ROW_550210" localSheetId="16" hidden="1">'2015'!$A$95</definedName>
    <definedName name="QB_ROW_550240" localSheetId="17" hidden="1">'BS 2016'!$E$99</definedName>
    <definedName name="QB_ROW_550240" localSheetId="12" hidden="1">'BS MARCH 31'!$E$101</definedName>
    <definedName name="QB_ROW_550240" localSheetId="3" hidden="1">'BS MARCH 31 (2)'!$E$101</definedName>
    <definedName name="QB_ROW_551210" localSheetId="16" hidden="1">'2015'!$A$35</definedName>
    <definedName name="QB_ROW_552210" localSheetId="16" hidden="1">'2015'!$A$160</definedName>
    <definedName name="QB_ROW_552240" localSheetId="17" hidden="1">'BS 2016'!$E$178</definedName>
    <definedName name="QB_ROW_552240" localSheetId="12" hidden="1">'BS MARCH 31'!$E$186</definedName>
    <definedName name="QB_ROW_552240" localSheetId="3" hidden="1">'BS MARCH 31 (2)'!$E$186</definedName>
    <definedName name="QB_ROW_553210" localSheetId="16" hidden="1">'2015'!$A$205</definedName>
    <definedName name="QB_ROW_555030" localSheetId="17" hidden="1">'BS 2016'!$D$189</definedName>
    <definedName name="QB_ROW_555030" localSheetId="12" hidden="1">'BS MARCH 31'!$D$200</definedName>
    <definedName name="QB_ROW_555030" localSheetId="3" hidden="1">'BS MARCH 31 (2)'!$D$200</definedName>
    <definedName name="QB_ROW_555240" localSheetId="12" hidden="1">'BS MARCH 31'!$E$203</definedName>
    <definedName name="QB_ROW_555240" localSheetId="3" hidden="1">'BS MARCH 31 (2)'!$E$203</definedName>
    <definedName name="QB_ROW_555330" localSheetId="17" hidden="1">'BS 2016'!$D$192</definedName>
    <definedName name="QB_ROW_555330" localSheetId="12" hidden="1">'BS MARCH 31'!$D$204</definedName>
    <definedName name="QB_ROW_555330" localSheetId="3" hidden="1">'BS MARCH 31 (2)'!$D$204</definedName>
    <definedName name="QB_ROW_556210" localSheetId="16" hidden="1">'2015'!$A$167</definedName>
    <definedName name="QB_ROW_556240" localSheetId="17" hidden="1">'BS 2016'!$E$190</definedName>
    <definedName name="QB_ROW_556240" localSheetId="12" hidden="1">'BS MARCH 31'!$E$201</definedName>
    <definedName name="QB_ROW_556240" localSheetId="3" hidden="1">'BS MARCH 31 (2)'!$E$201</definedName>
    <definedName name="QB_ROW_557030" localSheetId="17" hidden="1">'BS 2016'!$D$176</definedName>
    <definedName name="QB_ROW_557030" localSheetId="12" hidden="1">'BS MARCH 31'!$D$184</definedName>
    <definedName name="QB_ROW_557030" localSheetId="3" hidden="1">'BS MARCH 31 (2)'!$D$184</definedName>
    <definedName name="QB_ROW_557210" localSheetId="16" hidden="1">'2015'!$A$157</definedName>
    <definedName name="QB_ROW_557240" localSheetId="17" hidden="1">'BS 2016'!$E$187</definedName>
    <definedName name="QB_ROW_557240" localSheetId="12" hidden="1">'BS MARCH 31'!$E$198</definedName>
    <definedName name="QB_ROW_557240" localSheetId="3" hidden="1">'BS MARCH 31 (2)'!$E$198</definedName>
    <definedName name="QB_ROW_557330" localSheetId="17" hidden="1">'BS 2016'!$D$188</definedName>
    <definedName name="QB_ROW_557330" localSheetId="12" hidden="1">'BS MARCH 31'!$D$199</definedName>
    <definedName name="QB_ROW_557330" localSheetId="3" hidden="1">'BS MARCH 31 (2)'!$D$199</definedName>
    <definedName name="QB_ROW_561210" localSheetId="16" hidden="1">'2015'!$A$10</definedName>
    <definedName name="QB_ROW_561240" localSheetId="17" hidden="1">'BS 2016'!$E$9</definedName>
    <definedName name="QB_ROW_561240" localSheetId="12" hidden="1">'BS MARCH 31'!$E$9</definedName>
    <definedName name="QB_ROW_561240" localSheetId="3" hidden="1">'BS MARCH 31 (2)'!$E$9</definedName>
    <definedName name="QB_ROW_564210" localSheetId="16" hidden="1">'2015'!$A$42</definedName>
    <definedName name="QB_ROW_564250" localSheetId="17" hidden="1">'BS 2016'!$F$36</definedName>
    <definedName name="QB_ROW_564250" localSheetId="12" hidden="1">'BS MARCH 31'!$F$28</definedName>
    <definedName name="QB_ROW_564250" localSheetId="3" hidden="1">'BS MARCH 31 (2)'!$F$28</definedName>
    <definedName name="QB_ROW_565210" localSheetId="16" hidden="1">'2015'!$A$283</definedName>
    <definedName name="QB_ROW_565260" localSheetId="18" hidden="1">'IS 2016'!$G$44</definedName>
    <definedName name="QB_ROW_566210" localSheetId="16" hidden="1">'2015'!$A$47</definedName>
    <definedName name="QB_ROW_567210" localSheetId="16" hidden="1">'2015'!$A$151</definedName>
    <definedName name="QB_ROW_567250" localSheetId="17" hidden="1">'BS 2016'!$F$169</definedName>
    <definedName name="QB_ROW_567250" localSheetId="12" hidden="1">'BS MARCH 31'!$F$175</definedName>
    <definedName name="QB_ROW_567250" localSheetId="3" hidden="1">'BS MARCH 31 (2)'!$F$175</definedName>
    <definedName name="QB_ROW_568210" localSheetId="16" hidden="1">'2015'!$A$209</definedName>
    <definedName name="QB_ROW_569060" localSheetId="18" hidden="1">'IS 2016'!$G$157</definedName>
    <definedName name="QB_ROW_569060" localSheetId="13" hidden="1">'PL JAN-MARCH 2018'!$G$100</definedName>
    <definedName name="QB_ROW_569270" localSheetId="18" hidden="1">'IS 2016'!$H$172</definedName>
    <definedName name="QB_ROW_569360" localSheetId="18" hidden="1">'IS 2016'!$G$173</definedName>
    <definedName name="QB_ROW_569360" localSheetId="13" hidden="1">'PL JAN-MARCH 2018'!$G$114</definedName>
    <definedName name="QB_ROW_570210" localSheetId="16" hidden="1">'2015'!$A$363</definedName>
    <definedName name="QB_ROW_570270" localSheetId="18" hidden="1">'IS 2016'!$H$168</definedName>
    <definedName name="QB_ROW_570270" localSheetId="13" hidden="1">'PL JAN-MARCH 2018'!$H$111</definedName>
    <definedName name="QB_ROW_571210" localSheetId="16" hidden="1">'2015'!$A$355</definedName>
    <definedName name="QB_ROW_571270" localSheetId="18" hidden="1">'IS 2016'!$H$160</definedName>
    <definedName name="QB_ROW_571270" localSheetId="13" hidden="1">'PL JAN-MARCH 2018'!$H$103</definedName>
    <definedName name="QB_ROW_572210" localSheetId="16" hidden="1">'2015'!$A$158</definedName>
    <definedName name="QB_ROW_572240" localSheetId="17" hidden="1">'BS 2016'!$E$177</definedName>
    <definedName name="QB_ROW_572240" localSheetId="12" hidden="1">'BS MARCH 31'!$E$185</definedName>
    <definedName name="QB_ROW_572240" localSheetId="3" hidden="1">'BS MARCH 31 (2)'!$E$185</definedName>
    <definedName name="QB_ROW_573210" localSheetId="16" hidden="1">'2015'!$A$365</definedName>
    <definedName name="QB_ROW_573270" localSheetId="18" hidden="1">'IS 2016'!$H$170</definedName>
    <definedName name="QB_ROW_573270" localSheetId="13" hidden="1">'PL JAN-MARCH 2018'!$H$112</definedName>
    <definedName name="QB_ROW_576210" localSheetId="16" hidden="1">'2015'!$A$60</definedName>
    <definedName name="QB_ROW_577210" localSheetId="16" hidden="1">'2015'!$A$109</definedName>
    <definedName name="QB_ROW_577250" localSheetId="17" hidden="1">'BS 2016'!$F$119</definedName>
    <definedName name="QB_ROW_577250" localSheetId="12" hidden="1">'BS MARCH 31'!$F$124</definedName>
    <definedName name="QB_ROW_577250" localSheetId="3" hidden="1">'BS MARCH 31 (2)'!$F$124</definedName>
    <definedName name="QB_ROW_578210" localSheetId="16" hidden="1">'2015'!$A$357</definedName>
    <definedName name="QB_ROW_578270" localSheetId="18" hidden="1">'IS 2016'!$H$162</definedName>
    <definedName name="QB_ROW_578270" localSheetId="13" hidden="1">'PL JAN-MARCH 2018'!$H$105</definedName>
    <definedName name="QB_ROW_579060" localSheetId="18" hidden="1">'IS 2016'!$G$194</definedName>
    <definedName name="QB_ROW_579060" localSheetId="13" hidden="1">'PL JAN-MARCH 2018'!$G$132</definedName>
    <definedName name="QB_ROW_579360" localSheetId="18" hidden="1">'IS 2016'!$G$203</definedName>
    <definedName name="QB_ROW_579360" localSheetId="13" hidden="1">'PL JAN-MARCH 2018'!$G$140</definedName>
    <definedName name="QB_ROW_580210" localSheetId="16" hidden="1">'2015'!$A$382</definedName>
    <definedName name="QB_ROW_580270" localSheetId="18" hidden="1">'IS 2016'!$H$195</definedName>
    <definedName name="QB_ROW_580270" localSheetId="13" hidden="1">'PL JAN-MARCH 2018'!$H$133</definedName>
    <definedName name="QB_ROW_581210" localSheetId="16" hidden="1">'2015'!$A$389</definedName>
    <definedName name="QB_ROW_581270" localSheetId="18" hidden="1">'IS 2016'!$H$205</definedName>
    <definedName name="QB_ROW_581270" localSheetId="13" hidden="1">'PL JAN-MARCH 2018'!$H$142</definedName>
    <definedName name="QB_ROW_582210" localSheetId="16" hidden="1">'2015'!$A$104</definedName>
    <definedName name="QB_ROW_582250" localSheetId="17" hidden="1">'BS 2016'!$F$114</definedName>
    <definedName name="QB_ROW_582250" localSheetId="12" hidden="1">'BS MARCH 31'!$F$119</definedName>
    <definedName name="QB_ROW_582250" localSheetId="3" hidden="1">'BS MARCH 31 (2)'!$F$119</definedName>
    <definedName name="QB_ROW_583060" localSheetId="18" hidden="1">'IS 2016'!$G$182</definedName>
    <definedName name="QB_ROW_583060" localSheetId="13" hidden="1">'PL JAN-MARCH 2018'!$G$121</definedName>
    <definedName name="QB_ROW_583360" localSheetId="18" hidden="1">'IS 2016'!$G$187</definedName>
    <definedName name="QB_ROW_583360" localSheetId="13" hidden="1">'PL JAN-MARCH 2018'!$G$124</definedName>
    <definedName name="QB_ROW_584210" localSheetId="16" hidden="1">'2015'!$A$372</definedName>
    <definedName name="QB_ROW_584270" localSheetId="18" hidden="1">'IS 2016'!$H$183</definedName>
    <definedName name="QB_ROW_584270" localSheetId="13" hidden="1">'PL JAN-MARCH 2018'!$H$122</definedName>
    <definedName name="QB_ROW_585210" localSheetId="16" hidden="1">'2015'!$A$373</definedName>
    <definedName name="QB_ROW_585270" localSheetId="18" hidden="1">'IS 2016'!$H$184</definedName>
    <definedName name="QB_ROW_587210" localSheetId="16" hidden="1">'2015'!$A$383</definedName>
    <definedName name="QB_ROW_587270" localSheetId="18" hidden="1">'IS 2016'!$H$196</definedName>
    <definedName name="QB_ROW_587270" localSheetId="13" hidden="1">'PL JAN-MARCH 2018'!$H$134</definedName>
    <definedName name="QB_ROW_588210" localSheetId="16" hidden="1">'2015'!$A$384</definedName>
    <definedName name="QB_ROW_588270" localSheetId="18" hidden="1">'IS 2016'!$H$197</definedName>
    <definedName name="QB_ROW_588270" localSheetId="13" hidden="1">'PL JAN-MARCH 2018'!$H$135</definedName>
    <definedName name="QB_ROW_589060" localSheetId="18" hidden="1">'IS 2016'!$G$204</definedName>
    <definedName name="QB_ROW_589060" localSheetId="13" hidden="1">'PL JAN-MARCH 2018'!$G$141</definedName>
    <definedName name="QB_ROW_589360" localSheetId="18" hidden="1">'IS 2016'!$G$208</definedName>
    <definedName name="QB_ROW_589360" localSheetId="13" hidden="1">'PL JAN-MARCH 2018'!$G$145</definedName>
    <definedName name="QB_ROW_590210" localSheetId="16" hidden="1">'2015'!$A$356</definedName>
    <definedName name="QB_ROW_590270" localSheetId="18" hidden="1">'IS 2016'!$H$161</definedName>
    <definedName name="QB_ROW_590270" localSheetId="13" hidden="1">'PL JAN-MARCH 2018'!$H$104</definedName>
    <definedName name="QB_ROW_591210" localSheetId="16" hidden="1">'2015'!$A$353</definedName>
    <definedName name="QB_ROW_591270" localSheetId="18" hidden="1">'IS 2016'!$H$158</definedName>
    <definedName name="QB_ROW_591270" localSheetId="13" hidden="1">'PL JAN-MARCH 2018'!$H$101</definedName>
    <definedName name="QB_ROW_592270" localSheetId="18" hidden="1">'IS 2016'!$H$309</definedName>
    <definedName name="QB_ROW_593210" localSheetId="16" hidden="1">'2015'!$A$460</definedName>
    <definedName name="QB_ROW_593270" localSheetId="18" hidden="1">'IS 2016'!$H$281</definedName>
    <definedName name="QB_ROW_593270" localSheetId="13" hidden="1">'PL JAN-MARCH 2018'!$H$194</definedName>
    <definedName name="QB_ROW_594210" localSheetId="16" hidden="1">'2015'!$A$374</definedName>
    <definedName name="QB_ROW_594270" localSheetId="18" hidden="1">'IS 2016'!$H$185</definedName>
    <definedName name="QB_ROW_594270" localSheetId="13" hidden="1">'PL JAN-MARCH 2018'!$H$123</definedName>
    <definedName name="QB_ROW_595210" localSheetId="16" hidden="1">'2015'!$A$92</definedName>
    <definedName name="QB_ROW_595240" localSheetId="17" hidden="1">'BS 2016'!$E$97</definedName>
    <definedName name="QB_ROW_595240" localSheetId="12" hidden="1">'BS MARCH 31'!$E$98</definedName>
    <definedName name="QB_ROW_595240" localSheetId="3" hidden="1">'BS MARCH 31 (2)'!$E$98</definedName>
    <definedName name="QB_ROW_596210" localSheetId="16" hidden="1">'2015'!$A$359</definedName>
    <definedName name="QB_ROW_596270" localSheetId="18" hidden="1">'IS 2016'!$H$164</definedName>
    <definedName name="QB_ROW_596270" localSheetId="13" hidden="1">'PL JAN-MARCH 2018'!$H$107</definedName>
    <definedName name="QB_ROW_597210" localSheetId="16" hidden="1">'2015'!$A$44</definedName>
    <definedName name="QB_ROW_597250" localSheetId="17" hidden="1">'BS 2016'!$F$38</definedName>
    <definedName name="QB_ROW_598210" localSheetId="16" hidden="1">'2015'!$A$120</definedName>
    <definedName name="QB_ROW_598250" localSheetId="17" hidden="1">'BS 2016'!$F$127</definedName>
    <definedName name="QB_ROW_598250" localSheetId="12" hidden="1">'BS MARCH 31'!$F$133</definedName>
    <definedName name="QB_ROW_598250" localSheetId="3" hidden="1">'BS MARCH 31 (2)'!$F$133</definedName>
    <definedName name="QB_ROW_599210" localSheetId="16" hidden="1">'2015'!$A$334</definedName>
    <definedName name="QB_ROW_599270" localSheetId="18" hidden="1">'IS 2016'!$H$128</definedName>
    <definedName name="QB_ROW_600050" localSheetId="17" hidden="1">'BS 2016'!$F$69</definedName>
    <definedName name="QB_ROW_600050" localSheetId="12" hidden="1">'BS MARCH 31'!$F$68</definedName>
    <definedName name="QB_ROW_600050" localSheetId="3" hidden="1">'BS MARCH 31 (2)'!$F$68</definedName>
    <definedName name="QB_ROW_600210" localSheetId="16" hidden="1">'2015'!$A$72</definedName>
    <definedName name="QB_ROW_600260" localSheetId="17" hidden="1">'BS 2016'!$G$71</definedName>
    <definedName name="QB_ROW_600260" localSheetId="12" hidden="1">'BS MARCH 31'!$G$70</definedName>
    <definedName name="QB_ROW_600260" localSheetId="3" hidden="1">'BS MARCH 31 (2)'!$G$70</definedName>
    <definedName name="QB_ROW_600350" localSheetId="17" hidden="1">'BS 2016'!$F$72</definedName>
    <definedName name="QB_ROW_600350" localSheetId="12" hidden="1">'BS MARCH 31'!$F$71</definedName>
    <definedName name="QB_ROW_600350" localSheetId="3" hidden="1">'BS MARCH 31 (2)'!$F$71</definedName>
    <definedName name="QB_ROW_6011" localSheetId="17" hidden="1">'BS 2016'!$B$196</definedName>
    <definedName name="QB_ROW_6011" localSheetId="12" hidden="1">'BS MARCH 31'!$B$207</definedName>
    <definedName name="QB_ROW_6011" localSheetId="3" hidden="1">'BS MARCH 31 (2)'!$B$207</definedName>
    <definedName name="QB_ROW_602210" localSheetId="16" hidden="1">'2015'!$A$154</definedName>
    <definedName name="QB_ROW_603210" localSheetId="16" hidden="1">'2015'!$A$385</definedName>
    <definedName name="QB_ROW_603270" localSheetId="18" hidden="1">'IS 2016'!$H$198</definedName>
    <definedName name="QB_ROW_603270" localSheetId="13" hidden="1">'PL JAN-MARCH 2018'!$H$136</definedName>
    <definedName name="QB_ROW_604040" localSheetId="17" hidden="1">'BS 2016'!$E$168</definedName>
    <definedName name="QB_ROW_604040" localSheetId="12" hidden="1">'BS MARCH 31'!$E$174</definedName>
    <definedName name="QB_ROW_604040" localSheetId="3" hidden="1">'BS MARCH 31 (2)'!$E$174</definedName>
    <definedName name="QB_ROW_604250" localSheetId="12" hidden="1">'BS MARCH 31'!$F$180</definedName>
    <definedName name="QB_ROW_604250" localSheetId="3" hidden="1">'BS MARCH 31 (2)'!$F$180</definedName>
    <definedName name="QB_ROW_604340" localSheetId="17" hidden="1">'BS 2016'!$E$174</definedName>
    <definedName name="QB_ROW_604340" localSheetId="12" hidden="1">'BS MARCH 31'!$E$181</definedName>
    <definedName name="QB_ROW_604340" localSheetId="3" hidden="1">'BS MARCH 31 (2)'!$E$181</definedName>
    <definedName name="QB_ROW_605210" localSheetId="16" hidden="1">'2015'!$A$152</definedName>
    <definedName name="QB_ROW_605250" localSheetId="17" hidden="1">'BS 2016'!$F$170</definedName>
    <definedName name="QB_ROW_605250" localSheetId="12" hidden="1">'BS MARCH 31'!$F$176</definedName>
    <definedName name="QB_ROW_605250" localSheetId="3" hidden="1">'BS MARCH 31 (2)'!$F$176</definedName>
    <definedName name="QB_ROW_606210" localSheetId="16" hidden="1">'2015'!$A$128</definedName>
    <definedName name="QB_ROW_607210" localSheetId="16" hidden="1">'2015'!$A$390</definedName>
    <definedName name="QB_ROW_607270" localSheetId="18" hidden="1">'IS 2016'!$H$206</definedName>
    <definedName name="QB_ROW_607270" localSheetId="13" hidden="1">'PL JAN-MARCH 2018'!$H$143</definedName>
    <definedName name="QB_ROW_608210" localSheetId="16" hidden="1">'2015'!$A$129</definedName>
    <definedName name="QB_ROW_608250" localSheetId="17" hidden="1">'BS 2016'!$F$137</definedName>
    <definedName name="QB_ROW_608250" localSheetId="12" hidden="1">'BS MARCH 31'!$F$144</definedName>
    <definedName name="QB_ROW_608250" localSheetId="3" hidden="1">'BS MARCH 31 (2)'!$F$144</definedName>
    <definedName name="QB_ROW_609210" localSheetId="16" hidden="1">'2015'!$A$361</definedName>
    <definedName name="QB_ROW_609270" localSheetId="18" hidden="1">'IS 2016'!$H$166</definedName>
    <definedName name="QB_ROW_609270" localSheetId="13" hidden="1">'PL JAN-MARCH 2018'!$H$109</definedName>
    <definedName name="QB_ROW_610210" localSheetId="16" hidden="1">'2015'!$A$386</definedName>
    <definedName name="QB_ROW_610270" localSheetId="18" hidden="1">'IS 2016'!$H$199</definedName>
    <definedName name="QB_ROW_610270" localSheetId="13" hidden="1">'PL JAN-MARCH 2018'!$H$137</definedName>
    <definedName name="QB_ROW_611050" localSheetId="18" hidden="1">'IS 2016'!$F$156</definedName>
    <definedName name="QB_ROW_611050" localSheetId="13" hidden="1">'PL JAN-MARCH 2018'!$F$99</definedName>
    <definedName name="QB_ROW_611210" localSheetId="16" hidden="1">'2015'!$A$352</definedName>
    <definedName name="QB_ROW_611260" localSheetId="18" hidden="1">'IS 2016'!$G$209</definedName>
    <definedName name="QB_ROW_611350" localSheetId="18" hidden="1">'IS 2016'!$F$210</definedName>
    <definedName name="QB_ROW_611350" localSheetId="13" hidden="1">'PL JAN-MARCH 2018'!$F$146</definedName>
    <definedName name="QB_ROW_612060" localSheetId="18" hidden="1">'IS 2016'!$G$188</definedName>
    <definedName name="QB_ROW_612060" localSheetId="13" hidden="1">'PL JAN-MARCH 2018'!$G$125</definedName>
    <definedName name="QB_ROW_612210" localSheetId="16" hidden="1">'2015'!$A$376</definedName>
    <definedName name="QB_ROW_612270" localSheetId="13" hidden="1">'PL JAN-MARCH 2018'!$H$130</definedName>
    <definedName name="QB_ROW_612360" localSheetId="18" hidden="1">'IS 2016'!$G$193</definedName>
    <definedName name="QB_ROW_612360" localSheetId="13" hidden="1">'PL JAN-MARCH 2018'!$G$131</definedName>
    <definedName name="QB_ROW_613210" localSheetId="16" hidden="1">'2015'!$A$378</definedName>
    <definedName name="QB_ROW_613270" localSheetId="18" hidden="1">'IS 2016'!$H$190</definedName>
    <definedName name="QB_ROW_613270" localSheetId="13" hidden="1">'PL JAN-MARCH 2018'!$H$127</definedName>
    <definedName name="QB_ROW_614060" localSheetId="18" hidden="1">'IS 2016'!$G$174</definedName>
    <definedName name="QB_ROW_614060" localSheetId="13" hidden="1">'PL JAN-MARCH 2018'!$G$115</definedName>
    <definedName name="QB_ROW_614270" localSheetId="18" hidden="1">'IS 2016'!$H$180</definedName>
    <definedName name="QB_ROW_614360" localSheetId="18" hidden="1">'IS 2016'!$G$181</definedName>
    <definedName name="QB_ROW_614360" localSheetId="13" hidden="1">'PL JAN-MARCH 2018'!$G$120</definedName>
    <definedName name="QB_ROW_615210" localSheetId="16" hidden="1">'2015'!$A$368</definedName>
    <definedName name="QB_ROW_615270" localSheetId="18" hidden="1">'IS 2016'!$H$175</definedName>
    <definedName name="QB_ROW_615270" localSheetId="13" hidden="1">'PL JAN-MARCH 2018'!$H$116</definedName>
    <definedName name="QB_ROW_616210" localSheetId="16" hidden="1">'2015'!$A$371</definedName>
    <definedName name="QB_ROW_616270" localSheetId="18" hidden="1">'IS 2016'!$H$178</definedName>
    <definedName name="QB_ROW_616270" localSheetId="13" hidden="1">'PL JAN-MARCH 2018'!$H$119</definedName>
    <definedName name="QB_ROW_618210" localSheetId="16" hidden="1">'2015'!$A$369</definedName>
    <definedName name="QB_ROW_618270" localSheetId="18" hidden="1">'IS 2016'!$H$176</definedName>
    <definedName name="QB_ROW_618270" localSheetId="13" hidden="1">'PL JAN-MARCH 2018'!$H$117</definedName>
    <definedName name="QB_ROW_619210" localSheetId="16" hidden="1">'2015'!$A$370</definedName>
    <definedName name="QB_ROW_619270" localSheetId="18" hidden="1">'IS 2016'!$H$177</definedName>
    <definedName name="QB_ROW_619270" localSheetId="13" hidden="1">'PL JAN-MARCH 2018'!$H$118</definedName>
    <definedName name="QB_ROW_620210" localSheetId="16" hidden="1">'2015'!$A$210</definedName>
    <definedName name="QB_ROW_6210" localSheetId="16" hidden="1">'2015'!$A$504</definedName>
    <definedName name="QB_ROW_621210" localSheetId="16" hidden="1">'2015'!$A$121</definedName>
    <definedName name="QB_ROW_621250" localSheetId="17" hidden="1">'BS 2016'!$F$128</definedName>
    <definedName name="QB_ROW_621250" localSheetId="12" hidden="1">'BS MARCH 31'!$F$134</definedName>
    <definedName name="QB_ROW_621250" localSheetId="3" hidden="1">'BS MARCH 31 (2)'!$F$134</definedName>
    <definedName name="QB_ROW_623210" localSheetId="16" hidden="1">'2015'!$A$155</definedName>
    <definedName name="QB_ROW_6240" localSheetId="18" hidden="1">'IS 2016'!$E$353</definedName>
    <definedName name="QB_ROW_6240" localSheetId="13" hidden="1">'PL JAN-MARCH 2018'!$E$265</definedName>
    <definedName name="QB_ROW_627210" localSheetId="16" hidden="1">'2015'!$A$391</definedName>
    <definedName name="QB_ROW_627270" localSheetId="18" hidden="1">'IS 2016'!$H$207</definedName>
    <definedName name="QB_ROW_627270" localSheetId="13" hidden="1">'PL JAN-MARCH 2018'!$H$144</definedName>
    <definedName name="QB_ROW_628210" localSheetId="16" hidden="1">'2015'!$A$379</definedName>
    <definedName name="QB_ROW_629210" localSheetId="16" hidden="1">'2015'!$A$377</definedName>
    <definedName name="QB_ROW_629270" localSheetId="18" hidden="1">'IS 2016'!$H$189</definedName>
    <definedName name="QB_ROW_629270" localSheetId="13" hidden="1">'PL JAN-MARCH 2018'!$H$126</definedName>
    <definedName name="QB_ROW_630210" localSheetId="16" hidden="1">'2015'!$A$387</definedName>
    <definedName name="QB_ROW_630270" localSheetId="18" hidden="1">'IS 2016'!$H$200</definedName>
    <definedName name="QB_ROW_630270" localSheetId="13" hidden="1">'PL JAN-MARCH 2018'!$H$138</definedName>
    <definedName name="QB_ROW_6311" localSheetId="17" hidden="1">'BS 2016'!$B$201</definedName>
    <definedName name="QB_ROW_6311" localSheetId="12" hidden="1">'BS MARCH 31'!$B$212</definedName>
    <definedName name="QB_ROW_6311" localSheetId="3" hidden="1">'BS MARCH 31 (2)'!$B$212</definedName>
    <definedName name="QB_ROW_631210" localSheetId="16" hidden="1">'2015'!$A$398</definedName>
    <definedName name="QB_ROW_632210" localSheetId="16" hidden="1">'2015'!$A$400</definedName>
    <definedName name="QB_ROW_632270" localSheetId="18" hidden="1">'IS 2016'!$H$221</definedName>
    <definedName name="QB_ROW_632270" localSheetId="13" hidden="1">'PL JAN-MARCH 2018'!$H$156</definedName>
    <definedName name="QB_ROW_633050" localSheetId="18" hidden="1">'IS 2016'!$F$211</definedName>
    <definedName name="QB_ROW_633050" localSheetId="13" hidden="1">'PL JAN-MARCH 2018'!$F$147</definedName>
    <definedName name="QB_ROW_633350" localSheetId="18" hidden="1">'IS 2016'!$F$224</definedName>
    <definedName name="QB_ROW_633350" localSheetId="13" hidden="1">'PL JAN-MARCH 2018'!$F$159</definedName>
    <definedName name="QB_ROW_634210" localSheetId="16" hidden="1">'2015'!$A$393</definedName>
    <definedName name="QB_ROW_634270" localSheetId="18" hidden="1">'IS 2016'!$H$214</definedName>
    <definedName name="QB_ROW_634270" localSheetId="13" hidden="1">'PL JAN-MARCH 2018'!$H$150</definedName>
    <definedName name="QB_ROW_637210" localSheetId="16" hidden="1">'2015'!$A$399</definedName>
    <definedName name="QB_ROW_637270" localSheetId="18" hidden="1">'IS 2016'!$H$220</definedName>
    <definedName name="QB_ROW_637270" localSheetId="13" hidden="1">'PL JAN-MARCH 2018'!$H$155</definedName>
    <definedName name="QB_ROW_639050" localSheetId="18" hidden="1">'IS 2016'!$F$246</definedName>
    <definedName name="QB_ROW_639350" localSheetId="18" hidden="1">'IS 2016'!$F$251</definedName>
    <definedName name="QB_ROW_640210" localSheetId="16" hidden="1">'2015'!$A$430</definedName>
    <definedName name="QB_ROW_640260" localSheetId="18" hidden="1">'IS 2016'!$G$247</definedName>
    <definedName name="QB_ROW_641210" localSheetId="16" hidden="1">'2015'!$A$431</definedName>
    <definedName name="QB_ROW_641260" localSheetId="18" hidden="1">'IS 2016'!$G$248</definedName>
    <definedName name="QB_ROW_642210" localSheetId="16" hidden="1">'2015'!$A$434</definedName>
    <definedName name="QB_ROW_642260" localSheetId="18" hidden="1">'IS 2016'!$G$250</definedName>
    <definedName name="QB_ROW_643210" localSheetId="16" hidden="1">'2015'!$A$122</definedName>
    <definedName name="QB_ROW_643250" localSheetId="17" hidden="1">'BS 2016'!$F$129</definedName>
    <definedName name="QB_ROW_643250" localSheetId="12" hidden="1">'BS MARCH 31'!$F$135</definedName>
    <definedName name="QB_ROW_643250" localSheetId="3" hidden="1">'BS MARCH 31 (2)'!$F$135</definedName>
    <definedName name="QB_ROW_644210" localSheetId="16" hidden="1">'2015'!$A$392</definedName>
    <definedName name="QB_ROW_644270" localSheetId="18" hidden="1">'IS 2016'!$H$213</definedName>
    <definedName name="QB_ROW_644270" localSheetId="13" hidden="1">'PL JAN-MARCH 2018'!$H$149</definedName>
    <definedName name="QB_ROW_645210" localSheetId="16" hidden="1">'2015'!$A$401</definedName>
    <definedName name="QB_ROW_645270" localSheetId="18" hidden="1">'IS 2016'!$H$222</definedName>
    <definedName name="QB_ROW_645270" localSheetId="13" hidden="1">'PL JAN-MARCH 2018'!$H$157</definedName>
    <definedName name="QB_ROW_646210" localSheetId="16" hidden="1">'2015'!$A$248</definedName>
    <definedName name="QB_ROW_646250" localSheetId="18" hidden="1">'IS 2016'!$F$7</definedName>
    <definedName name="QB_ROW_647210" localSheetId="16" hidden="1">'2015'!$A$61</definedName>
    <definedName name="QB_ROW_647240" localSheetId="12" hidden="1">'BS MARCH 31'!$E$55</definedName>
    <definedName name="QB_ROW_647240" localSheetId="3" hidden="1">'BS MARCH 31 (2)'!$E$55</definedName>
    <definedName name="QB_ROW_648210" localSheetId="16" hidden="1">'2015'!$A$388</definedName>
    <definedName name="QB_ROW_648270" localSheetId="18" hidden="1">'IS 2016'!$H$201</definedName>
    <definedName name="QB_ROW_648270" localSheetId="13" hidden="1">'PL JAN-MARCH 2018'!$H$139</definedName>
    <definedName name="QB_ROW_649210" localSheetId="16" hidden="1">'2015'!$A$153</definedName>
    <definedName name="QB_ROW_649250" localSheetId="17" hidden="1">'BS 2016'!$F$172</definedName>
    <definedName name="QB_ROW_649250" localSheetId="12" hidden="1">'BS MARCH 31'!$F$178</definedName>
    <definedName name="QB_ROW_649250" localSheetId="3" hidden="1">'BS MARCH 31 (2)'!$F$178</definedName>
    <definedName name="QB_ROW_650210" localSheetId="16" hidden="1">'2015'!$A$433</definedName>
    <definedName name="QB_ROW_650260" localSheetId="18" hidden="1">'IS 2016'!$G$249</definedName>
    <definedName name="QB_ROW_651210" localSheetId="16" hidden="1">'2015'!$A$156</definedName>
    <definedName name="QB_ROW_652210" localSheetId="16" hidden="1">'2015'!$A$43</definedName>
    <definedName name="QB_ROW_652250" localSheetId="17" hidden="1">'BS 2016'!$F$37</definedName>
    <definedName name="QB_ROW_653210" localSheetId="16" hidden="1">'2015'!$A$83</definedName>
    <definedName name="QB_ROW_653250" localSheetId="17" hidden="1">'BS 2016'!$F$84</definedName>
    <definedName name="QB_ROW_653250" localSheetId="12" hidden="1">'BS MARCH 31'!$F$83</definedName>
    <definedName name="QB_ROW_653250" localSheetId="3" hidden="1">'BS MARCH 31 (2)'!$F$83</definedName>
    <definedName name="QB_ROW_656210" localSheetId="16" hidden="1">'2015'!$A$11</definedName>
    <definedName name="QB_ROW_656240" localSheetId="17" hidden="1">'BS 2016'!$E$10</definedName>
    <definedName name="QB_ROW_656240" localSheetId="12" hidden="1">'BS MARCH 31'!$E$10</definedName>
    <definedName name="QB_ROW_656240" localSheetId="3" hidden="1">'BS MARCH 31 (2)'!$E$10</definedName>
    <definedName name="QB_ROW_657210" localSheetId="16" hidden="1">'2015'!$A$130</definedName>
    <definedName name="QB_ROW_658210" localSheetId="16" hidden="1">'2015'!$A$211</definedName>
    <definedName name="QB_ROW_659210" localSheetId="16" hidden="1">'2015'!$A$306</definedName>
    <definedName name="QB_ROW_659270" localSheetId="18" hidden="1">'IS 2016'!$H$90</definedName>
    <definedName name="QB_ROW_659270" localSheetId="13" hidden="1">'PL JAN-MARCH 2018'!$H$54</definedName>
    <definedName name="QB_ROW_660210" localSheetId="16" hidden="1">'2015'!$A$161</definedName>
    <definedName name="QB_ROW_660240" localSheetId="17" hidden="1">'BS 2016'!$E$179</definedName>
    <definedName name="QB_ROW_660240" localSheetId="12" hidden="1">'BS MARCH 31'!$E$187</definedName>
    <definedName name="QB_ROW_660240" localSheetId="3" hidden="1">'BS MARCH 31 (2)'!$E$187</definedName>
    <definedName name="QB_ROW_663210" localSheetId="16" hidden="1">'2015'!$A$131</definedName>
    <definedName name="QB_ROW_663250" localSheetId="17" hidden="1">'BS 2016'!$F$138</definedName>
    <definedName name="QB_ROW_663250" localSheetId="12" hidden="1">'BS MARCH 31'!$F$145</definedName>
    <definedName name="QB_ROW_663250" localSheetId="3" hidden="1">'BS MARCH 31 (2)'!$F$145</definedName>
    <definedName name="QB_ROW_664210" localSheetId="16" hidden="1">'2015'!$A$132</definedName>
    <definedName name="QB_ROW_664250" localSheetId="17" hidden="1">'BS 2016'!$F$139</definedName>
    <definedName name="QB_ROW_664250" localSheetId="12" hidden="1">'BS MARCH 31'!$F$146</definedName>
    <definedName name="QB_ROW_664250" localSheetId="3" hidden="1">'BS MARCH 31 (2)'!$F$146</definedName>
    <definedName name="QB_ROW_665210" localSheetId="16" hidden="1">'2015'!$A$212</definedName>
    <definedName name="QB_ROW_666210" localSheetId="16" hidden="1">'2015'!$A$213</definedName>
    <definedName name="QB_ROW_667210" localSheetId="16" hidden="1">'2015'!$A$200</definedName>
    <definedName name="QB_ROW_668210" localSheetId="16" hidden="1">'2015'!$A$12</definedName>
    <definedName name="QB_ROW_668240" localSheetId="17" hidden="1">'BS 2016'!$E$11</definedName>
    <definedName name="QB_ROW_669210" localSheetId="16" hidden="1">'2015'!$A$27</definedName>
    <definedName name="QB_ROW_669250" localSheetId="17" hidden="1">'BS 2016'!$F$27</definedName>
    <definedName name="QB_ROW_670210" localSheetId="16" hidden="1">'2015'!$A$28</definedName>
    <definedName name="QB_ROW_670250" localSheetId="17" hidden="1">'BS 2016'!$F$28</definedName>
    <definedName name="QB_ROW_671050" localSheetId="18" hidden="1">'IS 2016'!$F$12</definedName>
    <definedName name="QB_ROW_671350" localSheetId="18" hidden="1">'IS 2016'!$F$16</definedName>
    <definedName name="QB_ROW_672210" localSheetId="16" hidden="1">'2015'!$A$252</definedName>
    <definedName name="QB_ROW_672260" localSheetId="18" hidden="1">'IS 2016'!$G$13</definedName>
    <definedName name="QB_ROW_673210" localSheetId="16" hidden="1">'2015'!$A$254</definedName>
    <definedName name="QB_ROW_673260" localSheetId="18" hidden="1">'IS 2016'!$G$14</definedName>
    <definedName name="QB_ROW_674210" localSheetId="16" hidden="1">'2015'!$A$54</definedName>
    <definedName name="QB_ROW_675210" localSheetId="16" hidden="1">'2015'!$A$257</definedName>
    <definedName name="QB_ROW_676210" localSheetId="16" hidden="1">'2015'!$A$258</definedName>
    <definedName name="QB_ROW_677210" localSheetId="16" hidden="1">'2015'!$A$255</definedName>
    <definedName name="QB_ROW_678210" localSheetId="16" hidden="1">'2015'!$A$253</definedName>
    <definedName name="QB_ROW_679210" localSheetId="16" hidden="1">'2015'!$A$55</definedName>
    <definedName name="QB_ROW_680210" localSheetId="16" hidden="1">'2015'!$A$446</definedName>
    <definedName name="QB_ROW_681210" localSheetId="16" hidden="1">'2015'!$A$256</definedName>
    <definedName name="QB_ROW_685210" localSheetId="16" hidden="1">'2015'!$A$260</definedName>
    <definedName name="QB_ROW_686210" localSheetId="16" hidden="1">'2015'!$A$261</definedName>
    <definedName name="QB_ROW_686260" localSheetId="18" hidden="1">'IS 2016'!$G$15</definedName>
    <definedName name="QB_ROW_688210" localSheetId="16" hidden="1">'2015'!$A$432</definedName>
    <definedName name="QB_ROW_689210" localSheetId="16" hidden="1">'2015'!$A$259</definedName>
    <definedName name="QB_ROW_690210" localSheetId="16" hidden="1">'2015'!$A$380</definedName>
    <definedName name="QB_ROW_690270" localSheetId="18" hidden="1">'IS 2016'!$H$191</definedName>
    <definedName name="QB_ROW_690270" localSheetId="13" hidden="1">'PL JAN-MARCH 2018'!$H$128</definedName>
    <definedName name="QB_ROW_691210" localSheetId="16" hidden="1">'2015'!$A$162</definedName>
    <definedName name="QB_ROW_691240" localSheetId="17" hidden="1">'BS 2016'!$E$180</definedName>
    <definedName name="QB_ROW_691240" localSheetId="12" hidden="1">'BS MARCH 31'!$E$188</definedName>
    <definedName name="QB_ROW_691240" localSheetId="3" hidden="1">'BS MARCH 31 (2)'!$E$188</definedName>
    <definedName name="QB_ROW_692210" localSheetId="16" hidden="1">'2015'!$A$360</definedName>
    <definedName name="QB_ROW_692270" localSheetId="18" hidden="1">'IS 2016'!$H$165</definedName>
    <definedName name="QB_ROW_692270" localSheetId="13" hidden="1">'PL JAN-MARCH 2018'!$H$108</definedName>
    <definedName name="QB_ROW_696210" localSheetId="16" hidden="1">'2015'!$A$274</definedName>
    <definedName name="QB_ROW_696260" localSheetId="18" hidden="1">'IS 2016'!$G$36</definedName>
    <definedName name="QB_ROW_697210" localSheetId="16" hidden="1">'2015'!$A$275</definedName>
    <definedName name="QB_ROW_697260" localSheetId="18" hidden="1">'IS 2016'!$G$37</definedName>
    <definedName name="QB_ROW_698210" localSheetId="16" hidden="1">'2015'!$A$276</definedName>
    <definedName name="QB_ROW_698260" localSheetId="18" hidden="1">'IS 2016'!$G$38</definedName>
    <definedName name="QB_ROW_699210" localSheetId="16" hidden="1">'2015'!$A$277</definedName>
    <definedName name="QB_ROW_699260" localSheetId="18" hidden="1">'IS 2016'!$G$39</definedName>
    <definedName name="QB_ROW_7001" localSheetId="17" hidden="1">'BS 2016'!$A$203</definedName>
    <definedName name="QB_ROW_7001" localSheetId="12" hidden="1">'BS MARCH 31'!$A$214</definedName>
    <definedName name="QB_ROW_7001" localSheetId="3" hidden="1">'BS MARCH 31 (2)'!$A$214</definedName>
    <definedName name="QB_ROW_700210" localSheetId="16" hidden="1">'2015'!$A$278</definedName>
    <definedName name="QB_ROW_701210" localSheetId="16" hidden="1">'2015'!$A$279</definedName>
    <definedName name="QB_ROW_701260" localSheetId="18" hidden="1">'IS 2016'!$G$40</definedName>
    <definedName name="QB_ROW_703210" localSheetId="16" hidden="1">'2015'!$A$280</definedName>
    <definedName name="QB_ROW_703260" localSheetId="18" hidden="1">'IS 2016'!$G$41</definedName>
    <definedName name="QB_ROW_703260" localSheetId="13" hidden="1">'PL JAN-MARCH 2018'!$G$24</definedName>
    <definedName name="QB_ROW_704210" localSheetId="16" hidden="1">'2015'!$A$262</definedName>
    <definedName name="QB_ROW_706210" localSheetId="16" hidden="1">'2015'!$A$281</definedName>
    <definedName name="QB_ROW_706260" localSheetId="18" hidden="1">'IS 2016'!$G$42</definedName>
    <definedName name="QB_ROW_706260" localSheetId="13" hidden="1">'PL JAN-MARCH 2018'!$G$25</definedName>
    <definedName name="QB_ROW_707210" localSheetId="16" hidden="1">'2015'!$A$282</definedName>
    <definedName name="QB_ROW_707260" localSheetId="18" hidden="1">'IS 2016'!$G$43</definedName>
    <definedName name="QB_ROW_707260" localSheetId="13" hidden="1">'PL JAN-MARCH 2018'!$G$26</definedName>
    <definedName name="QB_ROW_708210" localSheetId="16" hidden="1">'2015'!$A$285</definedName>
    <definedName name="QB_ROW_708260" localSheetId="18" hidden="1">'IS 2016'!$G$48</definedName>
    <definedName name="QB_ROW_708260" localSheetId="13" hidden="1">'PL JAN-MARCH 2018'!$G$30</definedName>
    <definedName name="QB_ROW_709210" localSheetId="16" hidden="1">'2015'!$A$286</definedName>
    <definedName name="QB_ROW_709260" localSheetId="18" hidden="1">'IS 2016'!$G$49</definedName>
    <definedName name="QB_ROW_710210" localSheetId="16" hidden="1">'2015'!$A$105</definedName>
    <definedName name="QB_ROW_710250" localSheetId="17" hidden="1">'BS 2016'!$F$115</definedName>
    <definedName name="QB_ROW_710250" localSheetId="12" hidden="1">'BS MARCH 31'!$F$120</definedName>
    <definedName name="QB_ROW_710250" localSheetId="3" hidden="1">'BS MARCH 31 (2)'!$F$120</definedName>
    <definedName name="QB_ROW_712210" localSheetId="16" hidden="1">'2015'!$A$354</definedName>
    <definedName name="QB_ROW_712270" localSheetId="18" hidden="1">'IS 2016'!$H$159</definedName>
    <definedName name="QB_ROW_712270" localSheetId="13" hidden="1">'PL JAN-MARCH 2018'!$H$102</definedName>
    <definedName name="QB_ROW_713210" localSheetId="16" hidden="1">'2015'!$A$381</definedName>
    <definedName name="QB_ROW_713270" localSheetId="18" hidden="1">'IS 2016'!$H$192</definedName>
    <definedName name="QB_ROW_713270" localSheetId="13" hidden="1">'PL JAN-MARCH 2018'!$H$129</definedName>
    <definedName name="QB_ROW_715260" localSheetId="13" hidden="1">'PL JAN-MARCH 2018'!$G$17</definedName>
    <definedName name="QB_ROW_717210" localSheetId="16" hidden="1">'2015'!$A$56</definedName>
    <definedName name="QB_ROW_718210" localSheetId="16" hidden="1">'2015'!$A$41</definedName>
    <definedName name="QB_ROW_719210" localSheetId="16" hidden="1">'2015'!$A$402</definedName>
    <definedName name="QB_ROW_7210" localSheetId="16" hidden="1">'2015'!$A$507</definedName>
    <definedName name="QB_ROW_721210" localSheetId="16" hidden="1">'2015'!$A$74</definedName>
    <definedName name="QB_ROW_721250" localSheetId="17" hidden="1">'BS 2016'!$F$73</definedName>
    <definedName name="QB_ROW_721250" localSheetId="12" hidden="1">'BS MARCH 31'!$F$72</definedName>
    <definedName name="QB_ROW_721250" localSheetId="3" hidden="1">'BS MARCH 31 (2)'!$F$72</definedName>
    <definedName name="QB_ROW_723210" localSheetId="16" hidden="1">'2015'!$A$407</definedName>
    <definedName name="QB_ROW_724210" localSheetId="16" hidden="1">'2015'!$A$410</definedName>
    <definedName name="QB_ROW_726210" localSheetId="16" hidden="1">'2015'!$A$408</definedName>
    <definedName name="QB_ROW_727210" localSheetId="16" hidden="1">'2015'!$A$409</definedName>
    <definedName name="QB_ROW_728210" localSheetId="16" hidden="1">'2015'!$A$406</definedName>
    <definedName name="QB_ROW_729210" localSheetId="16" hidden="1">'2015'!$A$404</definedName>
    <definedName name="QB_ROW_7301" localSheetId="17" hidden="1">'BS 2016'!$A$275</definedName>
    <definedName name="QB_ROW_7301" localSheetId="12" hidden="1">'BS MARCH 31'!$A$302</definedName>
    <definedName name="QB_ROW_7301" localSheetId="3" hidden="1">'BS MARCH 31 (2)'!$A$302</definedName>
    <definedName name="QB_ROW_730210" localSheetId="16" hidden="1">'2015'!$A$416</definedName>
    <definedName name="QB_ROW_731210" localSheetId="16" hidden="1">'2015'!$A$417</definedName>
    <definedName name="QB_ROW_733210" localSheetId="16" hidden="1">'2015'!$A$415</definedName>
    <definedName name="QB_ROW_734210" localSheetId="16" hidden="1">'2015'!$A$13</definedName>
    <definedName name="QB_ROW_735210" localSheetId="16" hidden="1">'2015'!$A$413</definedName>
    <definedName name="QB_ROW_736210" localSheetId="16" hidden="1">'2015'!$A$403</definedName>
    <definedName name="QB_ROW_738210" localSheetId="16" hidden="1">'2015'!$A$418</definedName>
    <definedName name="QB_ROW_739210" localSheetId="16" hidden="1">'2015'!$A$411</definedName>
    <definedName name="QB_ROW_740050" localSheetId="18" hidden="1">'IS 2016'!$F$225</definedName>
    <definedName name="QB_ROW_740050" localSheetId="13" hidden="1">'PL JAN-MARCH 2018'!$F$160</definedName>
    <definedName name="QB_ROW_740210" localSheetId="16" hidden="1">'2015'!$A$419</definedName>
    <definedName name="QB_ROW_740350" localSheetId="18" hidden="1">'IS 2016'!$F$245</definedName>
    <definedName name="QB_ROW_740350" localSheetId="13" hidden="1">'PL JAN-MARCH 2018'!$F$178</definedName>
    <definedName name="QB_ROW_741060" localSheetId="18" hidden="1">'IS 2016'!$G$226</definedName>
    <definedName name="QB_ROW_741060" localSheetId="13" hidden="1">'PL JAN-MARCH 2018'!$G$161</definedName>
    <definedName name="QB_ROW_741360" localSheetId="18" hidden="1">'IS 2016'!$G$233</definedName>
    <definedName name="QB_ROW_741360" localSheetId="13" hidden="1">'PL JAN-MARCH 2018'!$G$168</definedName>
    <definedName name="QB_ROW_742070" localSheetId="18" hidden="1">'IS 2016'!$H$228</definedName>
    <definedName name="QB_ROW_742070" localSheetId="13" hidden="1">'PL JAN-MARCH 2018'!$H$163</definedName>
    <definedName name="QB_ROW_74210" localSheetId="16" hidden="1">'2015'!$A$459</definedName>
    <definedName name="QB_ROW_742210" localSheetId="16" hidden="1">'2015'!$A$421</definedName>
    <definedName name="QB_ROW_742280" localSheetId="18" hidden="1">'IS 2016'!$I$230</definedName>
    <definedName name="QB_ROW_742280" localSheetId="13" hidden="1">'PL JAN-MARCH 2018'!$I$165</definedName>
    <definedName name="QB_ROW_742370" localSheetId="18" hidden="1">'IS 2016'!$H$231</definedName>
    <definedName name="QB_ROW_742370" localSheetId="13" hidden="1">'PL JAN-MARCH 2018'!$H$166</definedName>
    <definedName name="QB_ROW_74270" localSheetId="18" hidden="1">'IS 2016'!$H$280</definedName>
    <definedName name="QB_ROW_74270" localSheetId="13" hidden="1">'PL JAN-MARCH 2018'!$H$193</definedName>
    <definedName name="QB_ROW_743060" localSheetId="18" hidden="1">'IS 2016'!$G$240</definedName>
    <definedName name="QB_ROW_743060" localSheetId="13" hidden="1">'PL JAN-MARCH 2018'!$G$174</definedName>
    <definedName name="QB_ROW_743360" localSheetId="18" hidden="1">'IS 2016'!$G$244</definedName>
    <definedName name="QB_ROW_743360" localSheetId="13" hidden="1">'PL JAN-MARCH 2018'!$G$177</definedName>
    <definedName name="QB_ROW_744210" localSheetId="16" hidden="1">'2015'!$A$428</definedName>
    <definedName name="QB_ROW_744270" localSheetId="18" hidden="1">'IS 2016'!$H$242</definedName>
    <definedName name="QB_ROW_744270" localSheetId="13" hidden="1">'PL JAN-MARCH 2018'!$H$175</definedName>
    <definedName name="QB_ROW_745210" localSheetId="16" hidden="1">'2015'!$A$499</definedName>
    <definedName name="QB_ROW_745270" localSheetId="18" hidden="1">'IS 2016'!$H$336</definedName>
    <definedName name="QB_ROW_746210" localSheetId="16" hidden="1">'2015'!$A$405</definedName>
    <definedName name="QB_ROW_747210" localSheetId="16" hidden="1">'2015'!$A$16</definedName>
    <definedName name="QB_ROW_747240" localSheetId="17" hidden="1">'BS 2016'!$E$14</definedName>
    <definedName name="QB_ROW_747240" localSheetId="12" hidden="1">'BS MARCH 31'!$E$12</definedName>
    <definedName name="QB_ROW_747240" localSheetId="3" hidden="1">'BS MARCH 31 (2)'!$E$12</definedName>
    <definedName name="QB_ROW_749210" localSheetId="16" hidden="1">'2015'!$A$164</definedName>
    <definedName name="QB_ROW_749240" localSheetId="17" hidden="1">'BS 2016'!$E$182</definedName>
    <definedName name="QB_ROW_749240" localSheetId="12" hidden="1">'BS MARCH 31'!$E$190</definedName>
    <definedName name="QB_ROW_749240" localSheetId="3" hidden="1">'BS MARCH 31 (2)'!$E$190</definedName>
    <definedName name="QB_ROW_750210" localSheetId="16" hidden="1">'2015'!$A$506</definedName>
    <definedName name="QB_ROW_750240" localSheetId="18" hidden="1">'IS 2016'!$E$355</definedName>
    <definedName name="QB_ROW_751210" localSheetId="16" hidden="1">'2015'!$A$17</definedName>
    <definedName name="QB_ROW_751240" localSheetId="17" hidden="1">'BS 2016'!$E$15</definedName>
    <definedName name="QB_ROW_751240" localSheetId="12" hidden="1">'BS MARCH 31'!$E$13</definedName>
    <definedName name="QB_ROW_751240" localSheetId="3" hidden="1">'BS MARCH 31 (2)'!$E$13</definedName>
    <definedName name="QB_ROW_752060" localSheetId="18" hidden="1">'IS 2016'!$G$234</definedName>
    <definedName name="QB_ROW_752060" localSheetId="13" hidden="1">'PL JAN-MARCH 2018'!$G$169</definedName>
    <definedName name="QB_ROW_752360" localSheetId="18" hidden="1">'IS 2016'!$G$239</definedName>
    <definedName name="QB_ROW_752360" localSheetId="13" hidden="1">'PL JAN-MARCH 2018'!$G$173</definedName>
    <definedName name="QB_ROW_753210" localSheetId="16" hidden="1">'2015'!$A$425</definedName>
    <definedName name="QB_ROW_753270" localSheetId="18" hidden="1">'IS 2016'!$H$235</definedName>
    <definedName name="QB_ROW_753270" localSheetId="13" hidden="1">'PL JAN-MARCH 2018'!$H$170</definedName>
    <definedName name="QB_ROW_754210" localSheetId="16" hidden="1">'2015'!$A$426</definedName>
    <definedName name="QB_ROW_754270" localSheetId="18" hidden="1">'IS 2016'!$H$236</definedName>
    <definedName name="QB_ROW_754270" localSheetId="13" hidden="1">'PL JAN-MARCH 2018'!$H$171</definedName>
    <definedName name="QB_ROW_755210" localSheetId="16" hidden="1">'2015'!$A$427</definedName>
    <definedName name="QB_ROW_755270" localSheetId="18" hidden="1">'IS 2016'!$H$237</definedName>
    <definedName name="QB_ROW_755270" localSheetId="13" hidden="1">'PL JAN-MARCH 2018'!$H$172</definedName>
    <definedName name="QB_ROW_756210" localSheetId="16" hidden="1">'2015'!$A$397</definedName>
    <definedName name="QB_ROW_757060" localSheetId="18" hidden="1">'IS 2016'!$G$212</definedName>
    <definedName name="QB_ROW_757060" localSheetId="13" hidden="1">'PL JAN-MARCH 2018'!$G$148</definedName>
    <definedName name="QB_ROW_757360" localSheetId="18" hidden="1">'IS 2016'!$G$218</definedName>
    <definedName name="QB_ROW_757360" localSheetId="13" hidden="1">'PL JAN-MARCH 2018'!$G$153</definedName>
    <definedName name="QB_ROW_758060" localSheetId="18" hidden="1">'IS 2016'!$G$219</definedName>
    <definedName name="QB_ROW_758060" localSheetId="13" hidden="1">'PL JAN-MARCH 2018'!$G$154</definedName>
    <definedName name="QB_ROW_758360" localSheetId="18" hidden="1">'IS 2016'!$G$223</definedName>
    <definedName name="QB_ROW_758360" localSheetId="13" hidden="1">'PL JAN-MARCH 2018'!$G$158</definedName>
    <definedName name="QB_ROW_763210" localSheetId="16" hidden="1">'2015'!$A$394</definedName>
    <definedName name="QB_ROW_763270" localSheetId="18" hidden="1">'IS 2016'!$H$215</definedName>
    <definedName name="QB_ROW_764210" localSheetId="16" hidden="1">'2015'!$A$395</definedName>
    <definedName name="QB_ROW_764270" localSheetId="18" hidden="1">'IS 2016'!$H$216</definedName>
    <definedName name="QB_ROW_764270" localSheetId="13" hidden="1">'PL JAN-MARCH 2018'!$H$151</definedName>
    <definedName name="QB_ROW_765210" localSheetId="16" hidden="1">'2015'!$A$412</definedName>
    <definedName name="QB_ROW_766210" localSheetId="16" hidden="1">'2015'!$A$424</definedName>
    <definedName name="QB_ROW_766270" localSheetId="18" hidden="1">'IS 2016'!$H$232</definedName>
    <definedName name="QB_ROW_766270" localSheetId="13" hidden="1">'PL JAN-MARCH 2018'!$H$167</definedName>
    <definedName name="QB_ROW_767210" localSheetId="16" hidden="1">'2015'!$A$429</definedName>
    <definedName name="QB_ROW_767270" localSheetId="18" hidden="1">'IS 2016'!$H$243</definedName>
    <definedName name="QB_ROW_767270" localSheetId="13" hidden="1">'PL JAN-MARCH 2018'!$H$176</definedName>
    <definedName name="QB_ROW_768210" localSheetId="16" hidden="1">'2015'!$A$77</definedName>
    <definedName name="QB_ROW_768240" localSheetId="17" hidden="1">'BS 2016'!$E$78</definedName>
    <definedName name="QB_ROW_768240" localSheetId="12" hidden="1">'BS MARCH 31'!$E$77</definedName>
    <definedName name="QB_ROW_768240" localSheetId="3" hidden="1">'BS MARCH 31 (2)'!$E$77</definedName>
    <definedName name="QB_ROW_769210" localSheetId="16" hidden="1">'2015'!$A$110</definedName>
    <definedName name="QB_ROW_769250" localSheetId="17" hidden="1">'BS 2016'!$F$120</definedName>
    <definedName name="QB_ROW_769250" localSheetId="12" hidden="1">'BS MARCH 31'!$F$125</definedName>
    <definedName name="QB_ROW_769250" localSheetId="3" hidden="1">'BS MARCH 31 (2)'!$F$125</definedName>
    <definedName name="QB_ROW_770210" localSheetId="16" hidden="1">'2015'!$A$194</definedName>
    <definedName name="QB_ROW_770240" localSheetId="17" hidden="1">'BS 2016'!$E$261</definedName>
    <definedName name="QB_ROW_770240" localSheetId="12" hidden="1">'BS MARCH 31'!$E$280</definedName>
    <definedName name="QB_ROW_770240" localSheetId="3" hidden="1">'BS MARCH 31 (2)'!$E$280</definedName>
    <definedName name="QB_ROW_771210" localSheetId="16" hidden="1">'2015'!$A$236</definedName>
    <definedName name="QB_ROW_771240" localSheetId="17" hidden="1">'BS 2016'!$E$244</definedName>
    <definedName name="QB_ROW_771240" localSheetId="12" hidden="1">'BS MARCH 31'!$E$259</definedName>
    <definedName name="QB_ROW_771240" localSheetId="3" hidden="1">'BS MARCH 31 (2)'!$E$259</definedName>
    <definedName name="QB_ROW_772210" localSheetId="16" hidden="1">'2015'!$A$106</definedName>
    <definedName name="QB_ROW_772250" localSheetId="17" hidden="1">'BS 2016'!$F$116</definedName>
    <definedName name="QB_ROW_772250" localSheetId="12" hidden="1">'BS MARCH 31'!$F$121</definedName>
    <definedName name="QB_ROW_772250" localSheetId="3" hidden="1">'BS MARCH 31 (2)'!$F$121</definedName>
    <definedName name="QB_ROW_773210" localSheetId="16" hidden="1">'2015'!$A$38</definedName>
    <definedName name="QB_ROW_773250" localSheetId="17" hidden="1">'BS 2016'!$F$33</definedName>
    <definedName name="QB_ROW_774210" localSheetId="16" hidden="1">'2015'!$A$471</definedName>
    <definedName name="QB_ROW_774270" localSheetId="18" hidden="1">'IS 2016'!$H$291</definedName>
    <definedName name="QB_ROW_774270" localSheetId="13" hidden="1">'PL JAN-MARCH 2018'!$H$205</definedName>
    <definedName name="QB_ROW_776210" localSheetId="16" hidden="1">'2015'!$A$423</definedName>
    <definedName name="QB_ROW_777210" localSheetId="16" hidden="1">'2015'!$A$422</definedName>
    <definedName name="QB_ROW_777280" localSheetId="18" hidden="1">'IS 2016'!$I$229</definedName>
    <definedName name="QB_ROW_777280" localSheetId="13" hidden="1">'PL JAN-MARCH 2018'!$I$164</definedName>
    <definedName name="QB_ROW_778210" localSheetId="16" hidden="1">'2015'!$A$234</definedName>
    <definedName name="QB_ROW_778250" localSheetId="17" hidden="1">'BS 2016'!$F$242</definedName>
    <definedName name="QB_ROW_778250" localSheetId="12" hidden="1">'BS MARCH 31'!$F$256</definedName>
    <definedName name="QB_ROW_778250" localSheetId="3" hidden="1">'BS MARCH 31 (2)'!$F$256</definedName>
    <definedName name="QB_ROW_779210" localSheetId="16" hidden="1">'2015'!$A$375</definedName>
    <definedName name="QB_ROW_779270" localSheetId="18" hidden="1">'IS 2016'!$H$186</definedName>
    <definedName name="QB_ROW_783260" localSheetId="18" hidden="1">'IS 2016'!$G$25</definedName>
    <definedName name="QB_ROW_784210" localSheetId="16" hidden="1">'2015'!$A$62</definedName>
    <definedName name="QB_ROW_784240" localSheetId="17" hidden="1">'BS 2016'!$E$58</definedName>
    <definedName name="QB_ROW_784240" localSheetId="12" hidden="1">'BS MARCH 31'!$E$56</definedName>
    <definedName name="QB_ROW_784240" localSheetId="3" hidden="1">'BS MARCH 31 (2)'!$E$56</definedName>
    <definedName name="QB_ROW_785210" localSheetId="16" hidden="1">'2015'!$A$18</definedName>
    <definedName name="QB_ROW_785240" localSheetId="17" hidden="1">'BS 2016'!$E$16</definedName>
    <definedName name="QB_ROW_785240" localSheetId="12" hidden="1">'BS MARCH 31'!$E$14</definedName>
    <definedName name="QB_ROW_785240" localSheetId="3" hidden="1">'BS MARCH 31 (2)'!$E$14</definedName>
    <definedName name="QB_ROW_786210" localSheetId="16" hidden="1">'2015'!$A$420</definedName>
    <definedName name="QB_ROW_786270" localSheetId="18" hidden="1">'IS 2016'!$H$227</definedName>
    <definedName name="QB_ROW_786270" localSheetId="13" hidden="1">'PL JAN-MARCH 2018'!$H$162</definedName>
    <definedName name="QB_ROW_787210" localSheetId="16" hidden="1">'2015'!$A$396</definedName>
    <definedName name="QB_ROW_787270" localSheetId="18" hidden="1">'IS 2016'!$H$217</definedName>
    <definedName name="QB_ROW_787270" localSheetId="13" hidden="1">'PL JAN-MARCH 2018'!$H$152</definedName>
    <definedName name="QB_ROW_788210" localSheetId="16" hidden="1">'2015'!$A$272</definedName>
    <definedName name="QB_ROW_788260" localSheetId="18" hidden="1">'IS 2016'!$G$34</definedName>
    <definedName name="QB_ROW_788260" localSheetId="13" hidden="1">'PL JAN-MARCH 2018'!$G$23</definedName>
    <definedName name="QB_ROW_789210" localSheetId="16" hidden="1">'2015'!$A$229</definedName>
    <definedName name="QB_ROW_790210" localSheetId="16" hidden="1">'2015'!$A$163</definedName>
    <definedName name="QB_ROW_790240" localSheetId="17" hidden="1">'BS 2016'!$E$181</definedName>
    <definedName name="QB_ROW_790240" localSheetId="12" hidden="1">'BS MARCH 31'!$E$189</definedName>
    <definedName name="QB_ROW_790240" localSheetId="3" hidden="1">'BS MARCH 31 (2)'!$E$189</definedName>
    <definedName name="QB_ROW_791210" localSheetId="16" hidden="1">'2015'!$A$101</definedName>
    <definedName name="QB_ROW_791250" localSheetId="17" hidden="1">'BS 2016'!$F$111</definedName>
    <definedName name="QB_ROW_791250" localSheetId="12" hidden="1">'BS MARCH 31'!$F$116</definedName>
    <definedName name="QB_ROW_791250" localSheetId="3" hidden="1">'BS MARCH 31 (2)'!$F$116</definedName>
    <definedName name="QB_ROW_792050" localSheetId="18" hidden="1">'IS 2016'!$F$252</definedName>
    <definedName name="QB_ROW_792350" localSheetId="18" hidden="1">'IS 2016'!$F$254</definedName>
    <definedName name="QB_ROW_793210" localSheetId="16" hidden="1">'2015'!$A$435</definedName>
    <definedName name="QB_ROW_793260" localSheetId="18" hidden="1">'IS 2016'!$G$253</definedName>
    <definedName name="QB_ROW_794210" localSheetId="16" hidden="1">'2015'!$A$20</definedName>
    <definedName name="QB_ROW_794240" localSheetId="17" hidden="1">'BS 2016'!$E$18</definedName>
    <definedName name="QB_ROW_794240" localSheetId="12" hidden="1">'BS MARCH 31'!$E$16</definedName>
    <definedName name="QB_ROW_794240" localSheetId="3" hidden="1">'BS MARCH 31 (2)'!$E$16</definedName>
    <definedName name="QB_ROW_795210" localSheetId="16" hidden="1">'2015'!$A$181</definedName>
    <definedName name="QB_ROW_795240" localSheetId="17" hidden="1">'BS 2016'!$E$251</definedName>
    <definedName name="QB_ROW_795240" localSheetId="12" hidden="1">'BS MARCH 31'!$E$268</definedName>
    <definedName name="QB_ROW_795240" localSheetId="3" hidden="1">'BS MARCH 31 (2)'!$E$268</definedName>
    <definedName name="QB_ROW_796210" localSheetId="16" hidden="1">'2015'!$A$184</definedName>
    <definedName name="QB_ROW_796240" localSheetId="17" hidden="1">'BS 2016'!$E$252</definedName>
    <definedName name="QB_ROW_796240" localSheetId="12" hidden="1">'BS MARCH 31'!$E$269</definedName>
    <definedName name="QB_ROW_796240" localSheetId="3" hidden="1">'BS MARCH 31 (2)'!$E$269</definedName>
    <definedName name="QB_ROW_797210" localSheetId="16" hidden="1">'2015'!$A$414</definedName>
    <definedName name="QB_ROW_798210" localSheetId="16" hidden="1">'2015'!$A$230</definedName>
    <definedName name="QB_ROW_798260" localSheetId="17" hidden="1">'BS 2016'!$G$236</definedName>
    <definedName name="QB_ROW_798260" localSheetId="12" hidden="1">'BS MARCH 31'!$G$250</definedName>
    <definedName name="QB_ROW_798260" localSheetId="3" hidden="1">'BS MARCH 31 (2)'!$G$250</definedName>
    <definedName name="QB_ROW_800250" localSheetId="18" hidden="1">'IS 2016'!$F$8</definedName>
    <definedName name="QB_ROW_8011" localSheetId="17" hidden="1">'BS 2016'!$B$204</definedName>
    <definedName name="QB_ROW_8011" localSheetId="12" hidden="1">'BS MARCH 31'!$B$215</definedName>
    <definedName name="QB_ROW_8011" localSheetId="3" hidden="1">'BS MARCH 31 (2)'!$B$215</definedName>
    <definedName name="QB_ROW_801210" localSheetId="16" hidden="1">'2015'!$A$187</definedName>
    <definedName name="QB_ROW_802210" localSheetId="16" hidden="1">'2015'!$A$21</definedName>
    <definedName name="QB_ROW_802240" localSheetId="17" hidden="1">'BS 2016'!$E$19</definedName>
    <definedName name="QB_ROW_802240" localSheetId="12" hidden="1">'BS MARCH 31'!$E$17</definedName>
    <definedName name="QB_ROW_802240" localSheetId="3" hidden="1">'BS MARCH 31 (2)'!$E$17</definedName>
    <definedName name="QB_ROW_803210" localSheetId="16" hidden="1">'2015'!$A$29</definedName>
    <definedName name="QB_ROW_804210" localSheetId="16" hidden="1">'2015'!$A$73</definedName>
    <definedName name="QB_ROW_804260" localSheetId="17" hidden="1">'BS 2016'!$G$70</definedName>
    <definedName name="QB_ROW_804260" localSheetId="12" hidden="1">'BS MARCH 31'!$G$69</definedName>
    <definedName name="QB_ROW_804260" localSheetId="3" hidden="1">'BS MARCH 31 (2)'!$G$69</definedName>
    <definedName name="QB_ROW_806210" localSheetId="16" hidden="1">'2015'!$A$436</definedName>
    <definedName name="QB_ROW_807210" localSheetId="16" hidden="1">'2015'!$A$30</definedName>
    <definedName name="QB_ROW_807250" localSheetId="17" hidden="1">'BS 2016'!$F$29</definedName>
    <definedName name="QB_ROW_807250" localSheetId="12" hidden="1">'BS MARCH 31'!$F$24</definedName>
    <definedName name="QB_ROW_807250" localSheetId="3" hidden="1">'BS MARCH 31 (2)'!$F$24</definedName>
    <definedName name="QB_ROW_808210" localSheetId="16" hidden="1">'2015'!$A$231</definedName>
    <definedName name="QB_ROW_808260" localSheetId="17" hidden="1">'BS 2016'!$G$237</definedName>
    <definedName name="QB_ROW_808260" localSheetId="12" hidden="1">'BS MARCH 31'!$G$251</definedName>
    <definedName name="QB_ROW_808260" localSheetId="3" hidden="1">'BS MARCH 31 (2)'!$G$251</definedName>
    <definedName name="QB_ROW_809070" localSheetId="18" hidden="1">'IS 2016'!$H$310</definedName>
    <definedName name="QB_ROW_809070" localSheetId="13" hidden="1">'PL JAN-MARCH 2018'!$H$222</definedName>
    <definedName name="QB_ROW_809210" localSheetId="16" hidden="1">'2015'!$A$484</definedName>
    <definedName name="QB_ROW_809280" localSheetId="18" hidden="1">'IS 2016'!$I$316</definedName>
    <definedName name="QB_ROW_809280" localSheetId="13" hidden="1">'PL JAN-MARCH 2018'!$I$227</definedName>
    <definedName name="QB_ROW_809370" localSheetId="18" hidden="1">'IS 2016'!$H$317</definedName>
    <definedName name="QB_ROW_809370" localSheetId="13" hidden="1">'PL JAN-MARCH 2018'!$H$228</definedName>
    <definedName name="QB_ROW_810210" localSheetId="16" hidden="1">'2015'!$A$485</definedName>
    <definedName name="QB_ROW_810280" localSheetId="18" hidden="1">'IS 2016'!$I$311</definedName>
    <definedName name="QB_ROW_810280" localSheetId="13" hidden="1">'PL JAN-MARCH 2018'!$I$223</definedName>
    <definedName name="QB_ROW_811210" localSheetId="16" hidden="1">'2015'!$A$486</definedName>
    <definedName name="QB_ROW_811280" localSheetId="18" hidden="1">'IS 2016'!$I$312</definedName>
    <definedName name="QB_ROW_811280" localSheetId="13" hidden="1">'PL JAN-MARCH 2018'!$I$224</definedName>
    <definedName name="QB_ROW_812210" localSheetId="16" hidden="1">'2015'!$A$487</definedName>
    <definedName name="QB_ROW_812280" localSheetId="18" hidden="1">'IS 2016'!$I$313</definedName>
    <definedName name="QB_ROW_813210" localSheetId="16" hidden="1">'2015'!$A$179</definedName>
    <definedName name="QB_ROW_813260" localSheetId="17" hidden="1">'BS 2016'!$G$233</definedName>
    <definedName name="QB_ROW_813260" localSheetId="12" hidden="1">'BS MARCH 31'!$G$244</definedName>
    <definedName name="QB_ROW_813260" localSheetId="3" hidden="1">'BS MARCH 31 (2)'!$G$244</definedName>
    <definedName name="QB_ROW_814210" localSheetId="16" hidden="1">'2015'!$A$107</definedName>
    <definedName name="QB_ROW_814250" localSheetId="17" hidden="1">'BS 2016'!$F$117</definedName>
    <definedName name="QB_ROW_814250" localSheetId="12" hidden="1">'BS MARCH 31'!$F$122</definedName>
    <definedName name="QB_ROW_814250" localSheetId="3" hidden="1">'BS MARCH 31 (2)'!$F$122</definedName>
    <definedName name="QB_ROW_815210" localSheetId="16" hidden="1">'2015'!$A$438</definedName>
    <definedName name="QB_ROW_816210" localSheetId="16" hidden="1">'2015'!$A$439</definedName>
    <definedName name="QB_ROW_817210" localSheetId="16" hidden="1">'2015'!$A$440</definedName>
    <definedName name="QB_ROW_819210" localSheetId="16" hidden="1">'2015'!$A$437</definedName>
    <definedName name="QB_ROW_821210" localSheetId="16" hidden="1">'2015'!$A$99</definedName>
    <definedName name="QB_ROW_822050" localSheetId="18" hidden="1">'IS 2016'!$F$68</definedName>
    <definedName name="QB_ROW_822210" localSheetId="16" hidden="1">'2015'!$A$298</definedName>
    <definedName name="QB_ROW_822260" localSheetId="18" hidden="1">'IS 2016'!$G$76</definedName>
    <definedName name="QB_ROW_822350" localSheetId="18" hidden="1">'IS 2016'!$F$77</definedName>
    <definedName name="QB_ROW_825210" localSheetId="16" hidden="1">'2015'!$A$299</definedName>
    <definedName name="QB_ROW_825260" localSheetId="18" hidden="1">'IS 2016'!$G$69</definedName>
    <definedName name="QB_ROW_826260" localSheetId="18" hidden="1">'IS 2016'!$G$70</definedName>
    <definedName name="QB_ROW_827210" localSheetId="16" hidden="1">'2015'!$A$300</definedName>
    <definedName name="QB_ROW_827260" localSheetId="18" hidden="1">'IS 2016'!$G$71</definedName>
    <definedName name="QB_ROW_828210" localSheetId="16" hidden="1">'2015'!$A$289</definedName>
    <definedName name="QB_ROW_828260" localSheetId="18" hidden="1">'IS 2016'!$G$52</definedName>
    <definedName name="QB_ROW_829210" localSheetId="16" hidden="1">'2015'!$A$472</definedName>
    <definedName name="QB_ROW_829270" localSheetId="18" hidden="1">'IS 2016'!$H$292</definedName>
    <definedName name="QB_ROW_829270" localSheetId="13" hidden="1">'PL JAN-MARCH 2018'!$H$206</definedName>
    <definedName name="QB_ROW_830210" localSheetId="16" hidden="1">'2015'!$A$335</definedName>
    <definedName name="QB_ROW_830270" localSheetId="18" hidden="1">'IS 2016'!$H$129</definedName>
    <definedName name="QB_ROW_8311" localSheetId="17" hidden="1">'BS 2016'!$B$264</definedName>
    <definedName name="QB_ROW_8311" localSheetId="12" hidden="1">'BS MARCH 31'!$B$293</definedName>
    <definedName name="QB_ROW_8311" localSheetId="3" hidden="1">'BS MARCH 31 (2)'!$B$293</definedName>
    <definedName name="QB_ROW_831210" localSheetId="16" hidden="1">'2015'!$A$462</definedName>
    <definedName name="QB_ROW_83210" localSheetId="16" hidden="1">'2015'!$A$50</definedName>
    <definedName name="QB_ROW_832210" localSheetId="16" hidden="1">'2015'!$A$69</definedName>
    <definedName name="QB_ROW_832260" localSheetId="17" hidden="1">'BS 2016'!$G$64</definedName>
    <definedName name="QB_ROW_832260" localSheetId="12" hidden="1">'BS MARCH 31'!$G$62</definedName>
    <definedName name="QB_ROW_832260" localSheetId="3" hidden="1">'BS MARCH 31 (2)'!$G$62</definedName>
    <definedName name="QB_ROW_83230" localSheetId="17" hidden="1">'BS 2016'!$D$49</definedName>
    <definedName name="QB_ROW_83230" localSheetId="12" hidden="1">'BS MARCH 31'!$D$45</definedName>
    <definedName name="QB_ROW_83230" localSheetId="3" hidden="1">'BS MARCH 31 (2)'!$D$45</definedName>
    <definedName name="QB_ROW_833210" localSheetId="16" hidden="1">'2015'!$A$96</definedName>
    <definedName name="QB_ROW_833240" localSheetId="17" hidden="1">'BS 2016'!$E$100</definedName>
    <definedName name="QB_ROW_833240" localSheetId="12" hidden="1">'BS MARCH 31'!$E$102</definedName>
    <definedName name="QB_ROW_833240" localSheetId="3" hidden="1">'BS MARCH 31 (2)'!$E$102</definedName>
    <definedName name="QB_ROW_834210" localSheetId="16" hidden="1">'2015'!$A$70</definedName>
    <definedName name="QB_ROW_834260" localSheetId="17" hidden="1">'BS 2016'!$G$65</definedName>
    <definedName name="QB_ROW_834260" localSheetId="12" hidden="1">'BS MARCH 31'!$G$63</definedName>
    <definedName name="QB_ROW_834260" localSheetId="3" hidden="1">'BS MARCH 31 (2)'!$G$63</definedName>
    <definedName name="QB_ROW_835210" localSheetId="16" hidden="1">'2015'!$A$237</definedName>
    <definedName name="QB_ROW_835240" localSheetId="17" hidden="1">'BS 2016'!$E$245</definedName>
    <definedName name="QB_ROW_835240" localSheetId="12" hidden="1">'BS MARCH 31'!$E$262</definedName>
    <definedName name="QB_ROW_835240" localSheetId="3" hidden="1">'BS MARCH 31 (2)'!$E$262</definedName>
    <definedName name="QB_ROW_836210" localSheetId="16" hidden="1">'2015'!$A$22</definedName>
    <definedName name="QB_ROW_836240" localSheetId="17" hidden="1">'BS 2016'!$E$20</definedName>
    <definedName name="QB_ROW_836240" localSheetId="12" hidden="1">'BS MARCH 31'!$E$18</definedName>
    <definedName name="QB_ROW_836240" localSheetId="3" hidden="1">'BS MARCH 31 (2)'!$E$18</definedName>
    <definedName name="QB_ROW_837210" localSheetId="16" hidden="1">'2015'!$A$238</definedName>
    <definedName name="QB_ROW_837240" localSheetId="17" hidden="1">'BS 2016'!$E$246</definedName>
    <definedName name="QB_ROW_837240" localSheetId="12" hidden="1">'BS MARCH 31'!$E$263</definedName>
    <definedName name="QB_ROW_837240" localSheetId="3" hidden="1">'BS MARCH 31 (2)'!$E$263</definedName>
    <definedName name="QB_ROW_839210" localSheetId="16" hidden="1">'2015'!$A$39</definedName>
    <definedName name="QB_ROW_839250" localSheetId="17" hidden="1">'BS 2016'!$F$34</definedName>
    <definedName name="QB_ROW_841210" localSheetId="16" hidden="1">'2015'!$A$326</definedName>
    <definedName name="QB_ROW_841270" localSheetId="18" hidden="1">'IS 2016'!$H$119</definedName>
    <definedName name="QB_ROW_841270" localSheetId="13" hidden="1">'PL JAN-MARCH 2018'!$H$73</definedName>
    <definedName name="QB_ROW_84210" localSheetId="16" hidden="1">'2015'!$A$222</definedName>
    <definedName name="QB_ROW_842210" localSheetId="16" hidden="1">'2015'!$A$68</definedName>
    <definedName name="QB_ROW_842260" localSheetId="17" hidden="1">'BS 2016'!$G$63</definedName>
    <definedName name="QB_ROW_842260" localSheetId="12" hidden="1">'BS MARCH 31'!$G$61</definedName>
    <definedName name="QB_ROW_842260" localSheetId="3" hidden="1">'BS MARCH 31 (2)'!$G$61</definedName>
    <definedName name="QB_ROW_843210" localSheetId="16" hidden="1">'2015'!$A$461</definedName>
    <definedName name="QB_ROW_843270" localSheetId="13" hidden="1">'PL JAN-MARCH 2018'!$H$195</definedName>
    <definedName name="QB_ROW_844210" localSheetId="16" hidden="1">'2015'!$A$367</definedName>
    <definedName name="QB_ROW_845210" localSheetId="16" hidden="1">'2015'!$A$358</definedName>
    <definedName name="QB_ROW_845270" localSheetId="18" hidden="1">'IS 2016'!$H$163</definedName>
    <definedName name="QB_ROW_845270" localSheetId="13" hidden="1">'PL JAN-MARCH 2018'!$H$106</definedName>
    <definedName name="QB_ROW_846210" localSheetId="16" hidden="1">'2015'!$A$366</definedName>
    <definedName name="QB_ROW_846270" localSheetId="18" hidden="1">'IS 2016'!$H$171</definedName>
    <definedName name="QB_ROW_846270" localSheetId="13" hidden="1">'PL JAN-MARCH 2018'!$H$113</definedName>
    <definedName name="QB_ROW_847210" localSheetId="16" hidden="1">'2015'!$A$362</definedName>
    <definedName name="QB_ROW_847270" localSheetId="18" hidden="1">'IS 2016'!$H$167</definedName>
    <definedName name="QB_ROW_847270" localSheetId="13" hidden="1">'PL JAN-MARCH 2018'!$H$110</definedName>
    <definedName name="QB_ROW_848210" localSheetId="16" hidden="1">'2015'!$A$165</definedName>
    <definedName name="QB_ROW_848240" localSheetId="17" hidden="1">'BS 2016'!$E$183</definedName>
    <definedName name="QB_ROW_848240" localSheetId="12" hidden="1">'BS MARCH 31'!$E$191</definedName>
    <definedName name="QB_ROW_848240" localSheetId="3" hidden="1">'BS MARCH 31 (2)'!$E$191</definedName>
    <definedName name="QB_ROW_849210" localSheetId="16" hidden="1">'2015'!$A$364</definedName>
    <definedName name="QB_ROW_849270" localSheetId="18" hidden="1">'IS 2016'!$H$169</definedName>
    <definedName name="QB_ROW_850210" localSheetId="16" hidden="1">'2015'!$A$321</definedName>
    <definedName name="QB_ROW_851210" localSheetId="16" hidden="1">'2015'!$A$97</definedName>
    <definedName name="QB_ROW_851240" localSheetId="17" hidden="1">'BS 2016'!$E$101</definedName>
    <definedName name="QB_ROW_851240" localSheetId="12" hidden="1">'BS MARCH 31'!$E$103</definedName>
    <definedName name="QB_ROW_851240" localSheetId="3" hidden="1">'BS MARCH 31 (2)'!$E$103</definedName>
    <definedName name="QB_ROW_855210" localSheetId="16" hidden="1">'2015'!$A$463</definedName>
    <definedName name="QB_ROW_855270" localSheetId="18" hidden="1">'IS 2016'!$H$282</definedName>
    <definedName name="QB_ROW_855270" localSheetId="13" hidden="1">'PL JAN-MARCH 2018'!$H$196</definedName>
    <definedName name="QB_ROW_856210" localSheetId="16" hidden="1">'2015'!$A$190</definedName>
    <definedName name="QB_ROW_856240" localSheetId="17" hidden="1">'BS 2016'!$E$254</definedName>
    <definedName name="QB_ROW_856240" localSheetId="12" hidden="1">'BS MARCH 31'!$E$271</definedName>
    <definedName name="QB_ROW_856240" localSheetId="3" hidden="1">'BS MARCH 31 (2)'!$E$271</definedName>
    <definedName name="QB_ROW_857210" localSheetId="16" hidden="1">'2015'!$A$31</definedName>
    <definedName name="QB_ROW_857250" localSheetId="17" hidden="1">'BS 2016'!$F$30</definedName>
    <definedName name="QB_ROW_857250" localSheetId="12" hidden="1">'BS MARCH 31'!$F$25</definedName>
    <definedName name="QB_ROW_857250" localSheetId="3" hidden="1">'BS MARCH 31 (2)'!$F$25</definedName>
    <definedName name="QB_ROW_858210" localSheetId="16" hidden="1">'2015'!$A$40</definedName>
    <definedName name="QB_ROW_858250" localSheetId="17" hidden="1">'BS 2016'!$F$35</definedName>
    <definedName name="QB_ROW_861210" localSheetId="16" hidden="1">'2015'!$A$447</definedName>
    <definedName name="QB_ROW_861270" localSheetId="18" hidden="1">'IS 2016'!$H$262</definedName>
    <definedName name="QB_ROW_862210" localSheetId="16" hidden="1">'2015'!$A$445</definedName>
    <definedName name="QB_ROW_86321" localSheetId="18" hidden="1">'IS 2016'!$C$81</definedName>
    <definedName name="QB_ROW_86321" localSheetId="13" hidden="1">'PL JAN-MARCH 2018'!$C$45</definedName>
    <definedName name="QB_ROW_863210" localSheetId="16" hidden="1">'2015'!$A$226</definedName>
    <definedName name="QB_ROW_863250" localSheetId="12" hidden="1">'BS MARCH 31'!$F$240</definedName>
    <definedName name="QB_ROW_863250" localSheetId="3" hidden="1">'BS MARCH 31 (2)'!$F$240</definedName>
    <definedName name="QB_ROW_864210" localSheetId="16" hidden="1">'2015'!$A$227</definedName>
    <definedName name="QB_ROW_864250" localSheetId="17" hidden="1">'BS 2016'!$F$230</definedName>
    <definedName name="QB_ROW_864250" localSheetId="12" hidden="1">'BS MARCH 31'!$F$241</definedName>
    <definedName name="QB_ROW_864250" localSheetId="3" hidden="1">'BS MARCH 31 (2)'!$F$241</definedName>
    <definedName name="QB_ROW_866210" localSheetId="16" hidden="1">'2015'!$A$14</definedName>
    <definedName name="QB_ROW_866240" localSheetId="17" hidden="1">'BS 2016'!$E$12</definedName>
    <definedName name="QB_ROW_869210" localSheetId="16" hidden="1">'2015'!$A$48</definedName>
    <definedName name="QB_ROW_869250" localSheetId="17" hidden="1">'BS 2016'!$F$42</definedName>
    <definedName name="QB_ROW_87031" localSheetId="18" hidden="1">'IS 2016'!$D$20</definedName>
    <definedName name="QB_ROW_87031" localSheetId="13" hidden="1">'PL JAN-MARCH 2018'!$D$12</definedName>
    <definedName name="QB_ROW_871210" localSheetId="16" hidden="1">'2015'!$A$201</definedName>
    <definedName name="QB_ROW_871260" localSheetId="12" hidden="1">'BS MARCH 31'!$G$245</definedName>
    <definedName name="QB_ROW_871260" localSheetId="3" hidden="1">'BS MARCH 31 (2)'!$G$245</definedName>
    <definedName name="QB_ROW_873210" localSheetId="16" hidden="1">'2015'!$A$202</definedName>
    <definedName name="QB_ROW_87331" localSheetId="18" hidden="1">'IS 2016'!$D$80</definedName>
    <definedName name="QB_ROW_87331" localSheetId="13" hidden="1">'PL JAN-MARCH 2018'!$D$44</definedName>
    <definedName name="QB_ROW_874210" localSheetId="16" hidden="1">'2015'!$A$15</definedName>
    <definedName name="QB_ROW_874240" localSheetId="17" hidden="1">'BS 2016'!$E$13</definedName>
    <definedName name="QB_ROW_874240" localSheetId="12" hidden="1">'BS MARCH 31'!$E$11</definedName>
    <definedName name="QB_ROW_874240" localSheetId="3" hidden="1">'BS MARCH 31 (2)'!$E$11</definedName>
    <definedName name="QB_ROW_875210" localSheetId="16" hidden="1">'2015'!$A$19</definedName>
    <definedName name="QB_ROW_875240" localSheetId="17" hidden="1">'BS 2016'!$E$17</definedName>
    <definedName name="QB_ROW_875240" localSheetId="12" hidden="1">'BS MARCH 31'!$E$15</definedName>
    <definedName name="QB_ROW_875240" localSheetId="3" hidden="1">'BS MARCH 31 (2)'!$E$15</definedName>
    <definedName name="QB_ROW_876210" localSheetId="16" hidden="1">'2015'!$A$477</definedName>
    <definedName name="QB_ROW_876270" localSheetId="18" hidden="1">'IS 2016'!$H$300</definedName>
    <definedName name="QB_ROW_876270" localSheetId="13" hidden="1">'PL JAN-MARCH 2018'!$H$213</definedName>
    <definedName name="QB_ROW_877210" localSheetId="16" hidden="1">'2015'!$A$84</definedName>
    <definedName name="QB_ROW_877250" localSheetId="17" hidden="1">'BS 2016'!$F$85</definedName>
    <definedName name="QB_ROW_877250" localSheetId="12" hidden="1">'BS MARCH 31'!$F$84</definedName>
    <definedName name="QB_ROW_877250" localSheetId="3" hidden="1">'BS MARCH 31 (2)'!$F$84</definedName>
    <definedName name="QB_ROW_878210" localSheetId="16" hidden="1">'2015'!$A$196</definedName>
    <definedName name="QB_ROW_880210" localSheetId="16" hidden="1">'2015'!$A$171</definedName>
    <definedName name="QB_ROW_880240" localSheetId="17" hidden="1">'BS 2016'!$E$208</definedName>
    <definedName name="QB_ROW_880240" localSheetId="12" hidden="1">'BS MARCH 31'!$E$219</definedName>
    <definedName name="QB_ROW_880240" localSheetId="3" hidden="1">'BS MARCH 31 (2)'!$E$219</definedName>
    <definedName name="QB_ROW_881210" localSheetId="16" hidden="1">'2015'!$A$176</definedName>
    <definedName name="QB_ROW_881240" localSheetId="17" hidden="1">'BS 2016'!$E$209</definedName>
    <definedName name="QB_ROW_881240" localSheetId="12" hidden="1">'BS MARCH 31'!$E$220</definedName>
    <definedName name="QB_ROW_881240" localSheetId="3" hidden="1">'BS MARCH 31 (2)'!$E$220</definedName>
    <definedName name="QB_ROW_88210" localSheetId="16" hidden="1">'2015'!$A$172</definedName>
    <definedName name="QB_ROW_882240" localSheetId="17" hidden="1">'BS 2016'!$E$253</definedName>
    <definedName name="QB_ROW_882240" localSheetId="12" hidden="1">'BS MARCH 31'!$E$270</definedName>
    <definedName name="QB_ROW_882240" localSheetId="3" hidden="1">'BS MARCH 31 (2)'!$E$270</definedName>
    <definedName name="QB_ROW_88250" localSheetId="17" hidden="1">'BS 2016'!$F$213</definedName>
    <definedName name="QB_ROW_88250" localSheetId="12" hidden="1">'BS MARCH 31'!$F$224</definedName>
    <definedName name="QB_ROW_88250" localSheetId="3" hidden="1">'BS MARCH 31 (2)'!$F$224</definedName>
    <definedName name="QB_ROW_887250" localSheetId="17" hidden="1">'BS 2016'!$F$94</definedName>
    <definedName name="QB_ROW_887250" localSheetId="12" hidden="1">'BS MARCH 31'!$F$94</definedName>
    <definedName name="QB_ROW_887250" localSheetId="3" hidden="1">'BS MARCH 31 (2)'!$F$94</definedName>
    <definedName name="QB_ROW_89210" localSheetId="16" hidden="1">'2015'!$A$173</definedName>
    <definedName name="QB_ROW_89250" localSheetId="17" hidden="1">'BS 2016'!$F$214</definedName>
    <definedName name="QB_ROW_89250" localSheetId="12" hidden="1">'BS MARCH 31'!$F$225</definedName>
    <definedName name="QB_ROW_89250" localSheetId="3" hidden="1">'BS MARCH 31 (2)'!$F$225</definedName>
    <definedName name="QB_ROW_9021" localSheetId="17" hidden="1">'BS 2016'!$C$205</definedName>
    <definedName name="QB_ROW_9021" localSheetId="12" hidden="1">'BS MARCH 31'!$C$216</definedName>
    <definedName name="QB_ROW_9021" localSheetId="3" hidden="1">'BS MARCH 31 (2)'!$C$216</definedName>
    <definedName name="QB_ROW_90210" localSheetId="16" hidden="1">'2015'!$A$8</definedName>
    <definedName name="QB_ROW_904270" localSheetId="13" hidden="1">'PL JAN-MARCH 2018'!$H$216</definedName>
    <definedName name="QB_ROW_906240" localSheetId="18" hidden="1">'IS 2016'!$E$356</definedName>
    <definedName name="QB_ROW_908060" localSheetId="18" hidden="1">'IS 2016'!$G$72</definedName>
    <definedName name="QB_ROW_908360" localSheetId="18" hidden="1">'IS 2016'!$G$75</definedName>
    <definedName name="QB_ROW_910270" localSheetId="18" hidden="1">'IS 2016'!$H$73</definedName>
    <definedName name="QB_ROW_911270" localSheetId="18" hidden="1">'IS 2016'!$H$74</definedName>
    <definedName name="QB_ROW_91210" localSheetId="16" hidden="1">'2015'!$A$51</definedName>
    <definedName name="QB_ROW_912270" localSheetId="18" hidden="1">'IS 2016'!$H$241</definedName>
    <definedName name="QB_ROW_913210" localSheetId="16" hidden="1">'2015'!$A$133</definedName>
    <definedName name="QB_ROW_913250" localSheetId="17" hidden="1">'BS 2016'!$F$140</definedName>
    <definedName name="QB_ROW_91330" localSheetId="17" hidden="1">'BS 2016'!$D$52</definedName>
    <definedName name="QB_ROW_91330" localSheetId="12" hidden="1">'BS MARCH 31'!$D$49</definedName>
    <definedName name="QB_ROW_91330" localSheetId="3" hidden="1">'BS MARCH 31 (2)'!$D$49</definedName>
    <definedName name="QB_ROW_914260" localSheetId="18" hidden="1">'IS 2016'!$G$62</definedName>
    <definedName name="QB_ROW_915270" localSheetId="18" hidden="1">'IS 2016'!$H$111</definedName>
    <definedName name="QB_ROW_916270" localSheetId="18" hidden="1">'IS 2016'!$H$179</definedName>
    <definedName name="QB_ROW_917270" localSheetId="18" hidden="1">'IS 2016'!$H$238</definedName>
    <definedName name="QB_ROW_918210" localSheetId="16" hidden="1">'2015'!$A$182</definedName>
    <definedName name="QB_ROW_921210" localSheetId="16" hidden="1">'2015'!$A$188</definedName>
    <definedName name="QB_ROW_922210" localSheetId="16" hidden="1">'2015'!$A$191</definedName>
    <definedName name="QB_ROW_924210" localSheetId="16" hidden="1">'2015'!$A$174</definedName>
    <definedName name="QB_ROW_925210" localSheetId="16" hidden="1">'2015'!$A$175</definedName>
    <definedName name="QB_ROW_926210" localSheetId="16" hidden="1">'2015'!$A$193</definedName>
    <definedName name="QB_ROW_928260" localSheetId="18" hidden="1">'IS 2016'!$G$66</definedName>
    <definedName name="QB_ROW_929270" localSheetId="18" hidden="1">'IS 2016'!$H$141</definedName>
    <definedName name="QB_ROW_930230" localSheetId="12" hidden="1">'BS MARCH 31'!$D$108</definedName>
    <definedName name="QB_ROW_930230" localSheetId="3" hidden="1">'BS MARCH 31 (2)'!$D$108</definedName>
    <definedName name="QB_ROW_93030" localSheetId="17" hidden="1">'BS 2016'!$D$109</definedName>
    <definedName name="QB_ROW_93030" localSheetId="12" hidden="1">'BS MARCH 31'!$D$114</definedName>
    <definedName name="QB_ROW_93030" localSheetId="3" hidden="1">'BS MARCH 31 (2)'!$D$114</definedName>
    <definedName name="QB_ROW_931040" localSheetId="13" hidden="1">'PL JAN-MARCH 2018'!$E$251</definedName>
    <definedName name="QB_ROW_931340" localSheetId="18" hidden="1">'IS 2016'!$E$345</definedName>
    <definedName name="QB_ROW_931340" localSheetId="13" hidden="1">'PL JAN-MARCH 2018'!$E$258</definedName>
    <definedName name="QB_ROW_9321" localSheetId="17" hidden="1">'BS 2016'!$C$248</definedName>
    <definedName name="QB_ROW_9321" localSheetId="12" hidden="1">'BS MARCH 31'!$C$265</definedName>
    <definedName name="QB_ROW_9321" localSheetId="3" hidden="1">'BS MARCH 31 (2)'!$C$265</definedName>
    <definedName name="QB_ROW_932240" localSheetId="17" hidden="1">'BS 2016'!$E$184</definedName>
    <definedName name="QB_ROW_932240" localSheetId="12" hidden="1">'BS MARCH 31'!$E$192</definedName>
    <definedName name="QB_ROW_932240" localSheetId="3" hidden="1">'BS MARCH 31 (2)'!$E$192</definedName>
    <definedName name="QB_ROW_93240" localSheetId="12" hidden="1">'BS MARCH 31'!$E$182</definedName>
    <definedName name="QB_ROW_93240" localSheetId="3" hidden="1">'BS MARCH 31 (2)'!$E$182</definedName>
    <definedName name="QB_ROW_933260" localSheetId="18" hidden="1">'IS 2016'!$G$53</definedName>
    <definedName name="QB_ROW_933260" localSheetId="13" hidden="1">'PL JAN-MARCH 2018'!$G$33</definedName>
    <definedName name="QB_ROW_93330" localSheetId="17" hidden="1">'BS 2016'!$D$175</definedName>
    <definedName name="QB_ROW_93330" localSheetId="12" hidden="1">'BS MARCH 31'!$D$183</definedName>
    <definedName name="QB_ROW_93330" localSheetId="3" hidden="1">'BS MARCH 31 (2)'!$D$183</definedName>
    <definedName name="QB_ROW_936250" localSheetId="17" hidden="1">'BS 2016'!$F$41</definedName>
    <definedName name="QB_ROW_937240" localSheetId="17" hidden="1">'BS 2016'!$E$191</definedName>
    <definedName name="QB_ROW_937240" localSheetId="12" hidden="1">'BS MARCH 31'!$E$202</definedName>
    <definedName name="QB_ROW_937240" localSheetId="3" hidden="1">'BS MARCH 31 (2)'!$E$202</definedName>
    <definedName name="QB_ROW_938240" localSheetId="17" hidden="1">'BS 2016'!$E$102</definedName>
    <definedName name="QB_ROW_938240" localSheetId="12" hidden="1">'BS MARCH 31'!$E$104</definedName>
    <definedName name="QB_ROW_938240" localSheetId="3" hidden="1">'BS MARCH 31 (2)'!$E$104</definedName>
    <definedName name="QB_ROW_940240" localSheetId="17" hidden="1">'BS 2016'!$E$186</definedName>
    <definedName name="QB_ROW_940240" localSheetId="12" hidden="1">'BS MARCH 31'!$E$195</definedName>
    <definedName name="QB_ROW_940240" localSheetId="3" hidden="1">'BS MARCH 31 (2)'!$E$195</definedName>
    <definedName name="QB_ROW_941220" localSheetId="17" hidden="1">'BS 2016'!$C$197</definedName>
    <definedName name="QB_ROW_941220" localSheetId="12" hidden="1">'BS MARCH 31'!$C$208</definedName>
    <definedName name="QB_ROW_941220" localSheetId="3" hidden="1">'BS MARCH 31 (2)'!$C$208</definedName>
    <definedName name="QB_ROW_94210" localSheetId="16" hidden="1">'2015'!$A$136</definedName>
    <definedName name="QB_ROW_94250" localSheetId="17" hidden="1">'BS 2016'!$F$145</definedName>
    <definedName name="QB_ROW_94250" localSheetId="12" hidden="1">'BS MARCH 31'!$F$151</definedName>
    <definedName name="QB_ROW_94250" localSheetId="3" hidden="1">'BS MARCH 31 (2)'!$F$151</definedName>
    <definedName name="QB_ROW_943230" localSheetId="17" hidden="1">'BS 2016'!$D$199</definedName>
    <definedName name="QB_ROW_943230" localSheetId="12" hidden="1">'BS MARCH 31'!$D$210</definedName>
    <definedName name="QB_ROW_943230" localSheetId="3" hidden="1">'BS MARCH 31 (2)'!$D$210</definedName>
    <definedName name="QB_ROW_946270" localSheetId="18" hidden="1">'IS 2016'!$H$117</definedName>
    <definedName name="QB_ROW_946270" localSheetId="13" hidden="1">'PL JAN-MARCH 2018'!$H$71</definedName>
    <definedName name="QB_ROW_948260" localSheetId="17" hidden="1">'BS 2016'!$G$232</definedName>
    <definedName name="QB_ROW_948260" localSheetId="12" hidden="1">'BS MARCH 31'!$G$243</definedName>
    <definedName name="QB_ROW_948260" localSheetId="3" hidden="1">'BS MARCH 31 (2)'!$G$243</definedName>
    <definedName name="QB_ROW_949250" localSheetId="17" hidden="1">'BS 2016'!$F$43</definedName>
    <definedName name="QB_ROW_949250" localSheetId="12" hidden="1">'BS MARCH 31'!$F$31</definedName>
    <definedName name="QB_ROW_949250" localSheetId="3" hidden="1">'BS MARCH 31 (2)'!$F$31</definedName>
    <definedName name="QB_ROW_95020" localSheetId="17" hidden="1">'BS 2016'!$C$108</definedName>
    <definedName name="QB_ROW_95020" localSheetId="12" hidden="1">'BS MARCH 31'!$C$113</definedName>
    <definedName name="QB_ROW_95020" localSheetId="3" hidden="1">'BS MARCH 31 (2)'!$C$113</definedName>
    <definedName name="QB_ROW_950270" localSheetId="18" hidden="1">'IS 2016'!$H$263</definedName>
    <definedName name="QB_ROW_95210" localSheetId="16" hidden="1">'2015'!$A$100</definedName>
    <definedName name="QB_ROW_95230" localSheetId="17" hidden="1">'BS 2016'!$D$193</definedName>
    <definedName name="QB_ROW_95320" localSheetId="17" hidden="1">'BS 2016'!$C$194</definedName>
    <definedName name="QB_ROW_95320" localSheetId="12" hidden="1">'BS MARCH 31'!$C$205</definedName>
    <definedName name="QB_ROW_95320" localSheetId="3" hidden="1">'BS MARCH 31 (2)'!$C$205</definedName>
    <definedName name="QB_ROW_953240" localSheetId="17" hidden="1">'BS 2016'!$E$255</definedName>
    <definedName name="QB_ROW_953240" localSheetId="12" hidden="1">'BS MARCH 31'!$E$274</definedName>
    <definedName name="QB_ROW_953240" localSheetId="3" hidden="1">'BS MARCH 31 (2)'!$E$274</definedName>
    <definedName name="QB_ROW_954280" localSheetId="18" hidden="1">'IS 2016'!$I$314</definedName>
    <definedName name="QB_ROW_954280" localSheetId="13" hidden="1">'PL JAN-MARCH 2018'!$I$225</definedName>
    <definedName name="QB_ROW_956240" localSheetId="17" hidden="1">'BS 2016'!$E$22</definedName>
    <definedName name="QB_ROW_956240" localSheetId="12" hidden="1">'BS MARCH 31'!$E$19</definedName>
    <definedName name="QB_ROW_956240" localSheetId="3" hidden="1">'BS MARCH 31 (2)'!$E$19</definedName>
    <definedName name="QB_ROW_957250" localSheetId="17" hidden="1">'BS 2016'!$F$131</definedName>
    <definedName name="QB_ROW_957250" localSheetId="12" hidden="1">'BS MARCH 31'!$F$137</definedName>
    <definedName name="QB_ROW_957250" localSheetId="3" hidden="1">'BS MARCH 31 (2)'!$F$137</definedName>
    <definedName name="QB_ROW_958240" localSheetId="17" hidden="1">'BS 2016'!$E$257</definedName>
    <definedName name="QB_ROW_958240" localSheetId="12" hidden="1">'BS MARCH 31'!$E$276</definedName>
    <definedName name="QB_ROW_958240" localSheetId="3" hidden="1">'BS MARCH 31 (2)'!$E$276</definedName>
    <definedName name="QB_ROW_959240" localSheetId="17" hidden="1">'BS 2016'!$E$258</definedName>
    <definedName name="QB_ROW_959240" localSheetId="12" hidden="1">'BS MARCH 31'!$E$277</definedName>
    <definedName name="QB_ROW_959240" localSheetId="3" hidden="1">'BS MARCH 31 (2)'!$E$277</definedName>
    <definedName name="QB_ROW_960240" localSheetId="17" hidden="1">'BS 2016'!$E$259</definedName>
    <definedName name="QB_ROW_960240" localSheetId="12" hidden="1">'BS MARCH 31'!$E$278</definedName>
    <definedName name="QB_ROW_960240" localSheetId="3" hidden="1">'BS MARCH 31 (2)'!$E$278</definedName>
    <definedName name="QB_ROW_961240" localSheetId="17" hidden="1">'BS 2016'!$E$260</definedName>
    <definedName name="QB_ROW_961240" localSheetId="12" hidden="1">'BS MARCH 31'!$E$279</definedName>
    <definedName name="QB_ROW_961240" localSheetId="3" hidden="1">'BS MARCH 31 (2)'!$E$279</definedName>
    <definedName name="QB_ROW_96210" localSheetId="16" hidden="1">'2015'!$A$140</definedName>
    <definedName name="QB_ROW_962240" localSheetId="17" hidden="1">'BS 2016'!$E$185</definedName>
    <definedName name="QB_ROW_962240" localSheetId="12" hidden="1">'BS MARCH 31'!$E$193</definedName>
    <definedName name="QB_ROW_962240" localSheetId="3" hidden="1">'BS MARCH 31 (2)'!$E$193</definedName>
    <definedName name="QB_ROW_96250" localSheetId="17" hidden="1">'BS 2016'!$F$149</definedName>
    <definedName name="QB_ROW_96250" localSheetId="12" hidden="1">'BS MARCH 31'!$F$155</definedName>
    <definedName name="QB_ROW_96250" localSheetId="3" hidden="1">'BS MARCH 31 (2)'!$F$155</definedName>
    <definedName name="QB_ROW_963280" localSheetId="18" hidden="1">'IS 2016'!$I$315</definedName>
    <definedName name="QB_ROW_964270" localSheetId="18" hidden="1">'IS 2016'!$H$338</definedName>
    <definedName name="QB_ROW_965240" localSheetId="18" hidden="1">'IS 2016'!$E$357</definedName>
    <definedName name="QB_ROW_969240" localSheetId="17" hidden="1">'BS 2016'!$E$21</definedName>
    <definedName name="QB_ROW_970230" localSheetId="17" hidden="1">'BS 2016'!$D$104</definedName>
    <definedName name="QB_ROW_970230" localSheetId="12" hidden="1">'BS MARCH 31'!$D$109</definedName>
    <definedName name="QB_ROW_970230" localSheetId="3" hidden="1">'BS MARCH 31 (2)'!$D$109</definedName>
    <definedName name="QB_ROW_971240" localSheetId="17" hidden="1">'BS 2016'!$E$23</definedName>
    <definedName name="QB_ROW_97210" localSheetId="16" hidden="1">'2015'!$A$135</definedName>
    <definedName name="QB_ROW_97250" localSheetId="17" hidden="1">'BS 2016'!$F$142</definedName>
    <definedName name="QB_ROW_97250" localSheetId="12" hidden="1">'BS MARCH 31'!$F$148</definedName>
    <definedName name="QB_ROW_97250" localSheetId="3" hidden="1">'BS MARCH 31 (2)'!$F$148</definedName>
    <definedName name="QB_ROW_975270" localSheetId="18" hidden="1">'IS 2016'!$H$339</definedName>
    <definedName name="QB_ROW_975270" localSheetId="13" hidden="1">'PL JAN-MARCH 2018'!$H$247</definedName>
    <definedName name="QB_ROW_976280" localSheetId="13" hidden="1">'PL JAN-MARCH 2018'!$I$226</definedName>
    <definedName name="QB_ROW_978260" localSheetId="12" hidden="1">'BS MARCH 31'!$G$64</definedName>
    <definedName name="QB_ROW_978260" localSheetId="3" hidden="1">'BS MARCH 31 (2)'!$G$64</definedName>
    <definedName name="QB_ROW_979240" localSheetId="12" hidden="1">'BS MARCH 31'!$E$281</definedName>
    <definedName name="QB_ROW_979240" localSheetId="3" hidden="1">'BS MARCH 31 (2)'!$E$281</definedName>
    <definedName name="QB_ROW_98040" localSheetId="17" hidden="1">'BS 2016'!$E$133</definedName>
    <definedName name="QB_ROW_98040" localSheetId="12" hidden="1">'BS MARCH 31'!$E$139</definedName>
    <definedName name="QB_ROW_98040" localSheetId="3" hidden="1">'BS MARCH 31 (2)'!$E$139</definedName>
    <definedName name="QB_ROW_981250" localSheetId="12" hidden="1">'BS MARCH 31'!$F$141</definedName>
    <definedName name="QB_ROW_981250" localSheetId="3" hidden="1">'BS MARCH 31 (2)'!$F$141</definedName>
    <definedName name="QB_ROW_982250" localSheetId="12" hidden="1">'BS MARCH 31'!$F$126</definedName>
    <definedName name="QB_ROW_982250" localSheetId="3" hidden="1">'BS MARCH 31 (2)'!$F$126</definedName>
    <definedName name="QB_ROW_98340" localSheetId="17" hidden="1">'BS 2016'!$E$143</definedName>
    <definedName name="QB_ROW_98340" localSheetId="12" hidden="1">'BS MARCH 31'!$E$149</definedName>
    <definedName name="QB_ROW_98340" localSheetId="3" hidden="1">'BS MARCH 31 (2)'!$E$149</definedName>
    <definedName name="QB_ROW_984250" localSheetId="12" hidden="1">'BS MARCH 31'!$F$85</definedName>
    <definedName name="QB_ROW_984250" localSheetId="3" hidden="1">'BS MARCH 31 (2)'!$F$85</definedName>
    <definedName name="QB_ROW_991250" localSheetId="13" hidden="1">'PL JAN-MARCH 2018'!$F$252</definedName>
    <definedName name="QB_ROW_99210" localSheetId="16" hidden="1">'2015'!$A$102</definedName>
    <definedName name="QB_ROW_992250" localSheetId="13" hidden="1">'PL JAN-MARCH 2018'!$F$253</definedName>
    <definedName name="QB_ROW_99250" localSheetId="17" hidden="1">'BS 2016'!$F$112</definedName>
    <definedName name="QB_ROW_99250" localSheetId="12" hidden="1">'BS MARCH 31'!$F$117</definedName>
    <definedName name="QB_ROW_99250" localSheetId="3" hidden="1">'BS MARCH 31 (2)'!$F$117</definedName>
    <definedName name="QB_ROW_995250" localSheetId="13" hidden="1">'PL JAN-MARCH 2018'!$F$254</definedName>
    <definedName name="QB_ROW_998250" localSheetId="13" hidden="1">'PL JAN-MARCH 2018'!$F$255</definedName>
    <definedName name="QBCANSUPPORTUPDATE" localSheetId="16">TRUE</definedName>
    <definedName name="QBCANSUPPORTUPDATE" localSheetId="5">FALSE</definedName>
    <definedName name="QBCANSUPPORTUPDATE" localSheetId="17">TRUE</definedName>
    <definedName name="QBCANSUPPORTUPDATE" localSheetId="12">TRUE</definedName>
    <definedName name="QBCANSUPPORTUPDATE" localSheetId="3">TRUE</definedName>
    <definedName name="QBCANSUPPORTUPDATE" localSheetId="18">TRUE</definedName>
    <definedName name="QBCANSUPPORTUPDATE" localSheetId="13">TRUE</definedName>
    <definedName name="QBCANSUPPORTUPDATE" localSheetId="1">FALSE</definedName>
    <definedName name="QBCANSUPPORTUPDATE" localSheetId="4">FALSE</definedName>
    <definedName name="QBCOMPANYFILENAME" localSheetId="16">"\\10.0.0.41\QuickBooks\QB-TFI-SL\TFI-SL.QBW"</definedName>
    <definedName name="QBCOMPANYFILENAME" localSheetId="5">"D:\QB2017ENT\QB-TFI-SL\TFI-SL.QBW"</definedName>
    <definedName name="QBCOMPANYFILENAME" localSheetId="17">"\\SRV-QB2017\QB2017_Data\QB-TFI-SL\TFI-SL.QBW"</definedName>
    <definedName name="QBCOMPANYFILENAME" localSheetId="12">"D:\QB2017ENT\QB-TFI-SL\TFI-SL.QBW"</definedName>
    <definedName name="QBCOMPANYFILENAME" localSheetId="3">"D:\QB2017ENT\QB-TFI-SL\TFI-SL.QBW"</definedName>
    <definedName name="QBCOMPANYFILENAME" localSheetId="18">"\\SRV-QB2017\QB2017_Data\QB-TFI-SL\TFI-SL.QBW"</definedName>
    <definedName name="QBCOMPANYFILENAME" localSheetId="13">"D:\QB2017ENT\QB-TFI-SL\TFI-SL.QBW"</definedName>
    <definedName name="QBCOMPANYFILENAME" localSheetId="1">"D:\QB2017ENT\QB-TFI-SL\TFI-SL.QBW"</definedName>
    <definedName name="QBCOMPANYFILENAME" localSheetId="4">"D:\QB2017ENT\QB-TFI-SL\TFI-SL.QBW"</definedName>
    <definedName name="QBENDDATE" localSheetId="16">20151231</definedName>
    <definedName name="QBENDDATE" localSheetId="5">20180101</definedName>
    <definedName name="QBENDDATE" localSheetId="17">20161231</definedName>
    <definedName name="QBENDDATE" localSheetId="12">20180331</definedName>
    <definedName name="QBENDDATE" localSheetId="3">20180331</definedName>
    <definedName name="QBENDDATE" localSheetId="18">20161231</definedName>
    <definedName name="QBENDDATE" localSheetId="13">20180331</definedName>
    <definedName name="QBENDDATE" localSheetId="1">20180331</definedName>
    <definedName name="QBENDDATE" localSheetId="4">20180331</definedName>
    <definedName name="QBHEADERSONSCREEN" localSheetId="16">FALSE</definedName>
    <definedName name="QBHEADERSONSCREEN" localSheetId="5">FALSE</definedName>
    <definedName name="QBHEADERSONSCREEN" localSheetId="17">FALSE</definedName>
    <definedName name="QBHEADERSONSCREEN" localSheetId="12">FALSE</definedName>
    <definedName name="QBHEADERSONSCREEN" localSheetId="3">FALSE</definedName>
    <definedName name="QBHEADERSONSCREEN" localSheetId="18">FALSE</definedName>
    <definedName name="QBHEADERSONSCREEN" localSheetId="13">FALSE</definedName>
    <definedName name="QBHEADERSONSCREEN" localSheetId="1">FALSE</definedName>
    <definedName name="QBHEADERSONSCREEN" localSheetId="4">FALSE</definedName>
    <definedName name="QBMETADATASIZE" localSheetId="16">5785</definedName>
    <definedName name="QBMETADATASIZE" localSheetId="5">0</definedName>
    <definedName name="QBMETADATASIZE" localSheetId="17">5907</definedName>
    <definedName name="QBMETADATASIZE" localSheetId="12">5907</definedName>
    <definedName name="QBMETADATASIZE" localSheetId="3">5907</definedName>
    <definedName name="QBMETADATASIZE" localSheetId="18">5907</definedName>
    <definedName name="QBMETADATASIZE" localSheetId="13">5907</definedName>
    <definedName name="QBMETADATASIZE" localSheetId="1">0</definedName>
    <definedName name="QBMETADATASIZE" localSheetId="4">0</definedName>
    <definedName name="QBPRESERVECOLOR" localSheetId="16">TRUE</definedName>
    <definedName name="QBPRESERVECOLOR" localSheetId="5">TRUE</definedName>
    <definedName name="QBPRESERVECOLOR" localSheetId="17">TRUE</definedName>
    <definedName name="QBPRESERVECOLOR" localSheetId="12">TRUE</definedName>
    <definedName name="QBPRESERVECOLOR" localSheetId="3">TRUE</definedName>
    <definedName name="QBPRESERVECOLOR" localSheetId="18">TRUE</definedName>
    <definedName name="QBPRESERVECOLOR" localSheetId="13">TRUE</definedName>
    <definedName name="QBPRESERVECOLOR" localSheetId="1">TRUE</definedName>
    <definedName name="QBPRESERVECOLOR" localSheetId="4">TRUE</definedName>
    <definedName name="QBPRESERVEFONT" localSheetId="16">TRUE</definedName>
    <definedName name="QBPRESERVEFONT" localSheetId="5">TRUE</definedName>
    <definedName name="QBPRESERVEFONT" localSheetId="17">TRUE</definedName>
    <definedName name="QBPRESERVEFONT" localSheetId="12">TRUE</definedName>
    <definedName name="QBPRESERVEFONT" localSheetId="3">TRUE</definedName>
    <definedName name="QBPRESERVEFONT" localSheetId="18">TRUE</definedName>
    <definedName name="QBPRESERVEFONT" localSheetId="13">TRUE</definedName>
    <definedName name="QBPRESERVEFONT" localSheetId="1">TRUE</definedName>
    <definedName name="QBPRESERVEFONT" localSheetId="4">TRUE</definedName>
    <definedName name="QBPRESERVEROWHEIGHT" localSheetId="16">TRUE</definedName>
    <definedName name="QBPRESERVEROWHEIGHT" localSheetId="5">FALSE</definedName>
    <definedName name="QBPRESERVEROWHEIGHT" localSheetId="17">TRUE</definedName>
    <definedName name="QBPRESERVEROWHEIGHT" localSheetId="12">TRUE</definedName>
    <definedName name="QBPRESERVEROWHEIGHT" localSheetId="3">TRUE</definedName>
    <definedName name="QBPRESERVEROWHEIGHT" localSheetId="18">TRUE</definedName>
    <definedName name="QBPRESERVEROWHEIGHT" localSheetId="13">TRUE</definedName>
    <definedName name="QBPRESERVEROWHEIGHT" localSheetId="1">FALSE</definedName>
    <definedName name="QBPRESERVEROWHEIGHT" localSheetId="4">FALSE</definedName>
    <definedName name="QBPRESERVESPACE" localSheetId="16">TRUE</definedName>
    <definedName name="QBPRESERVESPACE" localSheetId="5">FALSE</definedName>
    <definedName name="QBPRESERVESPACE" localSheetId="17">TRUE</definedName>
    <definedName name="QBPRESERVESPACE" localSheetId="12">TRUE</definedName>
    <definedName name="QBPRESERVESPACE" localSheetId="3">TRUE</definedName>
    <definedName name="QBPRESERVESPACE" localSheetId="18">TRUE</definedName>
    <definedName name="QBPRESERVESPACE" localSheetId="13">TRUE</definedName>
    <definedName name="QBPRESERVESPACE" localSheetId="1">FALSE</definedName>
    <definedName name="QBPRESERVESPACE" localSheetId="4">FALSE</definedName>
    <definedName name="QBREPORTCOLAXIS" localSheetId="16">0</definedName>
    <definedName name="QBREPORTCOLAXIS" localSheetId="5">0</definedName>
    <definedName name="QBREPORTCOLAXIS" localSheetId="17">0</definedName>
    <definedName name="QBREPORTCOLAXIS" localSheetId="12">0</definedName>
    <definedName name="QBREPORTCOLAXIS" localSheetId="3">0</definedName>
    <definedName name="QBREPORTCOLAXIS" localSheetId="18">0</definedName>
    <definedName name="QBREPORTCOLAXIS" localSheetId="13">0</definedName>
    <definedName name="QBREPORTCOLAXIS" localSheetId="1">6</definedName>
    <definedName name="QBREPORTCOLAXIS" localSheetId="4">0</definedName>
    <definedName name="QBREPORTCOMPANYID" localSheetId="16">"e9b894c4907c4b609f78f1fc62702593"</definedName>
    <definedName name="QBREPORTCOMPANYID" localSheetId="5">"e9b894c4907c4b609f78f1fc62702593"</definedName>
    <definedName name="QBREPORTCOMPANYID" localSheetId="17">"e9b894c4907c4b609f78f1fc62702593"</definedName>
    <definedName name="QBREPORTCOMPANYID" localSheetId="12">"e9b894c4907c4b609f78f1fc62702593"</definedName>
    <definedName name="QBREPORTCOMPANYID" localSheetId="3">"e9b894c4907c4b609f78f1fc62702593"</definedName>
    <definedName name="QBREPORTCOMPANYID" localSheetId="18">"e9b894c4907c4b609f78f1fc62702593"</definedName>
    <definedName name="QBREPORTCOMPANYID" localSheetId="13">"e9b894c4907c4b609f78f1fc62702593"</definedName>
    <definedName name="QBREPORTCOMPANYID" localSheetId="1">"e9b894c4907c4b609f78f1fc62702593"</definedName>
    <definedName name="QBREPORTCOMPANYID" localSheetId="4">"e9b894c4907c4b609f78f1fc62702593"</definedName>
    <definedName name="QBREPORTCOMPARECOL_ANNUALBUDGET" localSheetId="16">FALSE</definedName>
    <definedName name="QBREPORTCOMPARECOL_ANNUALBUDGET" localSheetId="5">FALSE</definedName>
    <definedName name="QBREPORTCOMPARECOL_ANNUALBUDGET" localSheetId="17">FALSE</definedName>
    <definedName name="QBREPORTCOMPARECOL_ANNUALBUDGET" localSheetId="12">FALSE</definedName>
    <definedName name="QBREPORTCOMPARECOL_ANNUALBUDGET" localSheetId="3">FALSE</definedName>
    <definedName name="QBREPORTCOMPARECOL_ANNUALBUDGET" localSheetId="18">FALSE</definedName>
    <definedName name="QBREPORTCOMPARECOL_ANNUALBUDGET" localSheetId="13">FALSE</definedName>
    <definedName name="QBREPORTCOMPARECOL_ANNUALBUDGET" localSheetId="1">FALSE</definedName>
    <definedName name="QBREPORTCOMPARECOL_ANNUALBUDGET" localSheetId="4">FALSE</definedName>
    <definedName name="QBREPORTCOMPARECOL_AVGCOGS" localSheetId="16">FALSE</definedName>
    <definedName name="QBREPORTCOMPARECOL_AVGCOGS" localSheetId="5">FALSE</definedName>
    <definedName name="QBREPORTCOMPARECOL_AVGCOGS" localSheetId="17">FALSE</definedName>
    <definedName name="QBREPORTCOMPARECOL_AVGCOGS" localSheetId="12">FALSE</definedName>
    <definedName name="QBREPORTCOMPARECOL_AVGCOGS" localSheetId="3">FALSE</definedName>
    <definedName name="QBREPORTCOMPARECOL_AVGCOGS" localSheetId="18">FALSE</definedName>
    <definedName name="QBREPORTCOMPARECOL_AVGCOGS" localSheetId="13">FALSE</definedName>
    <definedName name="QBREPORTCOMPARECOL_AVGCOGS" localSheetId="1">FALSE</definedName>
    <definedName name="QBREPORTCOMPARECOL_AVGCOGS" localSheetId="4">FALSE</definedName>
    <definedName name="QBREPORTCOMPARECOL_AVGPRICE" localSheetId="16">FALSE</definedName>
    <definedName name="QBREPORTCOMPARECOL_AVGPRICE" localSheetId="5">FALSE</definedName>
    <definedName name="QBREPORTCOMPARECOL_AVGPRICE" localSheetId="17">FALSE</definedName>
    <definedName name="QBREPORTCOMPARECOL_AVGPRICE" localSheetId="12">FALSE</definedName>
    <definedName name="QBREPORTCOMPARECOL_AVGPRICE" localSheetId="3">FALSE</definedName>
    <definedName name="QBREPORTCOMPARECOL_AVGPRICE" localSheetId="18">FALSE</definedName>
    <definedName name="QBREPORTCOMPARECOL_AVGPRICE" localSheetId="13">FALSE</definedName>
    <definedName name="QBREPORTCOMPARECOL_AVGPRICE" localSheetId="1">FALSE</definedName>
    <definedName name="QBREPORTCOMPARECOL_AVGPRICE" localSheetId="4">FALSE</definedName>
    <definedName name="QBREPORTCOMPARECOL_BUDDIFF" localSheetId="16">FALSE</definedName>
    <definedName name="QBREPORTCOMPARECOL_BUDDIFF" localSheetId="5">FALSE</definedName>
    <definedName name="QBREPORTCOMPARECOL_BUDDIFF" localSheetId="17">FALSE</definedName>
    <definedName name="QBREPORTCOMPARECOL_BUDDIFF" localSheetId="12">FALSE</definedName>
    <definedName name="QBREPORTCOMPARECOL_BUDDIFF" localSheetId="3">FALSE</definedName>
    <definedName name="QBREPORTCOMPARECOL_BUDDIFF" localSheetId="18">FALSE</definedName>
    <definedName name="QBREPORTCOMPARECOL_BUDDIFF" localSheetId="13">FALSE</definedName>
    <definedName name="QBREPORTCOMPARECOL_BUDDIFF" localSheetId="1">FALSE</definedName>
    <definedName name="QBREPORTCOMPARECOL_BUDDIFF" localSheetId="4">FALSE</definedName>
    <definedName name="QBREPORTCOMPARECOL_BUDGET" localSheetId="16">FALSE</definedName>
    <definedName name="QBREPORTCOMPARECOL_BUDGET" localSheetId="5">FALSE</definedName>
    <definedName name="QBREPORTCOMPARECOL_BUDGET" localSheetId="17">FALSE</definedName>
    <definedName name="QBREPORTCOMPARECOL_BUDGET" localSheetId="12">FALSE</definedName>
    <definedName name="QBREPORTCOMPARECOL_BUDGET" localSheetId="3">FALSE</definedName>
    <definedName name="QBREPORTCOMPARECOL_BUDGET" localSheetId="18">FALSE</definedName>
    <definedName name="QBREPORTCOMPARECOL_BUDGET" localSheetId="13">FALSE</definedName>
    <definedName name="QBREPORTCOMPARECOL_BUDGET" localSheetId="1">FALSE</definedName>
    <definedName name="QBREPORTCOMPARECOL_BUDGET" localSheetId="4">FALSE</definedName>
    <definedName name="QBREPORTCOMPARECOL_BUDPCT" localSheetId="16">FALSE</definedName>
    <definedName name="QBREPORTCOMPARECOL_BUDPCT" localSheetId="5">FALSE</definedName>
    <definedName name="QBREPORTCOMPARECOL_BUDPCT" localSheetId="17">FALSE</definedName>
    <definedName name="QBREPORTCOMPARECOL_BUDPCT" localSheetId="12">FALSE</definedName>
    <definedName name="QBREPORTCOMPARECOL_BUDPCT" localSheetId="3">FALSE</definedName>
    <definedName name="QBREPORTCOMPARECOL_BUDPCT" localSheetId="18">FALSE</definedName>
    <definedName name="QBREPORTCOMPARECOL_BUDPCT" localSheetId="13">FALSE</definedName>
    <definedName name="QBREPORTCOMPARECOL_BUDPCT" localSheetId="1">FALSE</definedName>
    <definedName name="QBREPORTCOMPARECOL_BUDPCT" localSheetId="4">FALSE</definedName>
    <definedName name="QBREPORTCOMPARECOL_COGS" localSheetId="16">FALSE</definedName>
    <definedName name="QBREPORTCOMPARECOL_COGS" localSheetId="5">FALSE</definedName>
    <definedName name="QBREPORTCOMPARECOL_COGS" localSheetId="17">FALSE</definedName>
    <definedName name="QBREPORTCOMPARECOL_COGS" localSheetId="12">FALSE</definedName>
    <definedName name="QBREPORTCOMPARECOL_COGS" localSheetId="3">FALSE</definedName>
    <definedName name="QBREPORTCOMPARECOL_COGS" localSheetId="18">FALSE</definedName>
    <definedName name="QBREPORTCOMPARECOL_COGS" localSheetId="13">FALSE</definedName>
    <definedName name="QBREPORTCOMPARECOL_COGS" localSheetId="1">FALSE</definedName>
    <definedName name="QBREPORTCOMPARECOL_COGS" localSheetId="4">FALSE</definedName>
    <definedName name="QBREPORTCOMPARECOL_EXCLUDEAMOUNT" localSheetId="16">FALSE</definedName>
    <definedName name="QBREPORTCOMPARECOL_EXCLUDEAMOUNT" localSheetId="5">FALSE</definedName>
    <definedName name="QBREPORTCOMPARECOL_EXCLUDEAMOUNT" localSheetId="17">FALSE</definedName>
    <definedName name="QBREPORTCOMPARECOL_EXCLUDEAMOUNT" localSheetId="12">FALSE</definedName>
    <definedName name="QBREPORTCOMPARECOL_EXCLUDEAMOUNT" localSheetId="3">FALSE</definedName>
    <definedName name="QBREPORTCOMPARECOL_EXCLUDEAMOUNT" localSheetId="18">FALSE</definedName>
    <definedName name="QBREPORTCOMPARECOL_EXCLUDEAMOUNT" localSheetId="13">FALSE</definedName>
    <definedName name="QBREPORTCOMPARECOL_EXCLUDEAMOUNT" localSheetId="1">FALSE</definedName>
    <definedName name="QBREPORTCOMPARECOL_EXCLUDEAMOUNT" localSheetId="4">FALSE</definedName>
    <definedName name="QBREPORTCOMPARECOL_EXCLUDECURPERIOD" localSheetId="16">FALSE</definedName>
    <definedName name="QBREPORTCOMPARECOL_EXCLUDECURPERIOD" localSheetId="5">FALSE</definedName>
    <definedName name="QBREPORTCOMPARECOL_EXCLUDECURPERIOD" localSheetId="17">FALSE</definedName>
    <definedName name="QBREPORTCOMPARECOL_EXCLUDECURPERIOD" localSheetId="12">FALSE</definedName>
    <definedName name="QBREPORTCOMPARECOL_EXCLUDECURPERIOD" localSheetId="3">FALSE</definedName>
    <definedName name="QBREPORTCOMPARECOL_EXCLUDECURPERIOD" localSheetId="18">FALSE</definedName>
    <definedName name="QBREPORTCOMPARECOL_EXCLUDECURPERIOD" localSheetId="13">FALSE</definedName>
    <definedName name="QBREPORTCOMPARECOL_EXCLUDECURPERIOD" localSheetId="1">FALSE</definedName>
    <definedName name="QBREPORTCOMPARECOL_EXCLUDECURPERIOD" localSheetId="4">FALSE</definedName>
    <definedName name="QBREPORTCOMPARECOL_FORECAST" localSheetId="16">FALSE</definedName>
    <definedName name="QBREPORTCOMPARECOL_FORECAST" localSheetId="5">FALSE</definedName>
    <definedName name="QBREPORTCOMPARECOL_FORECAST" localSheetId="17">FALSE</definedName>
    <definedName name="QBREPORTCOMPARECOL_FORECAST" localSheetId="12">FALSE</definedName>
    <definedName name="QBREPORTCOMPARECOL_FORECAST" localSheetId="3">FALSE</definedName>
    <definedName name="QBREPORTCOMPARECOL_FORECAST" localSheetId="18">FALSE</definedName>
    <definedName name="QBREPORTCOMPARECOL_FORECAST" localSheetId="13">FALSE</definedName>
    <definedName name="QBREPORTCOMPARECOL_FORECAST" localSheetId="1">FALSE</definedName>
    <definedName name="QBREPORTCOMPARECOL_FORECAST" localSheetId="4">FALSE</definedName>
    <definedName name="QBREPORTCOMPARECOL_GROSSMARGIN" localSheetId="16">FALSE</definedName>
    <definedName name="QBREPORTCOMPARECOL_GROSSMARGIN" localSheetId="5">FALSE</definedName>
    <definedName name="QBREPORTCOMPARECOL_GROSSMARGIN" localSheetId="17">FALSE</definedName>
    <definedName name="QBREPORTCOMPARECOL_GROSSMARGIN" localSheetId="12">FALSE</definedName>
    <definedName name="QBREPORTCOMPARECOL_GROSSMARGIN" localSheetId="3">FALSE</definedName>
    <definedName name="QBREPORTCOMPARECOL_GROSSMARGIN" localSheetId="18">FALSE</definedName>
    <definedName name="QBREPORTCOMPARECOL_GROSSMARGIN" localSheetId="13">FALSE</definedName>
    <definedName name="QBREPORTCOMPARECOL_GROSSMARGIN" localSheetId="1">FALSE</definedName>
    <definedName name="QBREPORTCOMPARECOL_GROSSMARGIN" localSheetId="4">FALSE</definedName>
    <definedName name="QBREPORTCOMPARECOL_GROSSMARGINPCT" localSheetId="16">FALSE</definedName>
    <definedName name="QBREPORTCOMPARECOL_GROSSMARGINPCT" localSheetId="5">FALSE</definedName>
    <definedName name="QBREPORTCOMPARECOL_GROSSMARGINPCT" localSheetId="17">FALSE</definedName>
    <definedName name="QBREPORTCOMPARECOL_GROSSMARGINPCT" localSheetId="12">FALSE</definedName>
    <definedName name="QBREPORTCOMPARECOL_GROSSMARGINPCT" localSheetId="3">FALSE</definedName>
    <definedName name="QBREPORTCOMPARECOL_GROSSMARGINPCT" localSheetId="18">FALSE</definedName>
    <definedName name="QBREPORTCOMPARECOL_GROSSMARGINPCT" localSheetId="13">FALSE</definedName>
    <definedName name="QBREPORTCOMPARECOL_GROSSMARGINPCT" localSheetId="1">FALSE</definedName>
    <definedName name="QBREPORTCOMPARECOL_GROSSMARGINPCT" localSheetId="4">FALSE</definedName>
    <definedName name="QBREPORTCOMPARECOL_HOURS" localSheetId="16">FALSE</definedName>
    <definedName name="QBREPORTCOMPARECOL_HOURS" localSheetId="5">FALSE</definedName>
    <definedName name="QBREPORTCOMPARECOL_HOURS" localSheetId="17">FALSE</definedName>
    <definedName name="QBREPORTCOMPARECOL_HOURS" localSheetId="12">FALSE</definedName>
    <definedName name="QBREPORTCOMPARECOL_HOURS" localSheetId="3">FALSE</definedName>
    <definedName name="QBREPORTCOMPARECOL_HOURS" localSheetId="18">FALSE</definedName>
    <definedName name="QBREPORTCOMPARECOL_HOURS" localSheetId="13">FALSE</definedName>
    <definedName name="QBREPORTCOMPARECOL_HOURS" localSheetId="1">FALSE</definedName>
    <definedName name="QBREPORTCOMPARECOL_HOURS" localSheetId="4">FALSE</definedName>
    <definedName name="QBREPORTCOMPARECOL_PCTCOL" localSheetId="16">FALSE</definedName>
    <definedName name="QBREPORTCOMPARECOL_PCTCOL" localSheetId="5">FALSE</definedName>
    <definedName name="QBREPORTCOMPARECOL_PCTCOL" localSheetId="17">FALSE</definedName>
    <definedName name="QBREPORTCOMPARECOL_PCTCOL" localSheetId="12">FALSE</definedName>
    <definedName name="QBREPORTCOMPARECOL_PCTCOL" localSheetId="3">FALSE</definedName>
    <definedName name="QBREPORTCOMPARECOL_PCTCOL" localSheetId="18">FALSE</definedName>
    <definedName name="QBREPORTCOMPARECOL_PCTCOL" localSheetId="13">FALSE</definedName>
    <definedName name="QBREPORTCOMPARECOL_PCTCOL" localSheetId="1">FALSE</definedName>
    <definedName name="QBREPORTCOMPARECOL_PCTCOL" localSheetId="4">FALSE</definedName>
    <definedName name="QBREPORTCOMPARECOL_PCTEXPENSE" localSheetId="16">FALSE</definedName>
    <definedName name="QBREPORTCOMPARECOL_PCTEXPENSE" localSheetId="5">FALSE</definedName>
    <definedName name="QBREPORTCOMPARECOL_PCTEXPENSE" localSheetId="17">FALSE</definedName>
    <definedName name="QBREPORTCOMPARECOL_PCTEXPENSE" localSheetId="12">FALSE</definedName>
    <definedName name="QBREPORTCOMPARECOL_PCTEXPENSE" localSheetId="3">FALSE</definedName>
    <definedName name="QBREPORTCOMPARECOL_PCTEXPENSE" localSheetId="18">FALSE</definedName>
    <definedName name="QBREPORTCOMPARECOL_PCTEXPENSE" localSheetId="13">FALSE</definedName>
    <definedName name="QBREPORTCOMPARECOL_PCTEXPENSE" localSheetId="1">FALSE</definedName>
    <definedName name="QBREPORTCOMPARECOL_PCTEXPENSE" localSheetId="4">FALSE</definedName>
    <definedName name="QBREPORTCOMPARECOL_PCTINCOME" localSheetId="16">FALSE</definedName>
    <definedName name="QBREPORTCOMPARECOL_PCTINCOME" localSheetId="5">FALSE</definedName>
    <definedName name="QBREPORTCOMPARECOL_PCTINCOME" localSheetId="17">FALSE</definedName>
    <definedName name="QBREPORTCOMPARECOL_PCTINCOME" localSheetId="12">FALSE</definedName>
    <definedName name="QBREPORTCOMPARECOL_PCTINCOME" localSheetId="3">FALSE</definedName>
    <definedName name="QBREPORTCOMPARECOL_PCTINCOME" localSheetId="18">FALSE</definedName>
    <definedName name="QBREPORTCOMPARECOL_PCTINCOME" localSheetId="13">FALSE</definedName>
    <definedName name="QBREPORTCOMPARECOL_PCTINCOME" localSheetId="1">FALSE</definedName>
    <definedName name="QBREPORTCOMPARECOL_PCTINCOME" localSheetId="4">FALSE</definedName>
    <definedName name="QBREPORTCOMPARECOL_PCTOFSALES" localSheetId="16">FALSE</definedName>
    <definedName name="QBREPORTCOMPARECOL_PCTOFSALES" localSheetId="5">FALSE</definedName>
    <definedName name="QBREPORTCOMPARECOL_PCTOFSALES" localSheetId="17">FALSE</definedName>
    <definedName name="QBREPORTCOMPARECOL_PCTOFSALES" localSheetId="12">FALSE</definedName>
    <definedName name="QBREPORTCOMPARECOL_PCTOFSALES" localSheetId="3">FALSE</definedName>
    <definedName name="QBREPORTCOMPARECOL_PCTOFSALES" localSheetId="18">FALSE</definedName>
    <definedName name="QBREPORTCOMPARECOL_PCTOFSALES" localSheetId="13">FALSE</definedName>
    <definedName name="QBREPORTCOMPARECOL_PCTOFSALES" localSheetId="1">FALSE</definedName>
    <definedName name="QBREPORTCOMPARECOL_PCTOFSALES" localSheetId="4">FALSE</definedName>
    <definedName name="QBREPORTCOMPARECOL_PCTROW" localSheetId="16">FALSE</definedName>
    <definedName name="QBREPORTCOMPARECOL_PCTROW" localSheetId="5">FALSE</definedName>
    <definedName name="QBREPORTCOMPARECOL_PCTROW" localSheetId="17">FALSE</definedName>
    <definedName name="QBREPORTCOMPARECOL_PCTROW" localSheetId="12">FALSE</definedName>
    <definedName name="QBREPORTCOMPARECOL_PCTROW" localSheetId="3">FALSE</definedName>
    <definedName name="QBREPORTCOMPARECOL_PCTROW" localSheetId="18">FALSE</definedName>
    <definedName name="QBREPORTCOMPARECOL_PCTROW" localSheetId="13">FALSE</definedName>
    <definedName name="QBREPORTCOMPARECOL_PCTROW" localSheetId="1">FALSE</definedName>
    <definedName name="QBREPORTCOMPARECOL_PCTROW" localSheetId="4">FALSE</definedName>
    <definedName name="QBREPORTCOMPARECOL_PPDIFF" localSheetId="16">FALSE</definedName>
    <definedName name="QBREPORTCOMPARECOL_PPDIFF" localSheetId="5">FALSE</definedName>
    <definedName name="QBREPORTCOMPARECOL_PPDIFF" localSheetId="17">FALSE</definedName>
    <definedName name="QBREPORTCOMPARECOL_PPDIFF" localSheetId="12">FALSE</definedName>
    <definedName name="QBREPORTCOMPARECOL_PPDIFF" localSheetId="3">FALSE</definedName>
    <definedName name="QBREPORTCOMPARECOL_PPDIFF" localSheetId="18">FALSE</definedName>
    <definedName name="QBREPORTCOMPARECOL_PPDIFF" localSheetId="13">FALSE</definedName>
    <definedName name="QBREPORTCOMPARECOL_PPDIFF" localSheetId="1">FALSE</definedName>
    <definedName name="QBREPORTCOMPARECOL_PPDIFF" localSheetId="4">FALSE</definedName>
    <definedName name="QBREPORTCOMPARECOL_PPPCT" localSheetId="16">FALSE</definedName>
    <definedName name="QBREPORTCOMPARECOL_PPPCT" localSheetId="5">FALSE</definedName>
    <definedName name="QBREPORTCOMPARECOL_PPPCT" localSheetId="17">FALSE</definedName>
    <definedName name="QBREPORTCOMPARECOL_PPPCT" localSheetId="12">FALSE</definedName>
    <definedName name="QBREPORTCOMPARECOL_PPPCT" localSheetId="3">FALSE</definedName>
    <definedName name="QBREPORTCOMPARECOL_PPPCT" localSheetId="18">FALSE</definedName>
    <definedName name="QBREPORTCOMPARECOL_PPPCT" localSheetId="13">FALSE</definedName>
    <definedName name="QBREPORTCOMPARECOL_PPPCT" localSheetId="1">FALSE</definedName>
    <definedName name="QBREPORTCOMPARECOL_PPPCT" localSheetId="4">FALSE</definedName>
    <definedName name="QBREPORTCOMPARECOL_PREVPERIOD" localSheetId="16">FALSE</definedName>
    <definedName name="QBREPORTCOMPARECOL_PREVPERIOD" localSheetId="5">FALSE</definedName>
    <definedName name="QBREPORTCOMPARECOL_PREVPERIOD" localSheetId="17">FALSE</definedName>
    <definedName name="QBREPORTCOMPARECOL_PREVPERIOD" localSheetId="12">FALSE</definedName>
    <definedName name="QBREPORTCOMPARECOL_PREVPERIOD" localSheetId="3">FALSE</definedName>
    <definedName name="QBREPORTCOMPARECOL_PREVPERIOD" localSheetId="18">FALSE</definedName>
    <definedName name="QBREPORTCOMPARECOL_PREVPERIOD" localSheetId="13">FALSE</definedName>
    <definedName name="QBREPORTCOMPARECOL_PREVPERIOD" localSheetId="1">FALSE</definedName>
    <definedName name="QBREPORTCOMPARECOL_PREVPERIOD" localSheetId="4">FALSE</definedName>
    <definedName name="QBREPORTCOMPARECOL_PREVYEAR" localSheetId="16">FALSE</definedName>
    <definedName name="QBREPORTCOMPARECOL_PREVYEAR" localSheetId="5">FALSE</definedName>
    <definedName name="QBREPORTCOMPARECOL_PREVYEAR" localSheetId="17">FALSE</definedName>
    <definedName name="QBREPORTCOMPARECOL_PREVYEAR" localSheetId="12">FALSE</definedName>
    <definedName name="QBREPORTCOMPARECOL_PREVYEAR" localSheetId="3">FALSE</definedName>
    <definedName name="QBREPORTCOMPARECOL_PREVYEAR" localSheetId="18">FALSE</definedName>
    <definedName name="QBREPORTCOMPARECOL_PREVYEAR" localSheetId="13">FALSE</definedName>
    <definedName name="QBREPORTCOMPARECOL_PREVYEAR" localSheetId="1">FALSE</definedName>
    <definedName name="QBREPORTCOMPARECOL_PREVYEAR" localSheetId="4">FALSE</definedName>
    <definedName name="QBREPORTCOMPARECOL_PYDIFF" localSheetId="16">FALSE</definedName>
    <definedName name="QBREPORTCOMPARECOL_PYDIFF" localSheetId="5">FALSE</definedName>
    <definedName name="QBREPORTCOMPARECOL_PYDIFF" localSheetId="17">FALSE</definedName>
    <definedName name="QBREPORTCOMPARECOL_PYDIFF" localSheetId="12">FALSE</definedName>
    <definedName name="QBREPORTCOMPARECOL_PYDIFF" localSheetId="3">FALSE</definedName>
    <definedName name="QBREPORTCOMPARECOL_PYDIFF" localSheetId="18">FALSE</definedName>
    <definedName name="QBREPORTCOMPARECOL_PYDIFF" localSheetId="13">FALSE</definedName>
    <definedName name="QBREPORTCOMPARECOL_PYDIFF" localSheetId="1">FALSE</definedName>
    <definedName name="QBREPORTCOMPARECOL_PYDIFF" localSheetId="4">FALSE</definedName>
    <definedName name="QBREPORTCOMPARECOL_PYPCT" localSheetId="16">FALSE</definedName>
    <definedName name="QBREPORTCOMPARECOL_PYPCT" localSheetId="5">FALSE</definedName>
    <definedName name="QBREPORTCOMPARECOL_PYPCT" localSheetId="17">FALSE</definedName>
    <definedName name="QBREPORTCOMPARECOL_PYPCT" localSheetId="12">FALSE</definedName>
    <definedName name="QBREPORTCOMPARECOL_PYPCT" localSheetId="3">FALSE</definedName>
    <definedName name="QBREPORTCOMPARECOL_PYPCT" localSheetId="18">FALSE</definedName>
    <definedName name="QBREPORTCOMPARECOL_PYPCT" localSheetId="13">FALSE</definedName>
    <definedName name="QBREPORTCOMPARECOL_PYPCT" localSheetId="1">FALSE</definedName>
    <definedName name="QBREPORTCOMPARECOL_PYPCT" localSheetId="4">FALSE</definedName>
    <definedName name="QBREPORTCOMPARECOL_QTY" localSheetId="16">FALSE</definedName>
    <definedName name="QBREPORTCOMPARECOL_QTY" localSheetId="5">FALSE</definedName>
    <definedName name="QBREPORTCOMPARECOL_QTY" localSheetId="17">FALSE</definedName>
    <definedName name="QBREPORTCOMPARECOL_QTY" localSheetId="12">FALSE</definedName>
    <definedName name="QBREPORTCOMPARECOL_QTY" localSheetId="3">FALSE</definedName>
    <definedName name="QBREPORTCOMPARECOL_QTY" localSheetId="18">FALSE</definedName>
    <definedName name="QBREPORTCOMPARECOL_QTY" localSheetId="13">FALSE</definedName>
    <definedName name="QBREPORTCOMPARECOL_QTY" localSheetId="1">FALSE</definedName>
    <definedName name="QBREPORTCOMPARECOL_QTY" localSheetId="4">FALSE</definedName>
    <definedName name="QBREPORTCOMPARECOL_RATE" localSheetId="16">FALSE</definedName>
    <definedName name="QBREPORTCOMPARECOL_RATE" localSheetId="5">FALSE</definedName>
    <definedName name="QBREPORTCOMPARECOL_RATE" localSheetId="17">FALSE</definedName>
    <definedName name="QBREPORTCOMPARECOL_RATE" localSheetId="12">FALSE</definedName>
    <definedName name="QBREPORTCOMPARECOL_RATE" localSheetId="3">FALSE</definedName>
    <definedName name="QBREPORTCOMPARECOL_RATE" localSheetId="18">FALSE</definedName>
    <definedName name="QBREPORTCOMPARECOL_RATE" localSheetId="13">FALSE</definedName>
    <definedName name="QBREPORTCOMPARECOL_RATE" localSheetId="1">FALSE</definedName>
    <definedName name="QBREPORTCOMPARECOL_RATE" localSheetId="4">FALSE</definedName>
    <definedName name="QBREPORTCOMPARECOL_TRIPBILLEDMILES" localSheetId="16">FALSE</definedName>
    <definedName name="QBREPORTCOMPARECOL_TRIPBILLEDMILES" localSheetId="5">FALSE</definedName>
    <definedName name="QBREPORTCOMPARECOL_TRIPBILLEDMILES" localSheetId="17">FALSE</definedName>
    <definedName name="QBREPORTCOMPARECOL_TRIPBILLEDMILES" localSheetId="12">FALSE</definedName>
    <definedName name="QBREPORTCOMPARECOL_TRIPBILLEDMILES" localSheetId="3">FALSE</definedName>
    <definedName name="QBREPORTCOMPARECOL_TRIPBILLEDMILES" localSheetId="18">FALSE</definedName>
    <definedName name="QBREPORTCOMPARECOL_TRIPBILLEDMILES" localSheetId="13">FALSE</definedName>
    <definedName name="QBREPORTCOMPARECOL_TRIPBILLEDMILES" localSheetId="1">FALSE</definedName>
    <definedName name="QBREPORTCOMPARECOL_TRIPBILLEDMILES" localSheetId="4">FALSE</definedName>
    <definedName name="QBREPORTCOMPARECOL_TRIPBILLINGAMOUNT" localSheetId="16">FALSE</definedName>
    <definedName name="QBREPORTCOMPARECOL_TRIPBILLINGAMOUNT" localSheetId="5">FALSE</definedName>
    <definedName name="QBREPORTCOMPARECOL_TRIPBILLINGAMOUNT" localSheetId="17">FALSE</definedName>
    <definedName name="QBREPORTCOMPARECOL_TRIPBILLINGAMOUNT" localSheetId="12">FALSE</definedName>
    <definedName name="QBREPORTCOMPARECOL_TRIPBILLINGAMOUNT" localSheetId="3">FALSE</definedName>
    <definedName name="QBREPORTCOMPARECOL_TRIPBILLINGAMOUNT" localSheetId="18">FALSE</definedName>
    <definedName name="QBREPORTCOMPARECOL_TRIPBILLINGAMOUNT" localSheetId="13">FALSE</definedName>
    <definedName name="QBREPORTCOMPARECOL_TRIPBILLINGAMOUNT" localSheetId="1">FALSE</definedName>
    <definedName name="QBREPORTCOMPARECOL_TRIPBILLINGAMOUNT" localSheetId="4">FALSE</definedName>
    <definedName name="QBREPORTCOMPARECOL_TRIPMILES" localSheetId="16">FALSE</definedName>
    <definedName name="QBREPORTCOMPARECOL_TRIPMILES" localSheetId="5">FALSE</definedName>
    <definedName name="QBREPORTCOMPARECOL_TRIPMILES" localSheetId="17">FALSE</definedName>
    <definedName name="QBREPORTCOMPARECOL_TRIPMILES" localSheetId="12">FALSE</definedName>
    <definedName name="QBREPORTCOMPARECOL_TRIPMILES" localSheetId="3">FALSE</definedName>
    <definedName name="QBREPORTCOMPARECOL_TRIPMILES" localSheetId="18">FALSE</definedName>
    <definedName name="QBREPORTCOMPARECOL_TRIPMILES" localSheetId="13">FALSE</definedName>
    <definedName name="QBREPORTCOMPARECOL_TRIPMILES" localSheetId="1">FALSE</definedName>
    <definedName name="QBREPORTCOMPARECOL_TRIPMILES" localSheetId="4">FALSE</definedName>
    <definedName name="QBREPORTCOMPARECOL_TRIPNOTBILLABLEMILES" localSheetId="16">FALSE</definedName>
    <definedName name="QBREPORTCOMPARECOL_TRIPNOTBILLABLEMILES" localSheetId="5">FALSE</definedName>
    <definedName name="QBREPORTCOMPARECOL_TRIPNOTBILLABLEMILES" localSheetId="17">FALSE</definedName>
    <definedName name="QBREPORTCOMPARECOL_TRIPNOTBILLABLEMILES" localSheetId="12">FALSE</definedName>
    <definedName name="QBREPORTCOMPARECOL_TRIPNOTBILLABLEMILES" localSheetId="3">FALSE</definedName>
    <definedName name="QBREPORTCOMPARECOL_TRIPNOTBILLABLEMILES" localSheetId="18">FALSE</definedName>
    <definedName name="QBREPORTCOMPARECOL_TRIPNOTBILLABLEMILES" localSheetId="13">FALSE</definedName>
    <definedName name="QBREPORTCOMPARECOL_TRIPNOTBILLABLEMILES" localSheetId="1">FALSE</definedName>
    <definedName name="QBREPORTCOMPARECOL_TRIPNOTBILLABLEMILES" localSheetId="4">FALSE</definedName>
    <definedName name="QBREPORTCOMPARECOL_TRIPTAXDEDUCTIBLEAMOUNT" localSheetId="16">FALSE</definedName>
    <definedName name="QBREPORTCOMPARECOL_TRIPTAXDEDUCTIBLEAMOUNT" localSheetId="5">FALSE</definedName>
    <definedName name="QBREPORTCOMPARECOL_TRIPTAXDEDUCTIBLEAMOUNT" localSheetId="17">FALSE</definedName>
    <definedName name="QBREPORTCOMPARECOL_TRIPTAXDEDUCTIBLEAMOUNT" localSheetId="12">FALSE</definedName>
    <definedName name="QBREPORTCOMPARECOL_TRIPTAXDEDUCTIBLEAMOUNT" localSheetId="3">FALSE</definedName>
    <definedName name="QBREPORTCOMPARECOL_TRIPTAXDEDUCTIBLEAMOUNT" localSheetId="18">FALSE</definedName>
    <definedName name="QBREPORTCOMPARECOL_TRIPTAXDEDUCTIBLEAMOUNT" localSheetId="13">FALSE</definedName>
    <definedName name="QBREPORTCOMPARECOL_TRIPTAXDEDUCTIBLEAMOUNT" localSheetId="1">FALSE</definedName>
    <definedName name="QBREPORTCOMPARECOL_TRIPTAXDEDUCTIBLEAMOUNT" localSheetId="4">FALSE</definedName>
    <definedName name="QBREPORTCOMPARECOL_TRIPUNBILLEDMILES" localSheetId="16">FALSE</definedName>
    <definedName name="QBREPORTCOMPARECOL_TRIPUNBILLEDMILES" localSheetId="5">FALSE</definedName>
    <definedName name="QBREPORTCOMPARECOL_TRIPUNBILLEDMILES" localSheetId="17">FALSE</definedName>
    <definedName name="QBREPORTCOMPARECOL_TRIPUNBILLEDMILES" localSheetId="12">FALSE</definedName>
    <definedName name="QBREPORTCOMPARECOL_TRIPUNBILLEDMILES" localSheetId="3">FALSE</definedName>
    <definedName name="QBREPORTCOMPARECOL_TRIPUNBILLEDMILES" localSheetId="18">FALSE</definedName>
    <definedName name="QBREPORTCOMPARECOL_TRIPUNBILLEDMILES" localSheetId="13">FALSE</definedName>
    <definedName name="QBREPORTCOMPARECOL_TRIPUNBILLEDMILES" localSheetId="1">FALSE</definedName>
    <definedName name="QBREPORTCOMPARECOL_TRIPUNBILLEDMILES" localSheetId="4">FALSE</definedName>
    <definedName name="QBREPORTCOMPARECOL_YTD" localSheetId="16">FALSE</definedName>
    <definedName name="QBREPORTCOMPARECOL_YTD" localSheetId="5">FALSE</definedName>
    <definedName name="QBREPORTCOMPARECOL_YTD" localSheetId="17">FALSE</definedName>
    <definedName name="QBREPORTCOMPARECOL_YTD" localSheetId="12">FALSE</definedName>
    <definedName name="QBREPORTCOMPARECOL_YTD" localSheetId="3">FALSE</definedName>
    <definedName name="QBREPORTCOMPARECOL_YTD" localSheetId="18">FALSE</definedName>
    <definedName name="QBREPORTCOMPARECOL_YTD" localSheetId="13">FALSE</definedName>
    <definedName name="QBREPORTCOMPARECOL_YTD" localSheetId="1">FALSE</definedName>
    <definedName name="QBREPORTCOMPARECOL_YTD" localSheetId="4">FALSE</definedName>
    <definedName name="QBREPORTCOMPARECOL_YTDBUDGET" localSheetId="16">FALSE</definedName>
    <definedName name="QBREPORTCOMPARECOL_YTDBUDGET" localSheetId="5">FALSE</definedName>
    <definedName name="QBREPORTCOMPARECOL_YTDBUDGET" localSheetId="17">FALSE</definedName>
    <definedName name="QBREPORTCOMPARECOL_YTDBUDGET" localSheetId="12">FALSE</definedName>
    <definedName name="QBREPORTCOMPARECOL_YTDBUDGET" localSheetId="3">FALSE</definedName>
    <definedName name="QBREPORTCOMPARECOL_YTDBUDGET" localSheetId="18">FALSE</definedName>
    <definedName name="QBREPORTCOMPARECOL_YTDBUDGET" localSheetId="13">FALSE</definedName>
    <definedName name="QBREPORTCOMPARECOL_YTDBUDGET" localSheetId="1">FALSE</definedName>
    <definedName name="QBREPORTCOMPARECOL_YTDBUDGET" localSheetId="4">FALSE</definedName>
    <definedName name="QBREPORTCOMPARECOL_YTDPCT" localSheetId="16">FALSE</definedName>
    <definedName name="QBREPORTCOMPARECOL_YTDPCT" localSheetId="5">FALSE</definedName>
    <definedName name="QBREPORTCOMPARECOL_YTDPCT" localSheetId="17">FALSE</definedName>
    <definedName name="QBREPORTCOMPARECOL_YTDPCT" localSheetId="12">FALSE</definedName>
    <definedName name="QBREPORTCOMPARECOL_YTDPCT" localSheetId="3">FALSE</definedName>
    <definedName name="QBREPORTCOMPARECOL_YTDPCT" localSheetId="18">FALSE</definedName>
    <definedName name="QBREPORTCOMPARECOL_YTDPCT" localSheetId="13">FALSE</definedName>
    <definedName name="QBREPORTCOMPARECOL_YTDPCT" localSheetId="1">FALSE</definedName>
    <definedName name="QBREPORTCOMPARECOL_YTDPCT" localSheetId="4">FALSE</definedName>
    <definedName name="QBREPORTROWAXIS" localSheetId="16">12</definedName>
    <definedName name="QBREPORTROWAXIS" localSheetId="5">9</definedName>
    <definedName name="QBREPORTROWAXIS" localSheetId="17">9</definedName>
    <definedName name="QBREPORTROWAXIS" localSheetId="12">9</definedName>
    <definedName name="QBREPORTROWAXIS" localSheetId="3">9</definedName>
    <definedName name="QBREPORTROWAXIS" localSheetId="18">11</definedName>
    <definedName name="QBREPORTROWAXIS" localSheetId="13">11</definedName>
    <definedName name="QBREPORTROWAXIS" localSheetId="1">11</definedName>
    <definedName name="QBREPORTROWAXIS" localSheetId="4">12</definedName>
    <definedName name="QBREPORTSUBCOLAXIS" localSheetId="16">23</definedName>
    <definedName name="QBREPORTSUBCOLAXIS" localSheetId="5">0</definedName>
    <definedName name="QBREPORTSUBCOLAXIS" localSheetId="17">0</definedName>
    <definedName name="QBREPORTSUBCOLAXIS" localSheetId="12">0</definedName>
    <definedName name="QBREPORTSUBCOLAXIS" localSheetId="3">0</definedName>
    <definedName name="QBREPORTSUBCOLAXIS" localSheetId="18">0</definedName>
    <definedName name="QBREPORTSUBCOLAXIS" localSheetId="13">0</definedName>
    <definedName name="QBREPORTSUBCOLAXIS" localSheetId="1">0</definedName>
    <definedName name="QBREPORTSUBCOLAXIS" localSheetId="4">23</definedName>
    <definedName name="QBREPORTTYPE" localSheetId="16">27</definedName>
    <definedName name="QBREPORTTYPE" localSheetId="5">5</definedName>
    <definedName name="QBREPORTTYPE" localSheetId="17">5</definedName>
    <definedName name="QBREPORTTYPE" localSheetId="12">5</definedName>
    <definedName name="QBREPORTTYPE" localSheetId="3">5</definedName>
    <definedName name="QBREPORTTYPE" localSheetId="18">0</definedName>
    <definedName name="QBREPORTTYPE" localSheetId="13">0</definedName>
    <definedName name="QBREPORTTYPE" localSheetId="1">0</definedName>
    <definedName name="QBREPORTTYPE" localSheetId="4">27</definedName>
    <definedName name="QBROWHEADERS" localSheetId="16">2</definedName>
    <definedName name="QBROWHEADERS" localSheetId="5">7</definedName>
    <definedName name="QBROWHEADERS" localSheetId="17">7</definedName>
    <definedName name="QBROWHEADERS" localSheetId="12">7</definedName>
    <definedName name="QBROWHEADERS" localSheetId="3">7</definedName>
    <definedName name="QBROWHEADERS" localSheetId="18">9</definedName>
    <definedName name="QBROWHEADERS" localSheetId="13">9</definedName>
    <definedName name="QBROWHEADERS" localSheetId="1">9</definedName>
    <definedName name="QBROWHEADERS" localSheetId="4">2</definedName>
    <definedName name="QBSTARTDATE" localSheetId="16">20150101</definedName>
    <definedName name="QBSTARTDATE" localSheetId="5">20180101</definedName>
    <definedName name="QBSTARTDATE" localSheetId="17">20161231</definedName>
    <definedName name="QBSTARTDATE" localSheetId="12">20180331</definedName>
    <definedName name="QBSTARTDATE" localSheetId="3">20180331</definedName>
    <definedName name="QBSTARTDATE" localSheetId="18">20160101</definedName>
    <definedName name="QBSTARTDATE" localSheetId="13">20180101</definedName>
    <definedName name="QBSTARTDATE" localSheetId="1">20180101</definedName>
    <definedName name="QBSTARTDATE" localSheetId="4">20180101</definedName>
    <definedName name="YTD2">[1]Y!$C$5,[1]Y!$B$3:$U$176,[1]Y!$V$195:$AR$223,[1]Y!$AS$236:$BH$276,[1]Y!$BJ$279:$CC$344,[1]Y!$BJ$365:$CC$430,[1]Y!$BJ$431:$CC$445,[1]Y!$CE$457:$CU$716,[1]Y!$B$811:$U$984,[1]Y!$V$1003:$AR$1031,[1]Y!$AS$1044:$BH$1084,[1]Y!$BJ$1092:$CC$1258,[1]Y!$CE$1270:$CU$1539,[1]Y!$CV$1555</definedName>
  </definedNames>
  <calcPr calcId="179017"/>
</workbook>
</file>

<file path=xl/calcChain.xml><?xml version="1.0" encoding="utf-8"?>
<calcChain xmlns="http://schemas.openxmlformats.org/spreadsheetml/2006/main">
  <c r="G32" i="66" l="1"/>
  <c r="N32" i="66"/>
  <c r="G28" i="66"/>
  <c r="G27" i="66"/>
  <c r="F27" i="66"/>
  <c r="F32" i="66"/>
  <c r="O28" i="66"/>
  <c r="O27" i="66"/>
  <c r="F28" i="66"/>
  <c r="O269" i="70"/>
  <c r="N269" i="70"/>
  <c r="O89" i="70"/>
  <c r="O138" i="70"/>
  <c r="O157" i="70"/>
  <c r="N233" i="70"/>
  <c r="N90" i="70"/>
  <c r="M89" i="70"/>
  <c r="M5" i="70"/>
  <c r="M6" i="70"/>
  <c r="M7" i="70"/>
  <c r="M8" i="70"/>
  <c r="M9" i="70"/>
  <c r="J10" i="70"/>
  <c r="M10" i="70" s="1"/>
  <c r="K10" i="70"/>
  <c r="L10" i="70"/>
  <c r="J11" i="70"/>
  <c r="M11" i="70" s="1"/>
  <c r="K11" i="70"/>
  <c r="L11" i="70"/>
  <c r="M13" i="70"/>
  <c r="M16" i="70"/>
  <c r="M17" i="70"/>
  <c r="M18" i="70"/>
  <c r="M19" i="70"/>
  <c r="M20" i="70"/>
  <c r="J21" i="70"/>
  <c r="M21" i="70" s="1"/>
  <c r="K21" i="70"/>
  <c r="L21" i="70"/>
  <c r="L43" i="70" s="1"/>
  <c r="L44" i="70" s="1"/>
  <c r="M23" i="70"/>
  <c r="M24" i="70"/>
  <c r="M25" i="70"/>
  <c r="M26" i="70"/>
  <c r="J27" i="70"/>
  <c r="M27" i="70" s="1"/>
  <c r="K27" i="70"/>
  <c r="L27" i="70"/>
  <c r="M29" i="70"/>
  <c r="M30" i="70"/>
  <c r="M31" i="70"/>
  <c r="M32" i="70"/>
  <c r="M33" i="70"/>
  <c r="J34" i="70"/>
  <c r="K34" i="70"/>
  <c r="L34" i="70"/>
  <c r="M34" i="70"/>
  <c r="M36" i="70"/>
  <c r="M37" i="70"/>
  <c r="M38" i="70"/>
  <c r="M39" i="70"/>
  <c r="M40" i="70"/>
  <c r="M41" i="70"/>
  <c r="J42" i="70"/>
  <c r="M42" i="70" s="1"/>
  <c r="K42" i="70"/>
  <c r="L42" i="70"/>
  <c r="K43" i="70"/>
  <c r="K44" i="70"/>
  <c r="K45" i="70"/>
  <c r="M50" i="70"/>
  <c r="M51" i="70"/>
  <c r="M52" i="70"/>
  <c r="M53" i="70"/>
  <c r="M54" i="70"/>
  <c r="M56" i="70"/>
  <c r="J57" i="70"/>
  <c r="K57" i="70"/>
  <c r="L57" i="70"/>
  <c r="L60" i="70" s="1"/>
  <c r="L98" i="70" s="1"/>
  <c r="M57" i="70"/>
  <c r="M58" i="70"/>
  <c r="M59" i="70"/>
  <c r="J60" i="70"/>
  <c r="M60" i="70" s="1"/>
  <c r="K60" i="70"/>
  <c r="K98" i="70" s="1"/>
  <c r="M62" i="70"/>
  <c r="M63" i="70"/>
  <c r="M64" i="70"/>
  <c r="M65" i="70"/>
  <c r="M66" i="70"/>
  <c r="M67" i="70"/>
  <c r="J68" i="70"/>
  <c r="K68" i="70"/>
  <c r="L68" i="70"/>
  <c r="M68" i="70"/>
  <c r="M70" i="70"/>
  <c r="M71" i="70"/>
  <c r="M72" i="70"/>
  <c r="M73" i="70"/>
  <c r="J74" i="70"/>
  <c r="K74" i="70"/>
  <c r="L74" i="70"/>
  <c r="M74" i="70"/>
  <c r="M76" i="70"/>
  <c r="M77" i="70"/>
  <c r="M78" i="70"/>
  <c r="M79" i="70"/>
  <c r="M80" i="70"/>
  <c r="J81" i="70"/>
  <c r="K81" i="70"/>
  <c r="M81" i="70" s="1"/>
  <c r="L81" i="70"/>
  <c r="M83" i="70"/>
  <c r="M84" i="70"/>
  <c r="M85" i="70"/>
  <c r="M86" i="70"/>
  <c r="M87" i="70"/>
  <c r="M88" i="70"/>
  <c r="M90" i="70"/>
  <c r="M91" i="70"/>
  <c r="M92" i="70"/>
  <c r="J93" i="70"/>
  <c r="M93" i="70" s="1"/>
  <c r="K93" i="70"/>
  <c r="L93" i="70"/>
  <c r="M95" i="70"/>
  <c r="J96" i="70"/>
  <c r="K96" i="70"/>
  <c r="L96" i="70"/>
  <c r="M96" i="70"/>
  <c r="M97" i="70"/>
  <c r="M101" i="70"/>
  <c r="M102" i="70"/>
  <c r="M103" i="70"/>
  <c r="M104" i="70"/>
  <c r="M105" i="70"/>
  <c r="M106" i="70"/>
  <c r="M107" i="70"/>
  <c r="M108" i="70"/>
  <c r="M109" i="70"/>
  <c r="M110" i="70"/>
  <c r="M111" i="70"/>
  <c r="M112" i="70"/>
  <c r="M113" i="70"/>
  <c r="J114" i="70"/>
  <c r="K114" i="70"/>
  <c r="K146" i="70" s="1"/>
  <c r="L114" i="70"/>
  <c r="M116" i="70"/>
  <c r="M117" i="70"/>
  <c r="M118" i="70"/>
  <c r="M119" i="70"/>
  <c r="J120" i="70"/>
  <c r="K120" i="70"/>
  <c r="M120" i="70" s="1"/>
  <c r="L120" i="70"/>
  <c r="M122" i="70"/>
  <c r="M123" i="70"/>
  <c r="J124" i="70"/>
  <c r="K124" i="70"/>
  <c r="L124" i="70"/>
  <c r="M124" i="70"/>
  <c r="M126" i="70"/>
  <c r="M127" i="70"/>
  <c r="M128" i="70"/>
  <c r="M129" i="70"/>
  <c r="M130" i="70"/>
  <c r="J131" i="70"/>
  <c r="M131" i="70" s="1"/>
  <c r="K131" i="70"/>
  <c r="L131" i="70"/>
  <c r="L146" i="70" s="1"/>
  <c r="M133" i="70"/>
  <c r="M134" i="70"/>
  <c r="M135" i="70"/>
  <c r="M136" i="70"/>
  <c r="M137" i="70"/>
  <c r="M138" i="70"/>
  <c r="M139" i="70"/>
  <c r="J140" i="70"/>
  <c r="K140" i="70"/>
  <c r="L140" i="70"/>
  <c r="M140" i="70"/>
  <c r="M142" i="70"/>
  <c r="M143" i="70"/>
  <c r="M144" i="70"/>
  <c r="J145" i="70"/>
  <c r="M145" i="70" s="1"/>
  <c r="K145" i="70"/>
  <c r="L145" i="70"/>
  <c r="J146" i="70"/>
  <c r="M149" i="70"/>
  <c r="M150" i="70"/>
  <c r="M151" i="70"/>
  <c r="M152" i="70"/>
  <c r="J153" i="70"/>
  <c r="M153" i="70" s="1"/>
  <c r="K153" i="70"/>
  <c r="L153" i="70"/>
  <c r="L159" i="70" s="1"/>
  <c r="M155" i="70"/>
  <c r="M156" i="70"/>
  <c r="M157" i="70"/>
  <c r="J158" i="70"/>
  <c r="K158" i="70"/>
  <c r="M158" i="70" s="1"/>
  <c r="L158" i="70"/>
  <c r="K159" i="70"/>
  <c r="M162" i="70"/>
  <c r="M164" i="70"/>
  <c r="M165" i="70"/>
  <c r="J166" i="70"/>
  <c r="M166" i="70" s="1"/>
  <c r="K166" i="70"/>
  <c r="L166" i="70"/>
  <c r="L168" i="70" s="1"/>
  <c r="L178" i="70" s="1"/>
  <c r="M167" i="70"/>
  <c r="K168" i="70"/>
  <c r="K178" i="70" s="1"/>
  <c r="M170" i="70"/>
  <c r="M171" i="70"/>
  <c r="M172" i="70"/>
  <c r="J173" i="70"/>
  <c r="M173" i="70" s="1"/>
  <c r="K173" i="70"/>
  <c r="L173" i="70"/>
  <c r="M175" i="70"/>
  <c r="M176" i="70"/>
  <c r="J177" i="70"/>
  <c r="M177" i="70" s="1"/>
  <c r="K177" i="70"/>
  <c r="L177" i="70"/>
  <c r="M181" i="70"/>
  <c r="M182" i="70"/>
  <c r="M183" i="70"/>
  <c r="J184" i="70"/>
  <c r="K184" i="70"/>
  <c r="M184" i="70" s="1"/>
  <c r="L184" i="70"/>
  <c r="M186" i="70"/>
  <c r="M187" i="70"/>
  <c r="M188" i="70"/>
  <c r="M189" i="70"/>
  <c r="M190" i="70"/>
  <c r="M191" i="70"/>
  <c r="M192" i="70"/>
  <c r="M193" i="70"/>
  <c r="M194" i="70"/>
  <c r="M195" i="70"/>
  <c r="M196" i="70"/>
  <c r="M197" i="70"/>
  <c r="M198" i="70"/>
  <c r="J199" i="70"/>
  <c r="M199" i="70" s="1"/>
  <c r="K199" i="70"/>
  <c r="L199" i="70"/>
  <c r="M201" i="70"/>
  <c r="M202" i="70"/>
  <c r="M203" i="70"/>
  <c r="M204" i="70"/>
  <c r="M205" i="70"/>
  <c r="M206" i="70"/>
  <c r="J207" i="70"/>
  <c r="M207" i="70" s="1"/>
  <c r="K207" i="70"/>
  <c r="L207" i="70"/>
  <c r="M209" i="70"/>
  <c r="M210" i="70"/>
  <c r="M211" i="70"/>
  <c r="M212" i="70"/>
  <c r="M213" i="70"/>
  <c r="J214" i="70"/>
  <c r="M214" i="70" s="1"/>
  <c r="K214" i="70"/>
  <c r="L214" i="70"/>
  <c r="M216" i="70"/>
  <c r="M217" i="70"/>
  <c r="M218" i="70"/>
  <c r="M219" i="70"/>
  <c r="M220" i="70"/>
  <c r="M221" i="70"/>
  <c r="M223" i="70"/>
  <c r="M224" i="70"/>
  <c r="M225" i="70"/>
  <c r="M226" i="70"/>
  <c r="M227" i="70"/>
  <c r="J228" i="70"/>
  <c r="M228" i="70" s="1"/>
  <c r="K228" i="70"/>
  <c r="K231" i="70" s="1"/>
  <c r="K249" i="70" s="1"/>
  <c r="L228" i="70"/>
  <c r="L231" i="70" s="1"/>
  <c r="M229" i="70"/>
  <c r="M230" i="70"/>
  <c r="J231" i="70"/>
  <c r="M233" i="70"/>
  <c r="M234" i="70"/>
  <c r="M235" i="70"/>
  <c r="M236" i="70"/>
  <c r="J237" i="70"/>
  <c r="M237" i="70" s="1"/>
  <c r="K237" i="70"/>
  <c r="L237" i="70"/>
  <c r="M239" i="70"/>
  <c r="J240" i="70"/>
  <c r="K240" i="70"/>
  <c r="L240" i="70"/>
  <c r="M240" i="70"/>
  <c r="M242" i="70"/>
  <c r="M243" i="70"/>
  <c r="M244" i="70"/>
  <c r="M245" i="70"/>
  <c r="M246" i="70"/>
  <c r="M247" i="70"/>
  <c r="J248" i="70"/>
  <c r="M248" i="70" s="1"/>
  <c r="K248" i="70"/>
  <c r="L248" i="70"/>
  <c r="M252" i="70"/>
  <c r="M253" i="70"/>
  <c r="M254" i="70"/>
  <c r="M255" i="70"/>
  <c r="M256" i="70"/>
  <c r="M257" i="70"/>
  <c r="J258" i="70"/>
  <c r="K258" i="70"/>
  <c r="L258" i="70"/>
  <c r="M258" i="70"/>
  <c r="M264" i="70"/>
  <c r="M265" i="70"/>
  <c r="J266" i="70"/>
  <c r="M266" i="70" s="1"/>
  <c r="K266" i="70"/>
  <c r="K267" i="70" s="1"/>
  <c r="K268" i="70" s="1"/>
  <c r="L266" i="70"/>
  <c r="J267" i="70"/>
  <c r="M267" i="70" s="1"/>
  <c r="L267" i="70"/>
  <c r="J268" i="70"/>
  <c r="M268" i="70" s="1"/>
  <c r="L268" i="70"/>
  <c r="O44" i="66"/>
  <c r="O43" i="66"/>
  <c r="O42" i="66"/>
  <c r="K32" i="66"/>
  <c r="M28" i="66"/>
  <c r="K28" i="66"/>
  <c r="J28" i="66"/>
  <c r="I28" i="66"/>
  <c r="H28" i="66"/>
  <c r="H480" i="68"/>
  <c r="K480" i="68"/>
  <c r="L480" i="68"/>
  <c r="M480" i="68"/>
  <c r="L465" i="68"/>
  <c r="J464" i="68"/>
  <c r="J480" i="68" s="1"/>
  <c r="G463" i="68"/>
  <c r="G480" i="68" s="1"/>
  <c r="F462" i="68"/>
  <c r="F480" i="68" s="1"/>
  <c r="E412" i="68"/>
  <c r="I402" i="68"/>
  <c r="I480" i="68" s="1"/>
  <c r="E401" i="68"/>
  <c r="E480" i="68" s="1"/>
  <c r="H369" i="68"/>
  <c r="F368" i="68"/>
  <c r="E367" i="68"/>
  <c r="M32" i="66"/>
  <c r="K27" i="66"/>
  <c r="J32" i="66"/>
  <c r="I32" i="66"/>
  <c r="H32" i="66"/>
  <c r="M27" i="66"/>
  <c r="J27" i="66"/>
  <c r="I27" i="66"/>
  <c r="H27" i="66"/>
  <c r="M298" i="67"/>
  <c r="I12" i="66" s="1"/>
  <c r="H18" i="66"/>
  <c r="AB305" i="69"/>
  <c r="AC305" i="69"/>
  <c r="AD305" i="69"/>
  <c r="AE305" i="69"/>
  <c r="AF305" i="69"/>
  <c r="AG305" i="69"/>
  <c r="AH305" i="69"/>
  <c r="AI305" i="69"/>
  <c r="AJ305" i="69"/>
  <c r="AA305" i="69"/>
  <c r="AA116" i="69"/>
  <c r="AJ145" i="69"/>
  <c r="I119" i="67"/>
  <c r="AF180" i="69"/>
  <c r="AF176" i="69"/>
  <c r="AF177" i="69"/>
  <c r="AF175" i="69"/>
  <c r="J18" i="66" s="1"/>
  <c r="AE170" i="69"/>
  <c r="AE171" i="69"/>
  <c r="AE169" i="69"/>
  <c r="I18" i="66" s="1"/>
  <c r="AI166" i="69"/>
  <c r="AI164" i="69"/>
  <c r="AG161" i="69"/>
  <c r="AG159" i="69"/>
  <c r="K18" i="66" s="1"/>
  <c r="AD156" i="69"/>
  <c r="AD152" i="69"/>
  <c r="AD153" i="69"/>
  <c r="AD154" i="69"/>
  <c r="AD151" i="69"/>
  <c r="AJ146" i="69"/>
  <c r="AC147" i="69"/>
  <c r="AC144" i="69"/>
  <c r="AC143" i="69"/>
  <c r="AC142" i="69"/>
  <c r="AC141" i="69"/>
  <c r="AC140" i="69"/>
  <c r="AB137" i="69"/>
  <c r="AB128" i="69"/>
  <c r="AB129" i="69"/>
  <c r="AB130" i="69"/>
  <c r="AB131" i="69"/>
  <c r="AB132" i="69"/>
  <c r="AB133" i="69"/>
  <c r="AB134" i="69"/>
  <c r="AB135" i="69"/>
  <c r="AB127" i="69"/>
  <c r="AA118" i="69"/>
  <c r="AA119" i="69"/>
  <c r="AA120" i="69"/>
  <c r="AA121" i="69"/>
  <c r="AA122" i="69"/>
  <c r="AA123" i="69"/>
  <c r="AA124" i="69"/>
  <c r="AA125" i="69"/>
  <c r="AA126" i="69"/>
  <c r="AA117" i="69"/>
  <c r="V302" i="69"/>
  <c r="U302" i="69"/>
  <c r="T302" i="69"/>
  <c r="S302" i="69"/>
  <c r="R302" i="69"/>
  <c r="N302" i="69"/>
  <c r="M302" i="69"/>
  <c r="L302" i="69"/>
  <c r="H298" i="69"/>
  <c r="H301" i="69" s="1"/>
  <c r="H291" i="69"/>
  <c r="H292" i="69" s="1"/>
  <c r="W290" i="69"/>
  <c r="W289" i="69"/>
  <c r="W288" i="69"/>
  <c r="W287" i="69"/>
  <c r="W286" i="69"/>
  <c r="W285" i="69"/>
  <c r="W284" i="69"/>
  <c r="W283" i="69"/>
  <c r="W282" i="69"/>
  <c r="W281" i="69"/>
  <c r="W280" i="69"/>
  <c r="W279" i="69"/>
  <c r="W278" i="69"/>
  <c r="W277" i="69"/>
  <c r="W276" i="69"/>
  <c r="W275" i="69"/>
  <c r="W274" i="69"/>
  <c r="W273" i="69"/>
  <c r="W272" i="69"/>
  <c r="W271" i="69"/>
  <c r="W270" i="69"/>
  <c r="W269" i="69"/>
  <c r="W268" i="69"/>
  <c r="Z263" i="69"/>
  <c r="Z262" i="69"/>
  <c r="Z261" i="69"/>
  <c r="Y260" i="69"/>
  <c r="Y259" i="69"/>
  <c r="Z257" i="69"/>
  <c r="Z256" i="69"/>
  <c r="Z255" i="69"/>
  <c r="Z254" i="69"/>
  <c r="H253" i="69"/>
  <c r="Z252" i="69"/>
  <c r="Z251" i="69"/>
  <c r="Z250" i="69"/>
  <c r="H248" i="69"/>
  <c r="H258" i="69" s="1"/>
  <c r="X247" i="69"/>
  <c r="Y246" i="69"/>
  <c r="X245" i="69"/>
  <c r="X244" i="69"/>
  <c r="X243" i="69"/>
  <c r="Y241" i="69"/>
  <c r="Y240" i="69"/>
  <c r="Y239" i="69"/>
  <c r="Y238" i="69"/>
  <c r="Y237" i="69"/>
  <c r="Y236" i="69"/>
  <c r="H234" i="69"/>
  <c r="H264" i="69" s="1"/>
  <c r="Y232" i="69"/>
  <c r="Y231" i="69"/>
  <c r="Y230" i="69"/>
  <c r="H226" i="69"/>
  <c r="Y226" i="69" s="1"/>
  <c r="H221" i="69"/>
  <c r="X220" i="69"/>
  <c r="Y219" i="69"/>
  <c r="Y218" i="69"/>
  <c r="H211" i="69"/>
  <c r="H212" i="69" s="1"/>
  <c r="K210" i="69"/>
  <c r="K208" i="69"/>
  <c r="H204" i="69"/>
  <c r="H199" i="69"/>
  <c r="K198" i="69"/>
  <c r="K197" i="69"/>
  <c r="K196" i="69"/>
  <c r="K195" i="69"/>
  <c r="K194" i="69"/>
  <c r="K193" i="69"/>
  <c r="K192" i="69"/>
  <c r="K191" i="69"/>
  <c r="K190" i="69"/>
  <c r="K189" i="69"/>
  <c r="K188" i="69"/>
  <c r="K187" i="69"/>
  <c r="K186" i="69"/>
  <c r="K185" i="69"/>
  <c r="K182" i="69"/>
  <c r="H181" i="69"/>
  <c r="K180" i="69"/>
  <c r="K179" i="69"/>
  <c r="K178" i="69"/>
  <c r="K177" i="69"/>
  <c r="K176" i="69"/>
  <c r="K175" i="69"/>
  <c r="H173" i="69"/>
  <c r="K172" i="69"/>
  <c r="K171" i="69"/>
  <c r="K170" i="69"/>
  <c r="K169" i="69"/>
  <c r="H167" i="69"/>
  <c r="K166" i="69"/>
  <c r="K165" i="69"/>
  <c r="K164" i="69"/>
  <c r="H162" i="69"/>
  <c r="K161" i="69"/>
  <c r="K160" i="69"/>
  <c r="K159" i="69"/>
  <c r="H157" i="69"/>
  <c r="K156" i="69"/>
  <c r="K155" i="69"/>
  <c r="K154" i="69"/>
  <c r="K153" i="69"/>
  <c r="K152" i="69"/>
  <c r="K151" i="69"/>
  <c r="H149" i="69"/>
  <c r="K148" i="69"/>
  <c r="K147" i="69"/>
  <c r="K146" i="69"/>
  <c r="K145" i="69"/>
  <c r="K144" i="69"/>
  <c r="K143" i="69"/>
  <c r="K142" i="69"/>
  <c r="K141" i="69"/>
  <c r="K140" i="69"/>
  <c r="H138" i="69"/>
  <c r="K137" i="69"/>
  <c r="K136" i="69"/>
  <c r="K135" i="69"/>
  <c r="K134" i="69"/>
  <c r="K133" i="69"/>
  <c r="K132" i="69"/>
  <c r="K131" i="69"/>
  <c r="K130" i="69"/>
  <c r="K129" i="69"/>
  <c r="K128" i="69"/>
  <c r="K127" i="69"/>
  <c r="K126" i="69"/>
  <c r="K125" i="69"/>
  <c r="K124" i="69"/>
  <c r="K123" i="69"/>
  <c r="K122" i="69"/>
  <c r="K121" i="69"/>
  <c r="K120" i="69"/>
  <c r="K119" i="69"/>
  <c r="K118" i="69"/>
  <c r="K117" i="69"/>
  <c r="K116" i="69"/>
  <c r="P109" i="69"/>
  <c r="P108" i="69"/>
  <c r="K106" i="69"/>
  <c r="Q105" i="69"/>
  <c r="Q104" i="69"/>
  <c r="Q103" i="69"/>
  <c r="Q102" i="69"/>
  <c r="Q101" i="69"/>
  <c r="Q100" i="69"/>
  <c r="Q99" i="69"/>
  <c r="Q98" i="69"/>
  <c r="Q97" i="69"/>
  <c r="H96" i="69"/>
  <c r="P95" i="69"/>
  <c r="P94" i="69"/>
  <c r="P93" i="69"/>
  <c r="P92" i="69"/>
  <c r="P91" i="69"/>
  <c r="P90" i="69"/>
  <c r="P89" i="69"/>
  <c r="H88" i="69"/>
  <c r="P87" i="69"/>
  <c r="P86" i="69"/>
  <c r="P85" i="69"/>
  <c r="P84" i="69"/>
  <c r="P83" i="69"/>
  <c r="P82" i="69"/>
  <c r="P81" i="69"/>
  <c r="P80" i="69"/>
  <c r="P79" i="69"/>
  <c r="P77" i="69"/>
  <c r="P76" i="69"/>
  <c r="P75" i="69"/>
  <c r="P73" i="69"/>
  <c r="P72" i="69"/>
  <c r="H71" i="69"/>
  <c r="P70" i="69"/>
  <c r="P69" i="69"/>
  <c r="K67" i="69"/>
  <c r="H66" i="69"/>
  <c r="H74" i="69" s="1"/>
  <c r="P65" i="69"/>
  <c r="P64" i="69"/>
  <c r="P63" i="69"/>
  <c r="P62" i="69"/>
  <c r="P61" i="69"/>
  <c r="P60" i="69"/>
  <c r="P59" i="69"/>
  <c r="P58" i="69"/>
  <c r="O56" i="69"/>
  <c r="O55" i="69"/>
  <c r="O54" i="69"/>
  <c r="O53" i="69"/>
  <c r="O52" i="69"/>
  <c r="O51" i="69"/>
  <c r="O49" i="69"/>
  <c r="P48" i="69"/>
  <c r="H46" i="69"/>
  <c r="P45" i="69"/>
  <c r="I41" i="69"/>
  <c r="H40" i="69"/>
  <c r="I39" i="69"/>
  <c r="I38" i="69"/>
  <c r="I37" i="69"/>
  <c r="I36" i="69"/>
  <c r="I35" i="69"/>
  <c r="I34" i="69"/>
  <c r="H32" i="69"/>
  <c r="I31" i="69"/>
  <c r="I30" i="69"/>
  <c r="I29" i="69"/>
  <c r="I28" i="69"/>
  <c r="I27" i="69"/>
  <c r="I26" i="69"/>
  <c r="I25" i="69"/>
  <c r="I24" i="69"/>
  <c r="I23" i="69"/>
  <c r="I21" i="69"/>
  <c r="I20" i="69"/>
  <c r="J19" i="69"/>
  <c r="I18" i="69"/>
  <c r="J17" i="69"/>
  <c r="J16" i="69"/>
  <c r="I15" i="69"/>
  <c r="I14" i="69"/>
  <c r="I13" i="69"/>
  <c r="I12" i="69"/>
  <c r="J11" i="69"/>
  <c r="I10" i="69"/>
  <c r="J9" i="69"/>
  <c r="I8" i="69"/>
  <c r="I7" i="69"/>
  <c r="I6" i="69"/>
  <c r="N12" i="66"/>
  <c r="M12" i="66"/>
  <c r="L12" i="66"/>
  <c r="K12" i="66"/>
  <c r="J12" i="66"/>
  <c r="H12" i="66"/>
  <c r="G12" i="66"/>
  <c r="R298" i="67"/>
  <c r="J298" i="67"/>
  <c r="F12" i="66" s="1"/>
  <c r="K298" i="67"/>
  <c r="L298" i="67"/>
  <c r="N298" i="67"/>
  <c r="O298" i="67"/>
  <c r="P298" i="67"/>
  <c r="Q298" i="67"/>
  <c r="I298" i="67"/>
  <c r="E12" i="66" s="1"/>
  <c r="N173" i="67"/>
  <c r="N169" i="67"/>
  <c r="N170" i="67"/>
  <c r="N168" i="67"/>
  <c r="M163" i="67"/>
  <c r="M164" i="67"/>
  <c r="M162" i="67"/>
  <c r="Q159" i="67"/>
  <c r="Q157" i="67"/>
  <c r="O154" i="67"/>
  <c r="O152" i="67"/>
  <c r="L149" i="67"/>
  <c r="L145" i="67"/>
  <c r="L146" i="67"/>
  <c r="L147" i="67"/>
  <c r="L144" i="67"/>
  <c r="K134" i="67"/>
  <c r="K135" i="67"/>
  <c r="K136" i="67"/>
  <c r="K137" i="67"/>
  <c r="R138" i="67"/>
  <c r="R139" i="67"/>
  <c r="K140" i="67"/>
  <c r="K133" i="67"/>
  <c r="J130" i="67"/>
  <c r="J124" i="67"/>
  <c r="J125" i="67"/>
  <c r="J126" i="67"/>
  <c r="J127" i="67"/>
  <c r="J128" i="67"/>
  <c r="J120" i="67"/>
  <c r="J121" i="67"/>
  <c r="J122" i="67"/>
  <c r="J123" i="67"/>
  <c r="I110" i="67"/>
  <c r="I111" i="67"/>
  <c r="I112" i="67"/>
  <c r="I113" i="67"/>
  <c r="I114" i="67"/>
  <c r="I115" i="67"/>
  <c r="I116" i="67"/>
  <c r="I117" i="67"/>
  <c r="I118" i="67"/>
  <c r="I109" i="67"/>
  <c r="D481" i="68"/>
  <c r="C481" i="68"/>
  <c r="H290" i="67"/>
  <c r="H293" i="67" s="1"/>
  <c r="H283" i="67"/>
  <c r="H284" i="67" s="1"/>
  <c r="H245" i="67"/>
  <c r="H239" i="67"/>
  <c r="H250" i="67" s="1"/>
  <c r="H226" i="67"/>
  <c r="H218" i="67"/>
  <c r="H219" i="67" s="1"/>
  <c r="H213" i="67"/>
  <c r="H203" i="67"/>
  <c r="H204" i="67" s="1"/>
  <c r="H196" i="67"/>
  <c r="H191" i="67"/>
  <c r="H174" i="67"/>
  <c r="H166" i="67"/>
  <c r="H160" i="67"/>
  <c r="H155" i="67"/>
  <c r="H150" i="67"/>
  <c r="H142" i="67"/>
  <c r="H131" i="67"/>
  <c r="H89" i="67"/>
  <c r="H81" i="67"/>
  <c r="H67" i="67"/>
  <c r="H100" i="67" s="1"/>
  <c r="H103" i="67" s="1"/>
  <c r="H64" i="67"/>
  <c r="H59" i="67"/>
  <c r="H40" i="67"/>
  <c r="H34" i="67"/>
  <c r="H36" i="67" s="1"/>
  <c r="H37" i="67" s="1"/>
  <c r="M231" i="70" l="1"/>
  <c r="L45" i="70"/>
  <c r="M146" i="70"/>
  <c r="K250" i="70"/>
  <c r="K259" i="70" s="1"/>
  <c r="K260" i="70" s="1"/>
  <c r="K269" i="70" s="1"/>
  <c r="L249" i="70"/>
  <c r="L250" i="70" s="1"/>
  <c r="L259" i="70" s="1"/>
  <c r="J168" i="70"/>
  <c r="J159" i="70"/>
  <c r="M159" i="70" s="1"/>
  <c r="J43" i="70"/>
  <c r="J98" i="70"/>
  <c r="J249" i="70"/>
  <c r="M249" i="70" s="1"/>
  <c r="M114" i="70"/>
  <c r="N18" i="66"/>
  <c r="E18" i="66"/>
  <c r="G18" i="66"/>
  <c r="F18" i="66"/>
  <c r="O18" i="66" s="1"/>
  <c r="M18" i="66"/>
  <c r="J302" i="69"/>
  <c r="I302" i="69"/>
  <c r="H107" i="69"/>
  <c r="H110" i="69" s="1"/>
  <c r="H183" i="69"/>
  <c r="H205" i="69" s="1"/>
  <c r="H206" i="69" s="1"/>
  <c r="X302" i="69"/>
  <c r="K302" i="69"/>
  <c r="H227" i="69"/>
  <c r="H265" i="69" s="1"/>
  <c r="H293" i="69" s="1"/>
  <c r="H302" i="69" s="1"/>
  <c r="H42" i="69"/>
  <c r="H43" i="69" s="1"/>
  <c r="Q302" i="69"/>
  <c r="Z302" i="69"/>
  <c r="W302" i="69"/>
  <c r="P302" i="69"/>
  <c r="Y302" i="69"/>
  <c r="O302" i="69"/>
  <c r="H104" i="67"/>
  <c r="H175" i="67"/>
  <c r="H197" i="67" s="1"/>
  <c r="H198" i="67" s="1"/>
  <c r="H256" i="67"/>
  <c r="H257" i="67" s="1"/>
  <c r="H285" i="67" s="1"/>
  <c r="H294" i="67" s="1"/>
  <c r="M98" i="70" l="1"/>
  <c r="L260" i="70"/>
  <c r="L269" i="70" s="1"/>
  <c r="M168" i="70"/>
  <c r="J178" i="70"/>
  <c r="M178" i="70" s="1"/>
  <c r="M43" i="70"/>
  <c r="J44" i="70"/>
  <c r="H111" i="69"/>
  <c r="H213" i="69" s="1"/>
  <c r="H205" i="67"/>
  <c r="M44" i="70" l="1"/>
  <c r="J45" i="70"/>
  <c r="J250" i="70"/>
  <c r="J260" i="70" l="1"/>
  <c r="M45" i="70"/>
  <c r="J259" i="70"/>
  <c r="M259" i="70" s="1"/>
  <c r="M250" i="70"/>
  <c r="J269" i="70" l="1"/>
  <c r="M269" i="70" s="1"/>
  <c r="M260" i="70"/>
  <c r="I60" i="66" l="1"/>
  <c r="I59" i="66"/>
  <c r="N53" i="66"/>
  <c r="O52" i="66"/>
  <c r="O32" i="66"/>
  <c r="L32" i="66"/>
  <c r="O46" i="66"/>
  <c r="E32" i="66"/>
  <c r="O31" i="66"/>
  <c r="O30" i="66"/>
  <c r="O29" i="66"/>
  <c r="B27" i="66"/>
  <c r="B25" i="66"/>
  <c r="B22" i="66"/>
  <c r="L18" i="66"/>
  <c r="O48" i="66"/>
  <c r="O12" i="66"/>
  <c r="A7" i="66"/>
  <c r="O2" i="66"/>
  <c r="O47" i="66" l="1"/>
  <c r="O51" i="66"/>
  <c r="O13" i="66"/>
  <c r="O45" i="66"/>
  <c r="O49" i="66"/>
  <c r="O50" i="66"/>
  <c r="O53" i="66" l="1"/>
  <c r="K148" i="65"/>
  <c r="B44" i="2" l="1"/>
  <c r="B43" i="2"/>
  <c r="B36" i="2"/>
  <c r="B42" i="2"/>
  <c r="B18" i="2"/>
  <c r="I89" i="28"/>
  <c r="I93" i="28"/>
  <c r="I90" i="28"/>
  <c r="Z261" i="65"/>
  <c r="I91" i="28" s="1"/>
  <c r="Z263" i="65"/>
  <c r="Z262" i="65"/>
  <c r="I76" i="28"/>
  <c r="I74" i="28"/>
  <c r="I53" i="28"/>
  <c r="I49" i="28"/>
  <c r="I45" i="28"/>
  <c r="I41" i="28"/>
  <c r="I37" i="28"/>
  <c r="I33" i="28"/>
  <c r="I29" i="28"/>
  <c r="Y246" i="65"/>
  <c r="I8" i="28"/>
  <c r="I11" i="28" s="1"/>
  <c r="H97" i="23"/>
  <c r="I41" i="65"/>
  <c r="I39" i="65"/>
  <c r="I28" i="65"/>
  <c r="I24" i="65"/>
  <c r="D11" i="26"/>
  <c r="J228" i="64"/>
  <c r="D17" i="26"/>
  <c r="J57" i="64"/>
  <c r="J96" i="64"/>
  <c r="D37" i="26"/>
  <c r="D38" i="26" s="1"/>
  <c r="D18" i="1"/>
  <c r="D36" i="26"/>
  <c r="D22" i="26"/>
  <c r="E66" i="6"/>
  <c r="D15" i="26"/>
  <c r="D30" i="26"/>
  <c r="E61" i="6"/>
  <c r="D16" i="26"/>
  <c r="D24" i="26"/>
  <c r="D26" i="26"/>
  <c r="D35" i="26"/>
  <c r="D21" i="26"/>
  <c r="D25" i="26"/>
  <c r="D27" i="26"/>
  <c r="D23" i="26"/>
  <c r="J178" i="64"/>
  <c r="J177" i="64"/>
  <c r="D13" i="26"/>
  <c r="D9" i="26"/>
  <c r="J158" i="64"/>
  <c r="D10" i="26"/>
  <c r="E65" i="6"/>
  <c r="D19" i="26"/>
  <c r="D12" i="26"/>
  <c r="E62" i="6"/>
  <c r="E55" i="6"/>
  <c r="E63" i="6"/>
  <c r="J60" i="64"/>
  <c r="E60" i="6"/>
  <c r="E58" i="6"/>
  <c r="E59" i="6"/>
  <c r="E57" i="6"/>
  <c r="E54" i="6"/>
  <c r="E53" i="6"/>
  <c r="E52" i="6"/>
  <c r="E56" i="6"/>
  <c r="E44" i="6"/>
  <c r="E43" i="6"/>
  <c r="E33" i="6"/>
  <c r="E32" i="6"/>
  <c r="E31" i="6"/>
  <c r="E29" i="6"/>
  <c r="E28" i="6"/>
  <c r="E27" i="6"/>
  <c r="J21" i="64"/>
  <c r="J27" i="64"/>
  <c r="J34" i="64"/>
  <c r="E14" i="6"/>
  <c r="E13" i="6"/>
  <c r="E9" i="6"/>
  <c r="E8" i="6"/>
  <c r="D14" i="1"/>
  <c r="C34" i="2"/>
  <c r="C30" i="2"/>
  <c r="C29" i="2"/>
  <c r="C28" i="2"/>
  <c r="C14" i="2"/>
  <c r="H204" i="65"/>
  <c r="L302" i="65"/>
  <c r="M302" i="65"/>
  <c r="N302" i="65"/>
  <c r="R302" i="65"/>
  <c r="S302" i="65"/>
  <c r="T302" i="65"/>
  <c r="U302" i="65"/>
  <c r="V302" i="65"/>
  <c r="H298" i="65"/>
  <c r="W269" i="65"/>
  <c r="I34" i="28" s="1"/>
  <c r="W270" i="65"/>
  <c r="I35" i="28" s="1"/>
  <c r="W271" i="65"/>
  <c r="I36" i="28" s="1"/>
  <c r="W272" i="65"/>
  <c r="W273" i="65"/>
  <c r="I38" i="28" s="1"/>
  <c r="W274" i="65"/>
  <c r="I39" i="28" s="1"/>
  <c r="W275" i="65"/>
  <c r="I40" i="28" s="1"/>
  <c r="W276" i="65"/>
  <c r="W277" i="65"/>
  <c r="I42" i="28" s="1"/>
  <c r="W278" i="65"/>
  <c r="I43" i="28" s="1"/>
  <c r="W279" i="65"/>
  <c r="I44" i="28" s="1"/>
  <c r="W280" i="65"/>
  <c r="W281" i="65"/>
  <c r="I46" i="28" s="1"/>
  <c r="W282" i="65"/>
  <c r="I47" i="28" s="1"/>
  <c r="W283" i="65"/>
  <c r="I48" i="28" s="1"/>
  <c r="W284" i="65"/>
  <c r="W285" i="65"/>
  <c r="I50" i="28" s="1"/>
  <c r="W286" i="65"/>
  <c r="I51" i="28" s="1"/>
  <c r="W287" i="65"/>
  <c r="I52" i="28" s="1"/>
  <c r="W288" i="65"/>
  <c r="W289" i="65"/>
  <c r="I54" i="28" s="1"/>
  <c r="W290" i="65"/>
  <c r="I55" i="28" s="1"/>
  <c r="W268" i="65"/>
  <c r="W302" i="65" s="1"/>
  <c r="C36" i="2" s="1"/>
  <c r="Y260" i="65"/>
  <c r="Y259" i="65"/>
  <c r="Z255" i="65"/>
  <c r="I87" i="28" s="1"/>
  <c r="Z256" i="65"/>
  <c r="Z257" i="65"/>
  <c r="I92" i="28" s="1"/>
  <c r="Z254" i="65"/>
  <c r="I88" i="28" s="1"/>
  <c r="Z251" i="65"/>
  <c r="Z252" i="65"/>
  <c r="Z250" i="65"/>
  <c r="Z302" i="65" s="1"/>
  <c r="C44" i="2" s="1"/>
  <c r="X244" i="65"/>
  <c r="I27" i="28" s="1"/>
  <c r="X245" i="65"/>
  <c r="I28" i="28" s="1"/>
  <c r="X247" i="65"/>
  <c r="X243" i="65"/>
  <c r="I25" i="28" s="1"/>
  <c r="Y237" i="65"/>
  <c r="I69" i="28" s="1"/>
  <c r="I70" i="28" s="1"/>
  <c r="I60" i="28" s="1"/>
  <c r="Y238" i="65"/>
  <c r="I79" i="28" s="1"/>
  <c r="Y239" i="65"/>
  <c r="I61" i="28" s="1"/>
  <c r="Y240" i="65"/>
  <c r="Y241" i="65"/>
  <c r="I77" i="28" s="1"/>
  <c r="Y236" i="65"/>
  <c r="I80" i="28" s="1"/>
  <c r="Y231" i="65"/>
  <c r="I73" i="28" s="1"/>
  <c r="Y232" i="65"/>
  <c r="Y230" i="65"/>
  <c r="I75" i="28" s="1"/>
  <c r="X220" i="65"/>
  <c r="X302" i="65" s="1"/>
  <c r="C42" i="2" s="1"/>
  <c r="Y219" i="65"/>
  <c r="Y218" i="65"/>
  <c r="I59" i="28" s="1"/>
  <c r="C37" i="2" l="1"/>
  <c r="I86" i="28"/>
  <c r="I30" i="28"/>
  <c r="I56" i="28"/>
  <c r="I31" i="28"/>
  <c r="D32" i="26"/>
  <c r="E37" i="6"/>
  <c r="E22" i="6"/>
  <c r="E25" i="6" s="1"/>
  <c r="E38" i="6" s="1"/>
  <c r="K34" i="64"/>
  <c r="K210" i="65"/>
  <c r="K208" i="65"/>
  <c r="K186" i="65"/>
  <c r="K187" i="65"/>
  <c r="K188" i="65"/>
  <c r="K189" i="65"/>
  <c r="K190" i="65"/>
  <c r="K191" i="65"/>
  <c r="K192" i="65"/>
  <c r="K193" i="65"/>
  <c r="K194" i="65"/>
  <c r="K195" i="65"/>
  <c r="K196" i="65"/>
  <c r="K197" i="65"/>
  <c r="K198" i="65"/>
  <c r="K185" i="65"/>
  <c r="K182" i="65"/>
  <c r="H181" i="65"/>
  <c r="K180" i="65"/>
  <c r="K176" i="65"/>
  <c r="K177" i="65"/>
  <c r="K178" i="65"/>
  <c r="K179" i="65"/>
  <c r="K175" i="65"/>
  <c r="K172" i="65"/>
  <c r="K170" i="65"/>
  <c r="K171" i="65"/>
  <c r="K169" i="65"/>
  <c r="K165" i="65"/>
  <c r="K166" i="65"/>
  <c r="K164" i="65"/>
  <c r="K160" i="65"/>
  <c r="K161" i="65"/>
  <c r="K159" i="65"/>
  <c r="H157" i="65"/>
  <c r="K152" i="65"/>
  <c r="K153" i="65"/>
  <c r="K154" i="65"/>
  <c r="K155" i="65"/>
  <c r="K156" i="65"/>
  <c r="K151" i="65"/>
  <c r="H149" i="65"/>
  <c r="K141" i="65"/>
  <c r="K142" i="65"/>
  <c r="K143" i="65"/>
  <c r="K144" i="65"/>
  <c r="K145" i="65"/>
  <c r="K146" i="65"/>
  <c r="K147" i="65"/>
  <c r="K140" i="65"/>
  <c r="H138" i="65"/>
  <c r="H183" i="65" s="1"/>
  <c r="H205" i="65" s="1"/>
  <c r="H206" i="65" s="1"/>
  <c r="K117" i="65"/>
  <c r="K118" i="65"/>
  <c r="K119" i="65"/>
  <c r="K120" i="65"/>
  <c r="K121" i="65"/>
  <c r="K122" i="65"/>
  <c r="K123" i="65"/>
  <c r="K124" i="65"/>
  <c r="K125" i="65"/>
  <c r="K126" i="65"/>
  <c r="K127" i="65"/>
  <c r="K128" i="65"/>
  <c r="K129" i="65"/>
  <c r="K130" i="65"/>
  <c r="K131" i="65"/>
  <c r="K132" i="65"/>
  <c r="K133" i="65"/>
  <c r="K134" i="65"/>
  <c r="K135" i="65"/>
  <c r="K136" i="65"/>
  <c r="K137" i="65"/>
  <c r="K116" i="65"/>
  <c r="P108" i="65"/>
  <c r="K106" i="65"/>
  <c r="P109" i="65"/>
  <c r="H41" i="23" s="1"/>
  <c r="Q98" i="65"/>
  <c r="H58" i="23" s="1"/>
  <c r="Q99" i="65"/>
  <c r="H57" i="23" s="1"/>
  <c r="Q100" i="65"/>
  <c r="H59" i="23" s="1"/>
  <c r="Q101" i="65"/>
  <c r="H60" i="23" s="1"/>
  <c r="Q102" i="65"/>
  <c r="H61" i="23" s="1"/>
  <c r="Q103" i="65"/>
  <c r="H62" i="23" s="1"/>
  <c r="Q104" i="65"/>
  <c r="H63" i="23" s="1"/>
  <c r="Q105" i="65"/>
  <c r="H64" i="23" s="1"/>
  <c r="Q97" i="65"/>
  <c r="H96" i="65"/>
  <c r="P90" i="65"/>
  <c r="H46" i="23" s="1"/>
  <c r="P91" i="65"/>
  <c r="P92" i="65"/>
  <c r="P93" i="65"/>
  <c r="H51" i="23" s="1"/>
  <c r="P94" i="65"/>
  <c r="H52" i="23" s="1"/>
  <c r="P95" i="65"/>
  <c r="P89" i="65"/>
  <c r="H88" i="65"/>
  <c r="P80" i="65"/>
  <c r="H33" i="23" s="1"/>
  <c r="P81" i="65"/>
  <c r="H34" i="23" s="1"/>
  <c r="P82" i="65"/>
  <c r="H30" i="23" s="1"/>
  <c r="P83" i="65"/>
  <c r="H36" i="23" s="1"/>
  <c r="P84" i="65"/>
  <c r="H35" i="23" s="1"/>
  <c r="P85" i="65"/>
  <c r="P86" i="65"/>
  <c r="H39" i="23" s="1"/>
  <c r="P87" i="65"/>
  <c r="P79" i="65"/>
  <c r="P76" i="65"/>
  <c r="P77" i="65"/>
  <c r="P75" i="65"/>
  <c r="P73" i="65"/>
  <c r="P72" i="65"/>
  <c r="H37" i="23" s="1"/>
  <c r="H71" i="65"/>
  <c r="P70" i="65"/>
  <c r="H29" i="23" s="1"/>
  <c r="P69" i="65"/>
  <c r="H32" i="23" s="1"/>
  <c r="K67" i="65"/>
  <c r="K302" i="65" s="1"/>
  <c r="C11" i="2" s="1"/>
  <c r="H66" i="65"/>
  <c r="H74" i="65" s="1"/>
  <c r="H107" i="65" s="1"/>
  <c r="P65" i="65"/>
  <c r="P64" i="65"/>
  <c r="P59" i="65"/>
  <c r="P60" i="65"/>
  <c r="P61" i="65"/>
  <c r="P62" i="65"/>
  <c r="P63" i="65"/>
  <c r="P58" i="65"/>
  <c r="O52" i="65"/>
  <c r="O53" i="65"/>
  <c r="H9" i="23" s="1"/>
  <c r="O54" i="65"/>
  <c r="H10" i="23" s="1"/>
  <c r="O55" i="65"/>
  <c r="H11" i="23" s="1"/>
  <c r="O56" i="65"/>
  <c r="H12" i="23" s="1"/>
  <c r="O51" i="65"/>
  <c r="H8" i="23" s="1"/>
  <c r="H13" i="23" s="1"/>
  <c r="O49" i="65"/>
  <c r="O302" i="65" s="1"/>
  <c r="C18" i="2" s="1"/>
  <c r="P48" i="65"/>
  <c r="P45" i="65"/>
  <c r="H42" i="65"/>
  <c r="H43" i="65" s="1"/>
  <c r="I35" i="65"/>
  <c r="I36" i="65"/>
  <c r="I37" i="65"/>
  <c r="I38" i="65"/>
  <c r="I34" i="65"/>
  <c r="I30" i="65"/>
  <c r="I31" i="65"/>
  <c r="I29" i="65"/>
  <c r="I27" i="65"/>
  <c r="I26" i="65"/>
  <c r="I25" i="65"/>
  <c r="I23" i="65"/>
  <c r="I21" i="65"/>
  <c r="I20" i="65"/>
  <c r="J19" i="65"/>
  <c r="I18" i="65"/>
  <c r="J17" i="65"/>
  <c r="J16" i="65"/>
  <c r="I13" i="65"/>
  <c r="I14" i="65"/>
  <c r="I15" i="65"/>
  <c r="I12" i="65"/>
  <c r="J11" i="65"/>
  <c r="I10" i="65"/>
  <c r="J9" i="65"/>
  <c r="I7" i="65"/>
  <c r="I8" i="65"/>
  <c r="I6" i="65"/>
  <c r="H301" i="65"/>
  <c r="H291" i="65"/>
  <c r="H292" i="65" s="1"/>
  <c r="H253" i="65"/>
  <c r="H248" i="65"/>
  <c r="H258" i="65" s="1"/>
  <c r="H234" i="65"/>
  <c r="H226" i="65"/>
  <c r="H221" i="65"/>
  <c r="H211" i="65"/>
  <c r="H212" i="65" s="1"/>
  <c r="H199" i="65"/>
  <c r="H173" i="65"/>
  <c r="H167" i="65"/>
  <c r="H162" i="65"/>
  <c r="H46" i="65"/>
  <c r="H40" i="65"/>
  <c r="H32" i="65"/>
  <c r="J266" i="64"/>
  <c r="J267" i="64" s="1"/>
  <c r="J268" i="64" s="1"/>
  <c r="J258" i="64"/>
  <c r="J248" i="64"/>
  <c r="J240" i="64"/>
  <c r="J237" i="64"/>
  <c r="J231" i="64"/>
  <c r="J214" i="64"/>
  <c r="J207" i="64"/>
  <c r="J199" i="64"/>
  <c r="J184" i="64"/>
  <c r="J173" i="64"/>
  <c r="J166" i="64"/>
  <c r="J168" i="64" s="1"/>
  <c r="J159" i="64"/>
  <c r="J153" i="64"/>
  <c r="J145" i="64"/>
  <c r="J140" i="64"/>
  <c r="J131" i="64"/>
  <c r="J124" i="64"/>
  <c r="J120" i="64"/>
  <c r="J114" i="64"/>
  <c r="J146" i="64" s="1"/>
  <c r="J93" i="64"/>
  <c r="J81" i="64"/>
  <c r="J74" i="64"/>
  <c r="J68" i="64"/>
  <c r="J98" i="64"/>
  <c r="J42" i="64"/>
  <c r="J43" i="64" s="1"/>
  <c r="J44" i="64" s="1"/>
  <c r="D10" i="1" s="1"/>
  <c r="D12" i="1" s="1"/>
  <c r="J10" i="64"/>
  <c r="J11" i="64" s="1"/>
  <c r="D8" i="1" s="1"/>
  <c r="H18" i="23" l="1"/>
  <c r="H45" i="23"/>
  <c r="I302" i="65"/>
  <c r="C21" i="2" s="1"/>
  <c r="H89" i="23"/>
  <c r="H88" i="23"/>
  <c r="H50" i="23"/>
  <c r="H19" i="23"/>
  <c r="H56" i="23"/>
  <c r="Q302" i="65"/>
  <c r="C20" i="2" s="1"/>
  <c r="H31" i="23"/>
  <c r="H227" i="65"/>
  <c r="Y226" i="65"/>
  <c r="H16" i="23"/>
  <c r="P302" i="65"/>
  <c r="C19" i="2" s="1"/>
  <c r="J302" i="65"/>
  <c r="C45" i="2" s="1"/>
  <c r="H92" i="23"/>
  <c r="H17" i="23"/>
  <c r="H28" i="23"/>
  <c r="H26" i="23"/>
  <c r="H42" i="23" s="1"/>
  <c r="H38" i="23"/>
  <c r="H40" i="23"/>
  <c r="H66" i="23"/>
  <c r="J249" i="64"/>
  <c r="J250" i="64" s="1"/>
  <c r="J259" i="64" s="1"/>
  <c r="D16" i="1" s="1"/>
  <c r="H110" i="65"/>
  <c r="H111" i="65" s="1"/>
  <c r="H213" i="65" s="1"/>
  <c r="H264" i="65"/>
  <c r="J45" i="64"/>
  <c r="H265" i="65" l="1"/>
  <c r="H293" i="65" s="1"/>
  <c r="H302" i="65" s="1"/>
  <c r="I81" i="28"/>
  <c r="Y302" i="65"/>
  <c r="C43" i="2" s="1"/>
  <c r="C46" i="2" s="1"/>
  <c r="J260" i="64"/>
  <c r="J269" i="64" s="1"/>
  <c r="D20" i="1" l="1"/>
  <c r="D24" i="1" s="1"/>
  <c r="D52" i="10" l="1"/>
  <c r="D15" i="10"/>
  <c r="D31" i="10" l="1"/>
  <c r="K98" i="55" l="1"/>
  <c r="K97" i="55"/>
  <c r="K99" i="55" s="1"/>
  <c r="K272" i="55"/>
  <c r="H113" i="55" l="1"/>
  <c r="H183" i="55"/>
  <c r="N351" i="57"/>
  <c r="D14" i="10" l="1"/>
  <c r="D20" i="10" l="1"/>
  <c r="D12" i="10"/>
  <c r="E49" i="6" l="1"/>
  <c r="D32" i="10"/>
  <c r="D16" i="10" l="1"/>
  <c r="D38" i="10" l="1"/>
  <c r="I94" i="28" l="1"/>
  <c r="H47" i="23"/>
  <c r="H53" i="23"/>
  <c r="E18" i="6"/>
  <c r="D8" i="26"/>
  <c r="I83" i="28"/>
  <c r="I62" i="28" l="1"/>
  <c r="I63" i="28" s="1"/>
  <c r="K63" i="28" s="1"/>
  <c r="N349" i="57"/>
  <c r="M336" i="57"/>
  <c r="I52" i="59"/>
  <c r="G51" i="59"/>
  <c r="G50" i="59"/>
  <c r="G46" i="59"/>
  <c r="G42" i="59"/>
  <c r="G43" i="59"/>
  <c r="G29" i="59"/>
  <c r="G26" i="59"/>
  <c r="G36" i="59"/>
  <c r="G35" i="59"/>
  <c r="I30" i="59"/>
  <c r="G24" i="59"/>
  <c r="G21" i="59"/>
  <c r="G19" i="59"/>
  <c r="G20" i="59"/>
  <c r="G18" i="59"/>
  <c r="G17" i="59"/>
  <c r="G16" i="59"/>
  <c r="G34" i="59"/>
  <c r="G14" i="59"/>
  <c r="G12" i="59"/>
  <c r="G11" i="59"/>
  <c r="G10" i="59"/>
  <c r="G9" i="59"/>
  <c r="G8" i="59"/>
  <c r="AL98" i="59"/>
  <c r="O98" i="59"/>
  <c r="M98" i="59"/>
  <c r="G98" i="59"/>
  <c r="E98" i="59"/>
  <c r="O91" i="59"/>
  <c r="AO82" i="59"/>
  <c r="AN82" i="59"/>
  <c r="AL82" i="59"/>
  <c r="AJ82" i="59"/>
  <c r="AI82" i="59"/>
  <c r="AH82" i="59"/>
  <c r="AG82" i="59"/>
  <c r="AF82" i="59"/>
  <c r="AE82" i="59"/>
  <c r="AD82" i="59"/>
  <c r="AC82" i="59"/>
  <c r="AB82" i="59"/>
  <c r="AA82" i="59"/>
  <c r="Z82" i="59"/>
  <c r="Y82" i="59"/>
  <c r="X82" i="59"/>
  <c r="W82" i="59"/>
  <c r="V82" i="59"/>
  <c r="U82" i="59"/>
  <c r="T82" i="59"/>
  <c r="S82" i="59"/>
  <c r="R82" i="59"/>
  <c r="Q82" i="59"/>
  <c r="P82" i="59"/>
  <c r="O82" i="59"/>
  <c r="N82" i="59"/>
  <c r="M82" i="59"/>
  <c r="L82" i="59"/>
  <c r="K82" i="59"/>
  <c r="J82" i="59"/>
  <c r="I82" i="59"/>
  <c r="G82" i="59"/>
  <c r="F82" i="59"/>
  <c r="E82" i="59"/>
  <c r="AN77" i="59"/>
  <c r="AL77" i="59"/>
  <c r="AJ77" i="59"/>
  <c r="AI77" i="59"/>
  <c r="AH77" i="59"/>
  <c r="AG77" i="59"/>
  <c r="AF77" i="59"/>
  <c r="AE77" i="59"/>
  <c r="AD77" i="59"/>
  <c r="AC77" i="59"/>
  <c r="AB77" i="59"/>
  <c r="AA77" i="59"/>
  <c r="Z77" i="59"/>
  <c r="Y77" i="59"/>
  <c r="X77" i="59"/>
  <c r="W77" i="59"/>
  <c r="V77" i="59"/>
  <c r="U77" i="59"/>
  <c r="T77" i="59"/>
  <c r="S77" i="59"/>
  <c r="R77" i="59"/>
  <c r="Q77" i="59"/>
  <c r="P77" i="59"/>
  <c r="O77" i="59"/>
  <c r="N77" i="59"/>
  <c r="M77" i="59"/>
  <c r="L77" i="59"/>
  <c r="K77" i="59"/>
  <c r="J77" i="59"/>
  <c r="I77" i="59"/>
  <c r="G77" i="59"/>
  <c r="F77" i="59"/>
  <c r="E77" i="59"/>
  <c r="AN72" i="59"/>
  <c r="AL72" i="59"/>
  <c r="AJ72" i="59"/>
  <c r="AI72" i="59"/>
  <c r="AH72" i="59"/>
  <c r="AG72" i="59"/>
  <c r="AF72" i="59"/>
  <c r="AE72" i="59"/>
  <c r="AD72" i="59"/>
  <c r="AC72" i="59"/>
  <c r="AB72" i="59"/>
  <c r="AA72" i="59"/>
  <c r="Z72" i="59"/>
  <c r="Y72" i="59"/>
  <c r="X72" i="59"/>
  <c r="W72" i="59"/>
  <c r="V72" i="59"/>
  <c r="U72" i="59"/>
  <c r="T72" i="59"/>
  <c r="S72" i="59"/>
  <c r="R72" i="59"/>
  <c r="Q72" i="59"/>
  <c r="P72" i="59"/>
  <c r="O72" i="59"/>
  <c r="N72" i="59"/>
  <c r="M72" i="59"/>
  <c r="L72" i="59"/>
  <c r="K72" i="59"/>
  <c r="J72" i="59"/>
  <c r="I72" i="59"/>
  <c r="G72" i="59"/>
  <c r="F72" i="59"/>
  <c r="E72" i="59"/>
  <c r="AN67" i="59"/>
  <c r="AL67" i="59"/>
  <c r="AJ67" i="59"/>
  <c r="AI67" i="59"/>
  <c r="AH67" i="59"/>
  <c r="AG67" i="59"/>
  <c r="AF67" i="59"/>
  <c r="AE67" i="59"/>
  <c r="AD67" i="59"/>
  <c r="AC67" i="59"/>
  <c r="AB67" i="59"/>
  <c r="AA67" i="59"/>
  <c r="Z67" i="59"/>
  <c r="Y67" i="59"/>
  <c r="X67" i="59"/>
  <c r="W67" i="59"/>
  <c r="V67" i="59"/>
  <c r="U67" i="59"/>
  <c r="T67" i="59"/>
  <c r="S67" i="59"/>
  <c r="R67" i="59"/>
  <c r="Q67" i="59"/>
  <c r="P67" i="59"/>
  <c r="O67" i="59"/>
  <c r="N67" i="59"/>
  <c r="M67" i="59"/>
  <c r="L67" i="59"/>
  <c r="K67" i="59"/>
  <c r="J67" i="59"/>
  <c r="I67" i="59"/>
  <c r="G67" i="59"/>
  <c r="E67" i="59"/>
  <c r="O63" i="59"/>
  <c r="I37" i="59"/>
  <c r="B6" i="59"/>
  <c r="A6" i="59"/>
  <c r="A3" i="59"/>
  <c r="A2" i="59"/>
  <c r="J362" i="57"/>
  <c r="J358" i="57"/>
  <c r="J359" i="57" s="1"/>
  <c r="J363" i="57" s="1"/>
  <c r="J341" i="57"/>
  <c r="J328" i="57"/>
  <c r="J325" i="57"/>
  <c r="J317" i="57"/>
  <c r="J319" i="57" s="1"/>
  <c r="J301" i="57"/>
  <c r="J294" i="57"/>
  <c r="J273" i="57"/>
  <c r="J284" i="57" s="1"/>
  <c r="J264" i="57"/>
  <c r="J254" i="57"/>
  <c r="J251" i="57"/>
  <c r="J244" i="57"/>
  <c r="J239" i="57"/>
  <c r="J231" i="57"/>
  <c r="J233" i="57" s="1"/>
  <c r="J245" i="57" s="1"/>
  <c r="J223" i="57"/>
  <c r="J218" i="57"/>
  <c r="J208" i="57"/>
  <c r="J203" i="57"/>
  <c r="J193" i="57"/>
  <c r="J187" i="57"/>
  <c r="J181" i="57"/>
  <c r="J173" i="57"/>
  <c r="J154" i="57"/>
  <c r="J145" i="57"/>
  <c r="J130" i="57"/>
  <c r="J120" i="57"/>
  <c r="J112" i="57"/>
  <c r="J100" i="57"/>
  <c r="J93" i="57"/>
  <c r="J103" i="57" s="1"/>
  <c r="J75" i="57"/>
  <c r="J77" i="57" s="1"/>
  <c r="J67" i="57"/>
  <c r="J63" i="57"/>
  <c r="J54" i="57"/>
  <c r="J45" i="57"/>
  <c r="J32" i="57"/>
  <c r="J26" i="57"/>
  <c r="J16" i="57"/>
  <c r="J18" i="57" s="1"/>
  <c r="H271" i="55"/>
  <c r="H274" i="55" s="1"/>
  <c r="H262" i="55"/>
  <c r="H263" i="55" s="1"/>
  <c r="H239" i="55"/>
  <c r="H234" i="55"/>
  <c r="H225" i="55"/>
  <c r="H215" i="55"/>
  <c r="H216" i="55" s="1"/>
  <c r="H210" i="55"/>
  <c r="H200" i="55"/>
  <c r="H201" i="55" s="1"/>
  <c r="H192" i="55"/>
  <c r="H188" i="55"/>
  <c r="H174" i="55"/>
  <c r="H167" i="55"/>
  <c r="H161" i="55"/>
  <c r="H156" i="55"/>
  <c r="H151" i="55"/>
  <c r="H143" i="55"/>
  <c r="H132" i="55"/>
  <c r="H95" i="55"/>
  <c r="H88" i="55"/>
  <c r="K61" i="55" s="1"/>
  <c r="H72" i="55"/>
  <c r="H67" i="55"/>
  <c r="H50" i="55"/>
  <c r="H44" i="55"/>
  <c r="H46" i="55" s="1"/>
  <c r="H47" i="55" s="1"/>
  <c r="B19" i="2"/>
  <c r="B20" i="2" s="1"/>
  <c r="B21" i="2" s="1"/>
  <c r="J210" i="57" l="1"/>
  <c r="J155" i="57"/>
  <c r="J83" i="59"/>
  <c r="N83" i="59"/>
  <c r="R83" i="59"/>
  <c r="V83" i="59"/>
  <c r="Z83" i="59"/>
  <c r="AD83" i="59"/>
  <c r="AH83" i="59"/>
  <c r="AN83" i="59"/>
  <c r="J224" i="57"/>
  <c r="E83" i="59"/>
  <c r="D27" i="10"/>
  <c r="D26" i="10"/>
  <c r="J19" i="57"/>
  <c r="N18" i="57"/>
  <c r="N19" i="57" s="1"/>
  <c r="J79" i="57"/>
  <c r="J80" i="57" s="1"/>
  <c r="J343" i="57"/>
  <c r="F83" i="59"/>
  <c r="K83" i="59"/>
  <c r="O83" i="59"/>
  <c r="S83" i="59"/>
  <c r="W83" i="59"/>
  <c r="AA83" i="59"/>
  <c r="AE83" i="59"/>
  <c r="AI83" i="59"/>
  <c r="I83" i="59"/>
  <c r="M83" i="59"/>
  <c r="Q83" i="59"/>
  <c r="U83" i="59"/>
  <c r="Y83" i="59"/>
  <c r="AC83" i="59"/>
  <c r="AG83" i="59"/>
  <c r="AL83" i="59"/>
  <c r="G83" i="59"/>
  <c r="L83" i="59"/>
  <c r="P83" i="59"/>
  <c r="T83" i="59"/>
  <c r="X83" i="59"/>
  <c r="AB83" i="59"/>
  <c r="AF83" i="59"/>
  <c r="AJ83" i="59"/>
  <c r="H75" i="55"/>
  <c r="H103" i="55" s="1"/>
  <c r="H105" i="55" s="1"/>
  <c r="H106" i="55" s="1"/>
  <c r="G52" i="59"/>
  <c r="G30" i="59"/>
  <c r="H90" i="23" s="1"/>
  <c r="G37" i="59"/>
  <c r="H175" i="55"/>
  <c r="L198" i="55" s="1"/>
  <c r="H243" i="55"/>
  <c r="H247" i="55" s="1"/>
  <c r="H248" i="55" s="1"/>
  <c r="H264" i="55" s="1"/>
  <c r="H275" i="55" s="1"/>
  <c r="J344" i="57"/>
  <c r="M335" i="57" s="1"/>
  <c r="M337" i="57" s="1"/>
  <c r="D28" i="10" l="1"/>
  <c r="D40" i="10"/>
  <c r="M79" i="57"/>
  <c r="M80" i="57" s="1"/>
  <c r="N23" i="57"/>
  <c r="N24" i="57" s="1"/>
  <c r="J81" i="57"/>
  <c r="H194" i="55"/>
  <c r="H195" i="55" s="1"/>
  <c r="H202" i="55" s="1"/>
  <c r="H278" i="55" s="1"/>
  <c r="J346" i="57"/>
  <c r="H93" i="23"/>
  <c r="H94" i="23" s="1"/>
  <c r="E91" i="49"/>
  <c r="L186" i="55" l="1"/>
  <c r="N348" i="57"/>
  <c r="N350" i="57" s="1"/>
  <c r="N352" i="57" s="1"/>
  <c r="J347" i="57"/>
  <c r="J364" i="57" s="1"/>
  <c r="H91" i="49"/>
  <c r="F90" i="49"/>
  <c r="I90" i="49" s="1"/>
  <c r="F92" i="49" l="1"/>
  <c r="E457" i="49"/>
  <c r="I457" i="49" s="1"/>
  <c r="E496" i="49" l="1"/>
  <c r="H495" i="49"/>
  <c r="E497" i="49"/>
  <c r="H497" i="49" s="1"/>
  <c r="Q195" i="49"/>
  <c r="P195" i="49"/>
  <c r="Q192" i="49"/>
  <c r="P192" i="49"/>
  <c r="Q189" i="49"/>
  <c r="P189" i="49"/>
  <c r="Q186" i="49"/>
  <c r="P186" i="49"/>
  <c r="P185" i="49"/>
  <c r="Q183" i="49"/>
  <c r="P183" i="49"/>
  <c r="Q180" i="49"/>
  <c r="P180" i="49"/>
  <c r="N188" i="49"/>
  <c r="M188" i="49"/>
  <c r="M1" i="49"/>
  <c r="N508" i="49"/>
  <c r="M508" i="49"/>
  <c r="N507" i="49"/>
  <c r="M507" i="49"/>
  <c r="N506" i="49"/>
  <c r="M506" i="49"/>
  <c r="N505" i="49"/>
  <c r="M505" i="49"/>
  <c r="N504" i="49"/>
  <c r="M504" i="49"/>
  <c r="N503" i="49"/>
  <c r="M503" i="49"/>
  <c r="N502" i="49"/>
  <c r="M502" i="49"/>
  <c r="N501" i="49"/>
  <c r="M501" i="49"/>
  <c r="N500" i="49"/>
  <c r="M500" i="49"/>
  <c r="N499" i="49"/>
  <c r="M499" i="49"/>
  <c r="N498" i="49"/>
  <c r="M498" i="49"/>
  <c r="N497" i="49"/>
  <c r="M497" i="49"/>
  <c r="N496" i="49"/>
  <c r="M496" i="49"/>
  <c r="N495" i="49"/>
  <c r="M495" i="49"/>
  <c r="N494" i="49"/>
  <c r="M494" i="49"/>
  <c r="N493" i="49"/>
  <c r="M493" i="49"/>
  <c r="N492" i="49"/>
  <c r="M492" i="49"/>
  <c r="N491" i="49"/>
  <c r="M491" i="49"/>
  <c r="N490" i="49"/>
  <c r="M490" i="49"/>
  <c r="N489" i="49"/>
  <c r="M489" i="49"/>
  <c r="N488" i="49"/>
  <c r="M488" i="49"/>
  <c r="N487" i="49"/>
  <c r="M487" i="49"/>
  <c r="N486" i="49"/>
  <c r="M486" i="49"/>
  <c r="N485" i="49"/>
  <c r="M485" i="49"/>
  <c r="N484" i="49"/>
  <c r="M484" i="49"/>
  <c r="N483" i="49"/>
  <c r="M483" i="49"/>
  <c r="N482" i="49"/>
  <c r="M482" i="49"/>
  <c r="N481" i="49"/>
  <c r="M481" i="49"/>
  <c r="N480" i="49"/>
  <c r="M480" i="49"/>
  <c r="N479" i="49"/>
  <c r="M479" i="49"/>
  <c r="N478" i="49"/>
  <c r="M478" i="49"/>
  <c r="N477" i="49"/>
  <c r="M477" i="49"/>
  <c r="N476" i="49"/>
  <c r="M476" i="49"/>
  <c r="N475" i="49"/>
  <c r="M475" i="49"/>
  <c r="N474" i="49"/>
  <c r="M474" i="49"/>
  <c r="N473" i="49"/>
  <c r="M473" i="49"/>
  <c r="N472" i="49"/>
  <c r="M472" i="49"/>
  <c r="N471" i="49"/>
  <c r="M471" i="49"/>
  <c r="N470" i="49"/>
  <c r="M470" i="49"/>
  <c r="N469" i="49"/>
  <c r="M469" i="49"/>
  <c r="N468" i="49"/>
  <c r="M468" i="49"/>
  <c r="N467" i="49"/>
  <c r="M467" i="49"/>
  <c r="N466" i="49"/>
  <c r="M466" i="49"/>
  <c r="N465" i="49"/>
  <c r="M465" i="49"/>
  <c r="N464" i="49"/>
  <c r="M464" i="49"/>
  <c r="N463" i="49"/>
  <c r="M463" i="49"/>
  <c r="N462" i="49"/>
  <c r="M462" i="49"/>
  <c r="N461" i="49"/>
  <c r="M461" i="49"/>
  <c r="N460" i="49"/>
  <c r="M460" i="49"/>
  <c r="N459" i="49"/>
  <c r="M459" i="49"/>
  <c r="N458" i="49"/>
  <c r="M458" i="49"/>
  <c r="N457" i="49"/>
  <c r="Q457" i="49" s="1"/>
  <c r="M457" i="49"/>
  <c r="N456" i="49"/>
  <c r="M456" i="49"/>
  <c r="N455" i="49"/>
  <c r="M455" i="49"/>
  <c r="N454" i="49"/>
  <c r="M454" i="49"/>
  <c r="N453" i="49"/>
  <c r="M453" i="49"/>
  <c r="N452" i="49"/>
  <c r="M452" i="49"/>
  <c r="N451" i="49"/>
  <c r="M451" i="49"/>
  <c r="N450" i="49"/>
  <c r="M450" i="49"/>
  <c r="N449" i="49"/>
  <c r="M449" i="49"/>
  <c r="N448" i="49"/>
  <c r="M448" i="49"/>
  <c r="N447" i="49"/>
  <c r="M447" i="49"/>
  <c r="N446" i="49"/>
  <c r="M446" i="49"/>
  <c r="N445" i="49"/>
  <c r="M445" i="49"/>
  <c r="N444" i="49"/>
  <c r="M444" i="49"/>
  <c r="N443" i="49"/>
  <c r="M443" i="49"/>
  <c r="N442" i="49"/>
  <c r="M442" i="49"/>
  <c r="N441" i="49"/>
  <c r="M441" i="49"/>
  <c r="N440" i="49"/>
  <c r="M440" i="49"/>
  <c r="N439" i="49"/>
  <c r="M439" i="49"/>
  <c r="N438" i="49"/>
  <c r="M438" i="49"/>
  <c r="N437" i="49"/>
  <c r="M437" i="49"/>
  <c r="N436" i="49"/>
  <c r="M436" i="49"/>
  <c r="N435" i="49"/>
  <c r="M435" i="49"/>
  <c r="N434" i="49"/>
  <c r="M434" i="49"/>
  <c r="N433" i="49"/>
  <c r="M433" i="49"/>
  <c r="N432" i="49"/>
  <c r="M432" i="49"/>
  <c r="N431" i="49"/>
  <c r="M431" i="49"/>
  <c r="N430" i="49"/>
  <c r="M430" i="49"/>
  <c r="N429" i="49"/>
  <c r="M429" i="49"/>
  <c r="N428" i="49"/>
  <c r="M428" i="49"/>
  <c r="N427" i="49"/>
  <c r="M427" i="49"/>
  <c r="N426" i="49"/>
  <c r="M426" i="49"/>
  <c r="N425" i="49"/>
  <c r="M425" i="49"/>
  <c r="N424" i="49"/>
  <c r="M424" i="49"/>
  <c r="N423" i="49"/>
  <c r="M423" i="49"/>
  <c r="N422" i="49"/>
  <c r="M422" i="49"/>
  <c r="N421" i="49"/>
  <c r="M421" i="49"/>
  <c r="N420" i="49"/>
  <c r="M420" i="49"/>
  <c r="N419" i="49"/>
  <c r="M419" i="49"/>
  <c r="N418" i="49"/>
  <c r="M418" i="49"/>
  <c r="N417" i="49"/>
  <c r="M417" i="49"/>
  <c r="N416" i="49"/>
  <c r="M416" i="49"/>
  <c r="N415" i="49"/>
  <c r="M415" i="49"/>
  <c r="N414" i="49"/>
  <c r="M414" i="49"/>
  <c r="N413" i="49"/>
  <c r="M413" i="49"/>
  <c r="N412" i="49"/>
  <c r="M412" i="49"/>
  <c r="N411" i="49"/>
  <c r="M411" i="49"/>
  <c r="N410" i="49"/>
  <c r="M410" i="49"/>
  <c r="N409" i="49"/>
  <c r="M409" i="49"/>
  <c r="N408" i="49"/>
  <c r="M408" i="49"/>
  <c r="N407" i="49"/>
  <c r="M407" i="49"/>
  <c r="N406" i="49"/>
  <c r="M406" i="49"/>
  <c r="N405" i="49"/>
  <c r="M405" i="49"/>
  <c r="N404" i="49"/>
  <c r="M404" i="49"/>
  <c r="N403" i="49"/>
  <c r="M403" i="49"/>
  <c r="N402" i="49"/>
  <c r="M402" i="49"/>
  <c r="N401" i="49"/>
  <c r="M401" i="49"/>
  <c r="N400" i="49"/>
  <c r="M400" i="49"/>
  <c r="N399" i="49"/>
  <c r="M399" i="49"/>
  <c r="N398" i="49"/>
  <c r="M398" i="49"/>
  <c r="N397" i="49"/>
  <c r="M397" i="49"/>
  <c r="N396" i="49"/>
  <c r="M396" i="49"/>
  <c r="N395" i="49"/>
  <c r="M395" i="49"/>
  <c r="N394" i="49"/>
  <c r="M394" i="49"/>
  <c r="N393" i="49"/>
  <c r="M393" i="49"/>
  <c r="N392" i="49"/>
  <c r="M392" i="49"/>
  <c r="N391" i="49"/>
  <c r="M391" i="49"/>
  <c r="N390" i="49"/>
  <c r="M390" i="49"/>
  <c r="N389" i="49"/>
  <c r="M389" i="49"/>
  <c r="N388" i="49"/>
  <c r="M388" i="49"/>
  <c r="N387" i="49"/>
  <c r="M387" i="49"/>
  <c r="N386" i="49"/>
  <c r="M386" i="49"/>
  <c r="N385" i="49"/>
  <c r="M385" i="49"/>
  <c r="N384" i="49"/>
  <c r="M384" i="49"/>
  <c r="N383" i="49"/>
  <c r="M383" i="49"/>
  <c r="N382" i="49"/>
  <c r="M382" i="49"/>
  <c r="N381" i="49"/>
  <c r="M381" i="49"/>
  <c r="N380" i="49"/>
  <c r="M380" i="49"/>
  <c r="N379" i="49"/>
  <c r="M379" i="49"/>
  <c r="N378" i="49"/>
  <c r="M378" i="49"/>
  <c r="N377" i="49"/>
  <c r="M377" i="49"/>
  <c r="N376" i="49"/>
  <c r="M376" i="49"/>
  <c r="N375" i="49"/>
  <c r="M375" i="49"/>
  <c r="N374" i="49"/>
  <c r="M374" i="49"/>
  <c r="N373" i="49"/>
  <c r="M373" i="49"/>
  <c r="N372" i="49"/>
  <c r="M372" i="49"/>
  <c r="N371" i="49"/>
  <c r="M371" i="49"/>
  <c r="N370" i="49"/>
  <c r="M370" i="49"/>
  <c r="N369" i="49"/>
  <c r="M369" i="49"/>
  <c r="N368" i="49"/>
  <c r="M368" i="49"/>
  <c r="N367" i="49"/>
  <c r="M367" i="49"/>
  <c r="N366" i="49"/>
  <c r="M366" i="49"/>
  <c r="N365" i="49"/>
  <c r="M365" i="49"/>
  <c r="N364" i="49"/>
  <c r="M364" i="49"/>
  <c r="N363" i="49"/>
  <c r="M363" i="49"/>
  <c r="N362" i="49"/>
  <c r="M362" i="49"/>
  <c r="N361" i="49"/>
  <c r="M361" i="49"/>
  <c r="N360" i="49"/>
  <c r="M360" i="49"/>
  <c r="N359" i="49"/>
  <c r="M359" i="49"/>
  <c r="N358" i="49"/>
  <c r="M358" i="49"/>
  <c r="N357" i="49"/>
  <c r="M357" i="49"/>
  <c r="N356" i="49"/>
  <c r="M356" i="49"/>
  <c r="N355" i="49"/>
  <c r="M355" i="49"/>
  <c r="N354" i="49"/>
  <c r="M354" i="49"/>
  <c r="N353" i="49"/>
  <c r="M353" i="49"/>
  <c r="N352" i="49"/>
  <c r="M352" i="49"/>
  <c r="N351" i="49"/>
  <c r="M351" i="49"/>
  <c r="N350" i="49"/>
  <c r="M350" i="49"/>
  <c r="N349" i="49"/>
  <c r="M349" i="49"/>
  <c r="N348" i="49"/>
  <c r="M348" i="49"/>
  <c r="N347" i="49"/>
  <c r="M347" i="49"/>
  <c r="N346" i="49"/>
  <c r="M346" i="49"/>
  <c r="N345" i="49"/>
  <c r="M345" i="49"/>
  <c r="N344" i="49"/>
  <c r="M344" i="49"/>
  <c r="N343" i="49"/>
  <c r="M343" i="49"/>
  <c r="N342" i="49"/>
  <c r="M342" i="49"/>
  <c r="N341" i="49"/>
  <c r="M341" i="49"/>
  <c r="N340" i="49"/>
  <c r="M340" i="49"/>
  <c r="N339" i="49"/>
  <c r="M339" i="49"/>
  <c r="N338" i="49"/>
  <c r="M338" i="49"/>
  <c r="N337" i="49"/>
  <c r="M337" i="49"/>
  <c r="N336" i="49"/>
  <c r="M336" i="49"/>
  <c r="N335" i="49"/>
  <c r="M335" i="49"/>
  <c r="N334" i="49"/>
  <c r="M334" i="49"/>
  <c r="N333" i="49"/>
  <c r="M333" i="49"/>
  <c r="N332" i="49"/>
  <c r="M332" i="49"/>
  <c r="N331" i="49"/>
  <c r="M331" i="49"/>
  <c r="N330" i="49"/>
  <c r="M330" i="49"/>
  <c r="N329" i="49"/>
  <c r="M329" i="49"/>
  <c r="N328" i="49"/>
  <c r="M328" i="49"/>
  <c r="N327" i="49"/>
  <c r="M327" i="49"/>
  <c r="N326" i="49"/>
  <c r="M326" i="49"/>
  <c r="N325" i="49"/>
  <c r="M325" i="49"/>
  <c r="N324" i="49"/>
  <c r="M324" i="49"/>
  <c r="N323" i="49"/>
  <c r="M323" i="49"/>
  <c r="N322" i="49"/>
  <c r="M322" i="49"/>
  <c r="N321" i="49"/>
  <c r="M321" i="49"/>
  <c r="N320" i="49"/>
  <c r="M320" i="49"/>
  <c r="N319" i="49"/>
  <c r="M319" i="49"/>
  <c r="N318" i="49"/>
  <c r="M318" i="49"/>
  <c r="N317" i="49"/>
  <c r="M317" i="49"/>
  <c r="N316" i="49"/>
  <c r="M316" i="49"/>
  <c r="N315" i="49"/>
  <c r="M315" i="49"/>
  <c r="N314" i="49"/>
  <c r="M314" i="49"/>
  <c r="N313" i="49"/>
  <c r="M313" i="49"/>
  <c r="N312" i="49"/>
  <c r="M312" i="49"/>
  <c r="N311" i="49"/>
  <c r="M311" i="49"/>
  <c r="N310" i="49"/>
  <c r="M310" i="49"/>
  <c r="N309" i="49"/>
  <c r="M309" i="49"/>
  <c r="N308" i="49"/>
  <c r="M308" i="49"/>
  <c r="N307" i="49"/>
  <c r="M307" i="49"/>
  <c r="N306" i="49"/>
  <c r="M306" i="49"/>
  <c r="N305" i="49"/>
  <c r="M305" i="49"/>
  <c r="N304" i="49"/>
  <c r="M304" i="49"/>
  <c r="N303" i="49"/>
  <c r="M303" i="49"/>
  <c r="N302" i="49"/>
  <c r="M302" i="49"/>
  <c r="N301" i="49"/>
  <c r="M301" i="49"/>
  <c r="N300" i="49"/>
  <c r="M300" i="49"/>
  <c r="N299" i="49"/>
  <c r="M299" i="49"/>
  <c r="N298" i="49"/>
  <c r="M298" i="49"/>
  <c r="N297" i="49"/>
  <c r="M297" i="49"/>
  <c r="N296" i="49"/>
  <c r="M296" i="49"/>
  <c r="N295" i="49"/>
  <c r="M295" i="49"/>
  <c r="N294" i="49"/>
  <c r="M294" i="49"/>
  <c r="N293" i="49"/>
  <c r="M293" i="49"/>
  <c r="N292" i="49"/>
  <c r="M292" i="49"/>
  <c r="N291" i="49"/>
  <c r="M291" i="49"/>
  <c r="N290" i="49"/>
  <c r="M290" i="49"/>
  <c r="N289" i="49"/>
  <c r="M289" i="49"/>
  <c r="N288" i="49"/>
  <c r="M288" i="49"/>
  <c r="N287" i="49"/>
  <c r="M287" i="49"/>
  <c r="N286" i="49"/>
  <c r="M286" i="49"/>
  <c r="N285" i="49"/>
  <c r="M285" i="49"/>
  <c r="N284" i="49"/>
  <c r="M284" i="49"/>
  <c r="N283" i="49"/>
  <c r="M283" i="49"/>
  <c r="N282" i="49"/>
  <c r="M282" i="49"/>
  <c r="N281" i="49"/>
  <c r="M281" i="49"/>
  <c r="N280" i="49"/>
  <c r="M280" i="49"/>
  <c r="N279" i="49"/>
  <c r="M279" i="49"/>
  <c r="N278" i="49"/>
  <c r="M278" i="49"/>
  <c r="N277" i="49"/>
  <c r="M277" i="49"/>
  <c r="N276" i="49"/>
  <c r="M276" i="49"/>
  <c r="N275" i="49"/>
  <c r="M275" i="49"/>
  <c r="N274" i="49"/>
  <c r="M274" i="49"/>
  <c r="N273" i="49"/>
  <c r="M273" i="49"/>
  <c r="N272" i="49"/>
  <c r="M272" i="49"/>
  <c r="N271" i="49"/>
  <c r="M271" i="49"/>
  <c r="N270" i="49"/>
  <c r="M270" i="49"/>
  <c r="N269" i="49"/>
  <c r="M269" i="49"/>
  <c r="N268" i="49"/>
  <c r="M268" i="49"/>
  <c r="N267" i="49"/>
  <c r="M267" i="49"/>
  <c r="N266" i="49"/>
  <c r="M266" i="49"/>
  <c r="N265" i="49"/>
  <c r="M265" i="49"/>
  <c r="N264" i="49"/>
  <c r="M264" i="49"/>
  <c r="N263" i="49"/>
  <c r="M263" i="49"/>
  <c r="N262" i="49"/>
  <c r="M262" i="49"/>
  <c r="N261" i="49"/>
  <c r="M261" i="49"/>
  <c r="N260" i="49"/>
  <c r="M260" i="49"/>
  <c r="N259" i="49"/>
  <c r="M259" i="49"/>
  <c r="N258" i="49"/>
  <c r="M258" i="49"/>
  <c r="N257" i="49"/>
  <c r="M257" i="49"/>
  <c r="N256" i="49"/>
  <c r="M256" i="49"/>
  <c r="N255" i="49"/>
  <c r="M255" i="49"/>
  <c r="N254" i="49"/>
  <c r="M254" i="49"/>
  <c r="N253" i="49"/>
  <c r="M253" i="49"/>
  <c r="N252" i="49"/>
  <c r="M252" i="49"/>
  <c r="N251" i="49"/>
  <c r="M251" i="49"/>
  <c r="N250" i="49"/>
  <c r="M250" i="49"/>
  <c r="N249" i="49"/>
  <c r="M249" i="49"/>
  <c r="N248" i="49"/>
  <c r="M248" i="49"/>
  <c r="N247" i="49"/>
  <c r="M247" i="49"/>
  <c r="N246" i="49"/>
  <c r="M246" i="49"/>
  <c r="N245" i="49"/>
  <c r="M245" i="49"/>
  <c r="N244" i="49"/>
  <c r="M244" i="49"/>
  <c r="N243" i="49"/>
  <c r="M243" i="49"/>
  <c r="N242" i="49"/>
  <c r="M242" i="49"/>
  <c r="N241" i="49"/>
  <c r="M241" i="49"/>
  <c r="N240" i="49"/>
  <c r="M240" i="49"/>
  <c r="N239" i="49"/>
  <c r="M239" i="49"/>
  <c r="N238" i="49"/>
  <c r="M238" i="49"/>
  <c r="N237" i="49"/>
  <c r="M237" i="49"/>
  <c r="N236" i="49"/>
  <c r="M236" i="49"/>
  <c r="N235" i="49"/>
  <c r="M235" i="49"/>
  <c r="N234" i="49"/>
  <c r="M234" i="49"/>
  <c r="N233" i="49"/>
  <c r="M233" i="49"/>
  <c r="N232" i="49"/>
  <c r="M232" i="49"/>
  <c r="N231" i="49"/>
  <c r="M231" i="49"/>
  <c r="N230" i="49"/>
  <c r="M230" i="49"/>
  <c r="N229" i="49"/>
  <c r="M229" i="49"/>
  <c r="N228" i="49"/>
  <c r="M228" i="49"/>
  <c r="N227" i="49"/>
  <c r="M227" i="49"/>
  <c r="N225" i="49"/>
  <c r="M225" i="49"/>
  <c r="N224" i="49"/>
  <c r="M224" i="49"/>
  <c r="N223" i="49"/>
  <c r="M223" i="49"/>
  <c r="N222" i="49"/>
  <c r="M222" i="49"/>
  <c r="N221" i="49"/>
  <c r="M221" i="49"/>
  <c r="N220" i="49"/>
  <c r="M220" i="49"/>
  <c r="N219" i="49"/>
  <c r="M219" i="49"/>
  <c r="N218" i="49"/>
  <c r="M218" i="49"/>
  <c r="N217" i="49"/>
  <c r="M217" i="49"/>
  <c r="N216" i="49"/>
  <c r="M216" i="49"/>
  <c r="N215" i="49"/>
  <c r="M215" i="49"/>
  <c r="N214" i="49"/>
  <c r="M214" i="49"/>
  <c r="N213" i="49"/>
  <c r="M213" i="49"/>
  <c r="N212" i="49"/>
  <c r="M212" i="49"/>
  <c r="N211" i="49"/>
  <c r="M211" i="49"/>
  <c r="N210" i="49"/>
  <c r="M210" i="49"/>
  <c r="N209" i="49"/>
  <c r="M209" i="49"/>
  <c r="N208" i="49"/>
  <c r="M208" i="49"/>
  <c r="N207" i="49"/>
  <c r="M207" i="49"/>
  <c r="N206" i="49"/>
  <c r="M206" i="49"/>
  <c r="N205" i="49"/>
  <c r="M205" i="49"/>
  <c r="N204" i="49"/>
  <c r="M204" i="49"/>
  <c r="N203" i="49"/>
  <c r="M203" i="49"/>
  <c r="N202" i="49"/>
  <c r="M202" i="49"/>
  <c r="N201" i="49"/>
  <c r="M201" i="49"/>
  <c r="N200" i="49"/>
  <c r="M200" i="49"/>
  <c r="N199" i="49"/>
  <c r="M199" i="49"/>
  <c r="N198" i="49"/>
  <c r="M198" i="49"/>
  <c r="N197" i="49"/>
  <c r="M197" i="49"/>
  <c r="N196" i="49"/>
  <c r="M196" i="49"/>
  <c r="N194" i="49"/>
  <c r="M194" i="49"/>
  <c r="N193" i="49"/>
  <c r="M193" i="49"/>
  <c r="N191" i="49"/>
  <c r="M191" i="49"/>
  <c r="N190" i="49"/>
  <c r="M190" i="49"/>
  <c r="N187" i="49"/>
  <c r="M187" i="49"/>
  <c r="N184" i="49"/>
  <c r="M184" i="49"/>
  <c r="N182" i="49"/>
  <c r="M182" i="49"/>
  <c r="N181" i="49"/>
  <c r="M181" i="49"/>
  <c r="N179" i="49"/>
  <c r="M179" i="49"/>
  <c r="N178" i="49"/>
  <c r="M178" i="49"/>
  <c r="N177" i="49"/>
  <c r="M177" i="49"/>
  <c r="N176" i="49"/>
  <c r="M176" i="49"/>
  <c r="N175" i="49"/>
  <c r="M175" i="49"/>
  <c r="N174" i="49"/>
  <c r="M174" i="49"/>
  <c r="N173" i="49"/>
  <c r="M173" i="49"/>
  <c r="N172" i="49"/>
  <c r="M172" i="49"/>
  <c r="N171" i="49"/>
  <c r="M171" i="49"/>
  <c r="N170" i="49"/>
  <c r="M170" i="49"/>
  <c r="N169" i="49"/>
  <c r="M169" i="49"/>
  <c r="N168" i="49"/>
  <c r="M168" i="49"/>
  <c r="N167" i="49"/>
  <c r="M167" i="49"/>
  <c r="N166" i="49"/>
  <c r="M166" i="49"/>
  <c r="N165" i="49"/>
  <c r="M165" i="49"/>
  <c r="N164" i="49"/>
  <c r="M164" i="49"/>
  <c r="N163" i="49"/>
  <c r="M163" i="49"/>
  <c r="N162" i="49"/>
  <c r="M162" i="49"/>
  <c r="N161" i="49"/>
  <c r="M161" i="49"/>
  <c r="N160" i="49"/>
  <c r="M160" i="49"/>
  <c r="N159" i="49"/>
  <c r="M159" i="49"/>
  <c r="N158" i="49"/>
  <c r="M158" i="49"/>
  <c r="N157" i="49"/>
  <c r="M157" i="49"/>
  <c r="N156" i="49"/>
  <c r="M156" i="49"/>
  <c r="N155" i="49"/>
  <c r="M155" i="49"/>
  <c r="N154" i="49"/>
  <c r="M154" i="49"/>
  <c r="N153" i="49"/>
  <c r="M153" i="49"/>
  <c r="N152" i="49"/>
  <c r="M152" i="49"/>
  <c r="N151" i="49"/>
  <c r="M151" i="49"/>
  <c r="N150" i="49"/>
  <c r="M150" i="49"/>
  <c r="N149" i="49"/>
  <c r="M149" i="49"/>
  <c r="N148" i="49"/>
  <c r="M148" i="49"/>
  <c r="N147" i="49"/>
  <c r="M147" i="49"/>
  <c r="N146" i="49"/>
  <c r="M146" i="49"/>
  <c r="N145" i="49"/>
  <c r="M145" i="49"/>
  <c r="N144" i="49"/>
  <c r="M144" i="49"/>
  <c r="N143" i="49"/>
  <c r="M143" i="49"/>
  <c r="N142" i="49"/>
  <c r="M142" i="49"/>
  <c r="N141" i="49"/>
  <c r="M141" i="49"/>
  <c r="N140" i="49"/>
  <c r="M140" i="49"/>
  <c r="N139" i="49"/>
  <c r="M139" i="49"/>
  <c r="N138" i="49"/>
  <c r="M138" i="49"/>
  <c r="N137" i="49"/>
  <c r="M137" i="49"/>
  <c r="N136" i="49"/>
  <c r="M136" i="49"/>
  <c r="N135" i="49"/>
  <c r="M135" i="49"/>
  <c r="N134" i="49"/>
  <c r="M134" i="49"/>
  <c r="N133" i="49"/>
  <c r="M133" i="49"/>
  <c r="N132" i="49"/>
  <c r="M132" i="49"/>
  <c r="N131" i="49"/>
  <c r="M131" i="49"/>
  <c r="N130" i="49"/>
  <c r="M130" i="49"/>
  <c r="N129" i="49"/>
  <c r="M129" i="49"/>
  <c r="N128" i="49"/>
  <c r="M128" i="49"/>
  <c r="N127" i="49"/>
  <c r="M127" i="49"/>
  <c r="N126" i="49"/>
  <c r="M126" i="49"/>
  <c r="N125" i="49"/>
  <c r="M125" i="49"/>
  <c r="N124" i="49"/>
  <c r="M124" i="49"/>
  <c r="N123" i="49"/>
  <c r="M123" i="49"/>
  <c r="N122" i="49"/>
  <c r="M122" i="49"/>
  <c r="N121" i="49"/>
  <c r="M121" i="49"/>
  <c r="N120" i="49"/>
  <c r="M120" i="49"/>
  <c r="N119" i="49"/>
  <c r="M119" i="49"/>
  <c r="N118" i="49"/>
  <c r="M118" i="49"/>
  <c r="N117" i="49"/>
  <c r="M117" i="49"/>
  <c r="N116" i="49"/>
  <c r="M116" i="49"/>
  <c r="N115" i="49"/>
  <c r="M115" i="49"/>
  <c r="N114" i="49"/>
  <c r="M114" i="49"/>
  <c r="N113" i="49"/>
  <c r="M113" i="49"/>
  <c r="N112" i="49"/>
  <c r="M112" i="49"/>
  <c r="N111" i="49"/>
  <c r="M111" i="49"/>
  <c r="N110" i="49"/>
  <c r="M110" i="49"/>
  <c r="N109" i="49"/>
  <c r="M109" i="49"/>
  <c r="N108" i="49"/>
  <c r="M108" i="49"/>
  <c r="N107" i="49"/>
  <c r="M107" i="49"/>
  <c r="N106" i="49"/>
  <c r="M106" i="49"/>
  <c r="N105" i="49"/>
  <c r="M105" i="49"/>
  <c r="N104" i="49"/>
  <c r="M104" i="49"/>
  <c r="N103" i="49"/>
  <c r="M103" i="49"/>
  <c r="N102" i="49"/>
  <c r="M102" i="49"/>
  <c r="N101" i="49"/>
  <c r="M101" i="49"/>
  <c r="N100" i="49"/>
  <c r="Q100" i="49" s="1"/>
  <c r="M100" i="49"/>
  <c r="N99" i="49"/>
  <c r="M99" i="49"/>
  <c r="N98" i="49"/>
  <c r="M98" i="49"/>
  <c r="N97" i="49"/>
  <c r="M97" i="49"/>
  <c r="N96" i="49"/>
  <c r="M96" i="49"/>
  <c r="N95" i="49"/>
  <c r="M95" i="49"/>
  <c r="N94" i="49"/>
  <c r="M94" i="49"/>
  <c r="N93" i="49"/>
  <c r="M93" i="49"/>
  <c r="N92" i="49"/>
  <c r="M92" i="49"/>
  <c r="N91" i="49"/>
  <c r="M91" i="49"/>
  <c r="N89" i="49"/>
  <c r="M89" i="49"/>
  <c r="N88" i="49"/>
  <c r="M88" i="49"/>
  <c r="N87" i="49"/>
  <c r="M87" i="49"/>
  <c r="N86" i="49"/>
  <c r="M86" i="49"/>
  <c r="N85" i="49"/>
  <c r="M85" i="49"/>
  <c r="N84" i="49"/>
  <c r="M84" i="49"/>
  <c r="N83" i="49"/>
  <c r="M83" i="49"/>
  <c r="N82" i="49"/>
  <c r="M82" i="49"/>
  <c r="N81" i="49"/>
  <c r="M81" i="49"/>
  <c r="N80" i="49"/>
  <c r="M80" i="49"/>
  <c r="N79" i="49"/>
  <c r="M79" i="49"/>
  <c r="N78" i="49"/>
  <c r="M78" i="49"/>
  <c r="N77" i="49"/>
  <c r="M77" i="49"/>
  <c r="N76" i="49"/>
  <c r="M76" i="49"/>
  <c r="N75" i="49"/>
  <c r="M75" i="49"/>
  <c r="N74" i="49"/>
  <c r="M74" i="49"/>
  <c r="N73" i="49"/>
  <c r="M73" i="49"/>
  <c r="N72" i="49"/>
  <c r="M72" i="49"/>
  <c r="N71" i="49"/>
  <c r="M71" i="49"/>
  <c r="N70" i="49"/>
  <c r="M70" i="49"/>
  <c r="N69" i="49"/>
  <c r="M69" i="49"/>
  <c r="N68" i="49"/>
  <c r="M68" i="49"/>
  <c r="N67" i="49"/>
  <c r="M67" i="49"/>
  <c r="N66" i="49"/>
  <c r="M66" i="49"/>
  <c r="N65" i="49"/>
  <c r="M65" i="49"/>
  <c r="N64" i="49"/>
  <c r="M64" i="49"/>
  <c r="N63" i="49"/>
  <c r="M63" i="49"/>
  <c r="N62" i="49"/>
  <c r="M62" i="49"/>
  <c r="N61" i="49"/>
  <c r="M61" i="49"/>
  <c r="N60" i="49"/>
  <c r="M60" i="49"/>
  <c r="N59" i="49"/>
  <c r="M59" i="49"/>
  <c r="N58" i="49"/>
  <c r="M58" i="49"/>
  <c r="N57" i="49"/>
  <c r="M57" i="49"/>
  <c r="N56" i="49"/>
  <c r="M56" i="49"/>
  <c r="N55" i="49"/>
  <c r="M55" i="49"/>
  <c r="N54" i="49"/>
  <c r="M54" i="49"/>
  <c r="N53" i="49"/>
  <c r="M53" i="49"/>
  <c r="N52" i="49"/>
  <c r="M52" i="49"/>
  <c r="N51" i="49"/>
  <c r="M51" i="49"/>
  <c r="N50" i="49"/>
  <c r="M50" i="49"/>
  <c r="N49" i="49"/>
  <c r="M49" i="49"/>
  <c r="N48" i="49"/>
  <c r="M48" i="49"/>
  <c r="N47" i="49"/>
  <c r="M47" i="49"/>
  <c r="N46" i="49"/>
  <c r="M46" i="49"/>
  <c r="N45" i="49"/>
  <c r="M45" i="49"/>
  <c r="N44" i="49"/>
  <c r="M44" i="49"/>
  <c r="N43" i="49"/>
  <c r="M43" i="49"/>
  <c r="N42" i="49"/>
  <c r="M42" i="49"/>
  <c r="N41" i="49"/>
  <c r="M41" i="49"/>
  <c r="N40" i="49"/>
  <c r="M40" i="49"/>
  <c r="N39" i="49"/>
  <c r="M39" i="49"/>
  <c r="N38" i="49"/>
  <c r="M38" i="49"/>
  <c r="N37" i="49"/>
  <c r="M37" i="49"/>
  <c r="N36" i="49"/>
  <c r="M36" i="49"/>
  <c r="N35" i="49"/>
  <c r="M35" i="49"/>
  <c r="N34" i="49"/>
  <c r="M34" i="49"/>
  <c r="N33" i="49"/>
  <c r="M33" i="49"/>
  <c r="N32" i="49"/>
  <c r="M32" i="49"/>
  <c r="N31" i="49"/>
  <c r="M31" i="49"/>
  <c r="N30" i="49"/>
  <c r="M30" i="49"/>
  <c r="N28" i="49"/>
  <c r="M28" i="49"/>
  <c r="N27" i="49"/>
  <c r="M27" i="49"/>
  <c r="N26" i="49"/>
  <c r="M26" i="49"/>
  <c r="N25" i="49"/>
  <c r="M25" i="49"/>
  <c r="N24" i="49"/>
  <c r="M24" i="49"/>
  <c r="N23" i="49"/>
  <c r="M23" i="49"/>
  <c r="N22" i="49"/>
  <c r="M22" i="49"/>
  <c r="N21" i="49"/>
  <c r="M21" i="49"/>
  <c r="N20" i="49"/>
  <c r="M20" i="49"/>
  <c r="N19" i="49"/>
  <c r="M19" i="49"/>
  <c r="N18" i="49"/>
  <c r="M18" i="49"/>
  <c r="N17" i="49"/>
  <c r="M17" i="49"/>
  <c r="N16" i="49"/>
  <c r="M16" i="49"/>
  <c r="N15" i="49"/>
  <c r="M15" i="49"/>
  <c r="N14" i="49"/>
  <c r="M14" i="49"/>
  <c r="N13" i="49"/>
  <c r="M13" i="49"/>
  <c r="N12" i="49"/>
  <c r="M12" i="49"/>
  <c r="N11" i="49"/>
  <c r="M11" i="49"/>
  <c r="N10" i="49"/>
  <c r="M10" i="49"/>
  <c r="N9" i="49"/>
  <c r="M9" i="49"/>
  <c r="N8" i="49"/>
  <c r="M8" i="49"/>
  <c r="N7" i="49"/>
  <c r="M7" i="49"/>
  <c r="N6" i="49"/>
  <c r="M6" i="49"/>
  <c r="N5" i="49"/>
  <c r="M5" i="49"/>
  <c r="N4" i="49"/>
  <c r="M4" i="49"/>
  <c r="E45" i="51"/>
  <c r="D45" i="51"/>
  <c r="E25" i="51"/>
  <c r="D25" i="51"/>
  <c r="E46" i="51" l="1"/>
  <c r="D46" i="51"/>
  <c r="P497" i="49"/>
  <c r="N3" i="49"/>
  <c r="M3" i="49"/>
  <c r="P495" i="49"/>
  <c r="N2" i="49" l="1"/>
  <c r="H232" i="49"/>
  <c r="P232" i="49" s="1"/>
  <c r="I246" i="49"/>
  <c r="Q246" i="49" s="1"/>
  <c r="F501" i="49"/>
  <c r="I244" i="49" l="1"/>
  <c r="Q244" i="49" s="1"/>
  <c r="I171" i="49"/>
  <c r="Q171" i="49" s="1"/>
  <c r="I502" i="49" l="1"/>
  <c r="Q502" i="49" s="1"/>
  <c r="E501" i="49"/>
  <c r="I501" i="49" s="1"/>
  <c r="Q501" i="49" s="1"/>
  <c r="H378" i="49"/>
  <c r="P378" i="49" s="1"/>
  <c r="I170" i="49"/>
  <c r="F124" i="49"/>
  <c r="H124" i="49" s="1"/>
  <c r="P124" i="49" s="1"/>
  <c r="Q170" i="49" l="1"/>
  <c r="E188" i="49"/>
  <c r="I188" i="49" s="1"/>
  <c r="Q188" i="49" s="1"/>
  <c r="F185" i="49" l="1"/>
  <c r="I185" i="49" s="1"/>
  <c r="Q185" i="49" s="1"/>
  <c r="H12" i="49" l="1"/>
  <c r="P12" i="49" s="1"/>
  <c r="H11" i="49"/>
  <c r="P11" i="49" s="1"/>
  <c r="H16" i="49"/>
  <c r="P16" i="49" s="1"/>
  <c r="H501" i="49" l="1"/>
  <c r="P501" i="49" s="1"/>
  <c r="I176" i="49"/>
  <c r="Q176" i="49" s="1"/>
  <c r="F100" i="49"/>
  <c r="H100" i="49" s="1"/>
  <c r="P100" i="49" s="1"/>
  <c r="H14" i="49"/>
  <c r="P14" i="49" s="1"/>
  <c r="H50" i="49"/>
  <c r="P50" i="49" s="1"/>
  <c r="H92" i="49"/>
  <c r="H141" i="49"/>
  <c r="P141" i="49" s="1"/>
  <c r="I226" i="49"/>
  <c r="Q226" i="49" s="1"/>
  <c r="E177" i="49"/>
  <c r="I177" i="49" s="1"/>
  <c r="Q177" i="49" s="1"/>
  <c r="I178" i="49"/>
  <c r="Q178" i="49" s="1"/>
  <c r="I179" i="49"/>
  <c r="Q179" i="49" s="1"/>
  <c r="I187" i="49"/>
  <c r="I181" i="49"/>
  <c r="I184" i="49"/>
  <c r="I190" i="49"/>
  <c r="H496" i="49"/>
  <c r="P496" i="49" s="1"/>
  <c r="I266" i="49"/>
  <c r="Q266" i="49" s="1"/>
  <c r="H266" i="49"/>
  <c r="P266" i="49" s="1"/>
  <c r="I219" i="49"/>
  <c r="Q219" i="49" s="1"/>
  <c r="H164" i="49"/>
  <c r="P164" i="49" s="1"/>
  <c r="Q184" i="49" l="1"/>
  <c r="Q181" i="49"/>
  <c r="Q187" i="49"/>
  <c r="Q190" i="49"/>
  <c r="P92" i="49"/>
  <c r="I222" i="49" l="1"/>
  <c r="Q222" i="49" s="1"/>
  <c r="H168" i="49" l="1"/>
  <c r="P168" i="49" s="1"/>
  <c r="I168" i="49" l="1"/>
  <c r="Q168" i="49" s="1"/>
  <c r="O17" i="36" l="1"/>
  <c r="O4" i="36"/>
  <c r="H234" i="49" l="1"/>
  <c r="P234" i="49" s="1"/>
  <c r="H122" i="49"/>
  <c r="P122" i="49" s="1"/>
  <c r="O18" i="36" l="1"/>
  <c r="I508" i="49" l="1"/>
  <c r="Q508" i="49" s="1"/>
  <c r="H508" i="49"/>
  <c r="P508" i="49" s="1"/>
  <c r="I507" i="49"/>
  <c r="Q507" i="49" s="1"/>
  <c r="H507" i="49"/>
  <c r="P507" i="49" s="1"/>
  <c r="I506" i="49"/>
  <c r="Q506" i="49" s="1"/>
  <c r="H506" i="49"/>
  <c r="P506" i="49" s="1"/>
  <c r="I505" i="49"/>
  <c r="Q505" i="49" s="1"/>
  <c r="H505" i="49"/>
  <c r="P505" i="49" s="1"/>
  <c r="I504" i="49"/>
  <c r="Q504" i="49" s="1"/>
  <c r="H504" i="49"/>
  <c r="P504" i="49" s="1"/>
  <c r="I503" i="49"/>
  <c r="Q503" i="49" s="1"/>
  <c r="H503" i="49"/>
  <c r="P503" i="49" s="1"/>
  <c r="H502" i="49"/>
  <c r="P502" i="49" s="1"/>
  <c r="I500" i="49"/>
  <c r="Q500" i="49" s="1"/>
  <c r="H500" i="49"/>
  <c r="P500" i="49" s="1"/>
  <c r="I499" i="49"/>
  <c r="Q499" i="49" s="1"/>
  <c r="H499" i="49"/>
  <c r="P499" i="49" s="1"/>
  <c r="I498" i="49"/>
  <c r="Q498" i="49" s="1"/>
  <c r="H498" i="49"/>
  <c r="P498" i="49" s="1"/>
  <c r="I497" i="49"/>
  <c r="Q497" i="49" s="1"/>
  <c r="I496" i="49"/>
  <c r="Q496" i="49" s="1"/>
  <c r="I495" i="49"/>
  <c r="Q495" i="49" s="1"/>
  <c r="I494" i="49"/>
  <c r="Q494" i="49" s="1"/>
  <c r="H494" i="49"/>
  <c r="P494" i="49" s="1"/>
  <c r="I493" i="49"/>
  <c r="Q493" i="49" s="1"/>
  <c r="H493" i="49"/>
  <c r="P493" i="49" s="1"/>
  <c r="I492" i="49"/>
  <c r="Q492" i="49" s="1"/>
  <c r="H492" i="49"/>
  <c r="P492" i="49" s="1"/>
  <c r="I491" i="49"/>
  <c r="Q491" i="49" s="1"/>
  <c r="H491" i="49"/>
  <c r="P491" i="49" s="1"/>
  <c r="I490" i="49"/>
  <c r="Q490" i="49" s="1"/>
  <c r="H490" i="49"/>
  <c r="P490" i="49" s="1"/>
  <c r="I489" i="49"/>
  <c r="Q489" i="49" s="1"/>
  <c r="H489" i="49"/>
  <c r="P489" i="49" s="1"/>
  <c r="I488" i="49"/>
  <c r="Q488" i="49" s="1"/>
  <c r="H488" i="49"/>
  <c r="P488" i="49" s="1"/>
  <c r="I487" i="49"/>
  <c r="Q487" i="49" s="1"/>
  <c r="H487" i="49"/>
  <c r="P487" i="49" s="1"/>
  <c r="I486" i="49"/>
  <c r="Q486" i="49" s="1"/>
  <c r="H486" i="49"/>
  <c r="P486" i="49" s="1"/>
  <c r="I485" i="49"/>
  <c r="Q485" i="49" s="1"/>
  <c r="H485" i="49"/>
  <c r="P485" i="49" s="1"/>
  <c r="I484" i="49"/>
  <c r="Q484" i="49" s="1"/>
  <c r="H484" i="49"/>
  <c r="P484" i="49" s="1"/>
  <c r="I483" i="49"/>
  <c r="Q483" i="49" s="1"/>
  <c r="H483" i="49"/>
  <c r="P483" i="49" s="1"/>
  <c r="I482" i="49"/>
  <c r="Q482" i="49" s="1"/>
  <c r="H482" i="49"/>
  <c r="P482" i="49" s="1"/>
  <c r="I481" i="49"/>
  <c r="Q481" i="49" s="1"/>
  <c r="H481" i="49"/>
  <c r="P481" i="49" s="1"/>
  <c r="I480" i="49"/>
  <c r="Q480" i="49" s="1"/>
  <c r="H480" i="49"/>
  <c r="P480" i="49" s="1"/>
  <c r="I479" i="49"/>
  <c r="Q479" i="49" s="1"/>
  <c r="H479" i="49"/>
  <c r="P479" i="49" s="1"/>
  <c r="I478" i="49"/>
  <c r="Q478" i="49" s="1"/>
  <c r="H478" i="49"/>
  <c r="P478" i="49" s="1"/>
  <c r="I477" i="49"/>
  <c r="Q477" i="49" s="1"/>
  <c r="H477" i="49"/>
  <c r="P477" i="49" s="1"/>
  <c r="I476" i="49"/>
  <c r="Q476" i="49" s="1"/>
  <c r="H476" i="49"/>
  <c r="P476" i="49" s="1"/>
  <c r="I475" i="49"/>
  <c r="Q475" i="49" s="1"/>
  <c r="H475" i="49"/>
  <c r="P475" i="49" s="1"/>
  <c r="I474" i="49"/>
  <c r="Q474" i="49" s="1"/>
  <c r="H474" i="49"/>
  <c r="P474" i="49" s="1"/>
  <c r="I473" i="49"/>
  <c r="Q473" i="49" s="1"/>
  <c r="H473" i="49"/>
  <c r="P473" i="49" s="1"/>
  <c r="I472" i="49"/>
  <c r="Q472" i="49" s="1"/>
  <c r="H472" i="49"/>
  <c r="P472" i="49" s="1"/>
  <c r="I471" i="49"/>
  <c r="Q471" i="49" s="1"/>
  <c r="H471" i="49"/>
  <c r="P471" i="49" s="1"/>
  <c r="I470" i="49"/>
  <c r="Q470" i="49" s="1"/>
  <c r="H470" i="49"/>
  <c r="P470" i="49" s="1"/>
  <c r="I469" i="49"/>
  <c r="Q469" i="49" s="1"/>
  <c r="H469" i="49"/>
  <c r="P469" i="49" s="1"/>
  <c r="I468" i="49"/>
  <c r="Q468" i="49" s="1"/>
  <c r="H468" i="49"/>
  <c r="P468" i="49" s="1"/>
  <c r="I467" i="49"/>
  <c r="Q467" i="49" s="1"/>
  <c r="H467" i="49"/>
  <c r="P467" i="49" s="1"/>
  <c r="I466" i="49"/>
  <c r="Q466" i="49" s="1"/>
  <c r="H466" i="49"/>
  <c r="P466" i="49" s="1"/>
  <c r="I465" i="49"/>
  <c r="Q465" i="49" s="1"/>
  <c r="H465" i="49"/>
  <c r="P465" i="49" s="1"/>
  <c r="I464" i="49"/>
  <c r="Q464" i="49" s="1"/>
  <c r="H464" i="49"/>
  <c r="P464" i="49" s="1"/>
  <c r="I463" i="49"/>
  <c r="Q463" i="49" s="1"/>
  <c r="H463" i="49"/>
  <c r="P463" i="49" s="1"/>
  <c r="I462" i="49"/>
  <c r="Q462" i="49" s="1"/>
  <c r="H462" i="49"/>
  <c r="P462" i="49" s="1"/>
  <c r="I461" i="49"/>
  <c r="Q461" i="49" s="1"/>
  <c r="H461" i="49"/>
  <c r="P461" i="49" s="1"/>
  <c r="I460" i="49"/>
  <c r="Q460" i="49" s="1"/>
  <c r="H460" i="49"/>
  <c r="P460" i="49" s="1"/>
  <c r="I459" i="49"/>
  <c r="Q459" i="49" s="1"/>
  <c r="H459" i="49"/>
  <c r="P459" i="49" s="1"/>
  <c r="I458" i="49"/>
  <c r="Q458" i="49" s="1"/>
  <c r="H458" i="49"/>
  <c r="P458" i="49" s="1"/>
  <c r="H457" i="49"/>
  <c r="P457" i="49" s="1"/>
  <c r="I456" i="49"/>
  <c r="Q456" i="49" s="1"/>
  <c r="H456" i="49"/>
  <c r="P456" i="49" s="1"/>
  <c r="I455" i="49"/>
  <c r="Q455" i="49" s="1"/>
  <c r="H455" i="49"/>
  <c r="P455" i="49" s="1"/>
  <c r="I454" i="49"/>
  <c r="Q454" i="49" s="1"/>
  <c r="H454" i="49"/>
  <c r="P454" i="49" s="1"/>
  <c r="I453" i="49"/>
  <c r="Q453" i="49" s="1"/>
  <c r="H453" i="49"/>
  <c r="P453" i="49" s="1"/>
  <c r="I452" i="49"/>
  <c r="Q452" i="49" s="1"/>
  <c r="H452" i="49"/>
  <c r="P452" i="49" s="1"/>
  <c r="I451" i="49"/>
  <c r="Q451" i="49" s="1"/>
  <c r="H451" i="49"/>
  <c r="P451" i="49" s="1"/>
  <c r="I450" i="49"/>
  <c r="Q450" i="49" s="1"/>
  <c r="H450" i="49"/>
  <c r="P450" i="49" s="1"/>
  <c r="I449" i="49"/>
  <c r="Q449" i="49" s="1"/>
  <c r="H449" i="49"/>
  <c r="P449" i="49" s="1"/>
  <c r="I448" i="49"/>
  <c r="Q448" i="49" s="1"/>
  <c r="H448" i="49"/>
  <c r="P448" i="49" s="1"/>
  <c r="I447" i="49"/>
  <c r="Q447" i="49" s="1"/>
  <c r="H447" i="49"/>
  <c r="P447" i="49" s="1"/>
  <c r="I446" i="49"/>
  <c r="Q446" i="49" s="1"/>
  <c r="H446" i="49"/>
  <c r="P446" i="49" s="1"/>
  <c r="I445" i="49"/>
  <c r="Q445" i="49" s="1"/>
  <c r="H445" i="49"/>
  <c r="P445" i="49" s="1"/>
  <c r="I444" i="49"/>
  <c r="Q444" i="49" s="1"/>
  <c r="H444" i="49"/>
  <c r="P444" i="49" s="1"/>
  <c r="I443" i="49"/>
  <c r="Q443" i="49" s="1"/>
  <c r="H443" i="49"/>
  <c r="P443" i="49" s="1"/>
  <c r="I442" i="49"/>
  <c r="Q442" i="49" s="1"/>
  <c r="H442" i="49"/>
  <c r="P442" i="49" s="1"/>
  <c r="I441" i="49"/>
  <c r="Q441" i="49" s="1"/>
  <c r="H441" i="49"/>
  <c r="P441" i="49" s="1"/>
  <c r="I440" i="49"/>
  <c r="Q440" i="49" s="1"/>
  <c r="H440" i="49"/>
  <c r="P440" i="49" s="1"/>
  <c r="I439" i="49"/>
  <c r="Q439" i="49" s="1"/>
  <c r="H439" i="49"/>
  <c r="P439" i="49" s="1"/>
  <c r="I438" i="49"/>
  <c r="Q438" i="49" s="1"/>
  <c r="H438" i="49"/>
  <c r="P438" i="49" s="1"/>
  <c r="I437" i="49"/>
  <c r="Q437" i="49" s="1"/>
  <c r="H437" i="49"/>
  <c r="P437" i="49" s="1"/>
  <c r="I436" i="49"/>
  <c r="Q436" i="49" s="1"/>
  <c r="H436" i="49"/>
  <c r="P436" i="49" s="1"/>
  <c r="I435" i="49"/>
  <c r="Q435" i="49" s="1"/>
  <c r="H435" i="49"/>
  <c r="P435" i="49" s="1"/>
  <c r="I434" i="49"/>
  <c r="Q434" i="49" s="1"/>
  <c r="H434" i="49"/>
  <c r="P434" i="49" s="1"/>
  <c r="I433" i="49"/>
  <c r="Q433" i="49" s="1"/>
  <c r="H433" i="49"/>
  <c r="P433" i="49" s="1"/>
  <c r="I432" i="49"/>
  <c r="Q432" i="49" s="1"/>
  <c r="H432" i="49"/>
  <c r="P432" i="49" s="1"/>
  <c r="I431" i="49"/>
  <c r="Q431" i="49" s="1"/>
  <c r="H431" i="49"/>
  <c r="P431" i="49" s="1"/>
  <c r="I430" i="49"/>
  <c r="Q430" i="49" s="1"/>
  <c r="H430" i="49"/>
  <c r="P430" i="49" s="1"/>
  <c r="I429" i="49"/>
  <c r="Q429" i="49" s="1"/>
  <c r="H429" i="49"/>
  <c r="P429" i="49" s="1"/>
  <c r="I428" i="49"/>
  <c r="Q428" i="49" s="1"/>
  <c r="H428" i="49"/>
  <c r="P428" i="49" s="1"/>
  <c r="I427" i="49"/>
  <c r="Q427" i="49" s="1"/>
  <c r="H427" i="49"/>
  <c r="P427" i="49" s="1"/>
  <c r="I426" i="49"/>
  <c r="Q426" i="49" s="1"/>
  <c r="H426" i="49"/>
  <c r="P426" i="49" s="1"/>
  <c r="I425" i="49"/>
  <c r="Q425" i="49" s="1"/>
  <c r="H425" i="49"/>
  <c r="P425" i="49" s="1"/>
  <c r="I424" i="49"/>
  <c r="Q424" i="49" s="1"/>
  <c r="H424" i="49"/>
  <c r="P424" i="49" s="1"/>
  <c r="I423" i="49"/>
  <c r="Q423" i="49" s="1"/>
  <c r="H423" i="49"/>
  <c r="P423" i="49" s="1"/>
  <c r="I422" i="49"/>
  <c r="Q422" i="49" s="1"/>
  <c r="H422" i="49"/>
  <c r="P422" i="49" s="1"/>
  <c r="I421" i="49"/>
  <c r="Q421" i="49" s="1"/>
  <c r="H421" i="49"/>
  <c r="P421" i="49" s="1"/>
  <c r="I420" i="49"/>
  <c r="Q420" i="49" s="1"/>
  <c r="H420" i="49"/>
  <c r="P420" i="49" s="1"/>
  <c r="I419" i="49"/>
  <c r="Q419" i="49" s="1"/>
  <c r="H419" i="49"/>
  <c r="P419" i="49" s="1"/>
  <c r="I418" i="49"/>
  <c r="Q418" i="49" s="1"/>
  <c r="H418" i="49"/>
  <c r="P418" i="49" s="1"/>
  <c r="I417" i="49"/>
  <c r="Q417" i="49" s="1"/>
  <c r="H417" i="49"/>
  <c r="P417" i="49" s="1"/>
  <c r="I416" i="49"/>
  <c r="Q416" i="49" s="1"/>
  <c r="H416" i="49"/>
  <c r="P416" i="49" s="1"/>
  <c r="I415" i="49"/>
  <c r="Q415" i="49" s="1"/>
  <c r="H415" i="49"/>
  <c r="P415" i="49" s="1"/>
  <c r="I414" i="49"/>
  <c r="Q414" i="49" s="1"/>
  <c r="H414" i="49"/>
  <c r="P414" i="49" s="1"/>
  <c r="I413" i="49"/>
  <c r="Q413" i="49" s="1"/>
  <c r="H413" i="49"/>
  <c r="P413" i="49" s="1"/>
  <c r="I412" i="49"/>
  <c r="Q412" i="49" s="1"/>
  <c r="H412" i="49"/>
  <c r="P412" i="49" s="1"/>
  <c r="I411" i="49"/>
  <c r="Q411" i="49" s="1"/>
  <c r="H411" i="49"/>
  <c r="P411" i="49" s="1"/>
  <c r="I410" i="49"/>
  <c r="Q410" i="49" s="1"/>
  <c r="H410" i="49"/>
  <c r="P410" i="49" s="1"/>
  <c r="I409" i="49"/>
  <c r="Q409" i="49" s="1"/>
  <c r="H409" i="49"/>
  <c r="P409" i="49" s="1"/>
  <c r="I408" i="49"/>
  <c r="Q408" i="49" s="1"/>
  <c r="H408" i="49"/>
  <c r="P408" i="49" s="1"/>
  <c r="I407" i="49"/>
  <c r="Q407" i="49" s="1"/>
  <c r="H407" i="49"/>
  <c r="P407" i="49" s="1"/>
  <c r="I406" i="49"/>
  <c r="Q406" i="49" s="1"/>
  <c r="H406" i="49"/>
  <c r="P406" i="49" s="1"/>
  <c r="I405" i="49"/>
  <c r="Q405" i="49" s="1"/>
  <c r="H405" i="49"/>
  <c r="P405" i="49" s="1"/>
  <c r="I404" i="49"/>
  <c r="Q404" i="49" s="1"/>
  <c r="H404" i="49"/>
  <c r="P404" i="49" s="1"/>
  <c r="I403" i="49"/>
  <c r="Q403" i="49" s="1"/>
  <c r="H403" i="49"/>
  <c r="P403" i="49" s="1"/>
  <c r="I402" i="49"/>
  <c r="Q402" i="49" s="1"/>
  <c r="H402" i="49"/>
  <c r="P402" i="49" s="1"/>
  <c r="I401" i="49"/>
  <c r="Q401" i="49" s="1"/>
  <c r="H401" i="49"/>
  <c r="P401" i="49" s="1"/>
  <c r="I400" i="49"/>
  <c r="Q400" i="49" s="1"/>
  <c r="H400" i="49"/>
  <c r="P400" i="49" s="1"/>
  <c r="I399" i="49"/>
  <c r="Q399" i="49" s="1"/>
  <c r="H399" i="49"/>
  <c r="P399" i="49" s="1"/>
  <c r="I398" i="49"/>
  <c r="Q398" i="49" s="1"/>
  <c r="H398" i="49"/>
  <c r="P398" i="49" s="1"/>
  <c r="I397" i="49"/>
  <c r="Q397" i="49" s="1"/>
  <c r="H397" i="49"/>
  <c r="P397" i="49" s="1"/>
  <c r="I396" i="49"/>
  <c r="Q396" i="49" s="1"/>
  <c r="H396" i="49"/>
  <c r="P396" i="49" s="1"/>
  <c r="I395" i="49"/>
  <c r="Q395" i="49" s="1"/>
  <c r="H395" i="49"/>
  <c r="P395" i="49" s="1"/>
  <c r="I394" i="49"/>
  <c r="Q394" i="49" s="1"/>
  <c r="H394" i="49"/>
  <c r="P394" i="49" s="1"/>
  <c r="I393" i="49"/>
  <c r="Q393" i="49" s="1"/>
  <c r="H393" i="49"/>
  <c r="P393" i="49" s="1"/>
  <c r="I392" i="49"/>
  <c r="Q392" i="49" s="1"/>
  <c r="H392" i="49"/>
  <c r="P392" i="49" s="1"/>
  <c r="I391" i="49"/>
  <c r="Q391" i="49" s="1"/>
  <c r="H391" i="49"/>
  <c r="P391" i="49" s="1"/>
  <c r="I390" i="49"/>
  <c r="Q390" i="49" s="1"/>
  <c r="H390" i="49"/>
  <c r="P390" i="49" s="1"/>
  <c r="I389" i="49"/>
  <c r="Q389" i="49" s="1"/>
  <c r="H389" i="49"/>
  <c r="P389" i="49" s="1"/>
  <c r="I388" i="49"/>
  <c r="Q388" i="49" s="1"/>
  <c r="H388" i="49"/>
  <c r="P388" i="49" s="1"/>
  <c r="I387" i="49"/>
  <c r="Q387" i="49" s="1"/>
  <c r="H387" i="49"/>
  <c r="P387" i="49" s="1"/>
  <c r="I386" i="49"/>
  <c r="Q386" i="49" s="1"/>
  <c r="H386" i="49"/>
  <c r="P386" i="49" s="1"/>
  <c r="I385" i="49"/>
  <c r="Q385" i="49" s="1"/>
  <c r="H385" i="49"/>
  <c r="P385" i="49" s="1"/>
  <c r="I384" i="49"/>
  <c r="Q384" i="49" s="1"/>
  <c r="H384" i="49"/>
  <c r="P384" i="49" s="1"/>
  <c r="I383" i="49"/>
  <c r="Q383" i="49" s="1"/>
  <c r="H383" i="49"/>
  <c r="P383" i="49" s="1"/>
  <c r="I382" i="49"/>
  <c r="Q382" i="49" s="1"/>
  <c r="H382" i="49"/>
  <c r="P382" i="49" s="1"/>
  <c r="I381" i="49"/>
  <c r="Q381" i="49" s="1"/>
  <c r="H381" i="49"/>
  <c r="P381" i="49" s="1"/>
  <c r="I380" i="49"/>
  <c r="Q380" i="49" s="1"/>
  <c r="H380" i="49"/>
  <c r="P380" i="49" s="1"/>
  <c r="I379" i="49"/>
  <c r="Q379" i="49" s="1"/>
  <c r="H379" i="49"/>
  <c r="P379" i="49" s="1"/>
  <c r="I378" i="49"/>
  <c r="Q378" i="49" s="1"/>
  <c r="I377" i="49"/>
  <c r="Q377" i="49" s="1"/>
  <c r="H377" i="49"/>
  <c r="P377" i="49" s="1"/>
  <c r="I376" i="49"/>
  <c r="Q376" i="49" s="1"/>
  <c r="H376" i="49"/>
  <c r="P376" i="49" s="1"/>
  <c r="I375" i="49"/>
  <c r="Q375" i="49" s="1"/>
  <c r="H375" i="49"/>
  <c r="P375" i="49" s="1"/>
  <c r="I374" i="49"/>
  <c r="Q374" i="49" s="1"/>
  <c r="H374" i="49"/>
  <c r="P374" i="49" s="1"/>
  <c r="I373" i="49"/>
  <c r="Q373" i="49" s="1"/>
  <c r="H373" i="49"/>
  <c r="P373" i="49" s="1"/>
  <c r="I372" i="49"/>
  <c r="Q372" i="49" s="1"/>
  <c r="H372" i="49"/>
  <c r="P372" i="49" s="1"/>
  <c r="I371" i="49"/>
  <c r="Q371" i="49" s="1"/>
  <c r="H371" i="49"/>
  <c r="P371" i="49" s="1"/>
  <c r="I370" i="49"/>
  <c r="Q370" i="49" s="1"/>
  <c r="H370" i="49"/>
  <c r="P370" i="49" s="1"/>
  <c r="I369" i="49"/>
  <c r="Q369" i="49" s="1"/>
  <c r="H369" i="49"/>
  <c r="P369" i="49" s="1"/>
  <c r="I368" i="49"/>
  <c r="Q368" i="49" s="1"/>
  <c r="H368" i="49"/>
  <c r="P368" i="49" s="1"/>
  <c r="I367" i="49"/>
  <c r="Q367" i="49" s="1"/>
  <c r="H367" i="49"/>
  <c r="P367" i="49" s="1"/>
  <c r="I366" i="49"/>
  <c r="Q366" i="49" s="1"/>
  <c r="H366" i="49"/>
  <c r="P366" i="49" s="1"/>
  <c r="I365" i="49"/>
  <c r="Q365" i="49" s="1"/>
  <c r="H365" i="49"/>
  <c r="P365" i="49" s="1"/>
  <c r="I364" i="49"/>
  <c r="Q364" i="49" s="1"/>
  <c r="H364" i="49"/>
  <c r="P364" i="49" s="1"/>
  <c r="I363" i="49"/>
  <c r="Q363" i="49" s="1"/>
  <c r="H363" i="49"/>
  <c r="P363" i="49" s="1"/>
  <c r="I362" i="49"/>
  <c r="Q362" i="49" s="1"/>
  <c r="H362" i="49"/>
  <c r="P362" i="49" s="1"/>
  <c r="I361" i="49"/>
  <c r="Q361" i="49" s="1"/>
  <c r="H361" i="49"/>
  <c r="P361" i="49" s="1"/>
  <c r="I360" i="49"/>
  <c r="Q360" i="49" s="1"/>
  <c r="H360" i="49"/>
  <c r="P360" i="49" s="1"/>
  <c r="I359" i="49"/>
  <c r="Q359" i="49" s="1"/>
  <c r="H359" i="49"/>
  <c r="P359" i="49" s="1"/>
  <c r="I358" i="49"/>
  <c r="Q358" i="49" s="1"/>
  <c r="H358" i="49"/>
  <c r="P358" i="49" s="1"/>
  <c r="I357" i="49"/>
  <c r="Q357" i="49" s="1"/>
  <c r="H357" i="49"/>
  <c r="P357" i="49" s="1"/>
  <c r="I356" i="49"/>
  <c r="Q356" i="49" s="1"/>
  <c r="H356" i="49"/>
  <c r="P356" i="49" s="1"/>
  <c r="I355" i="49"/>
  <c r="Q355" i="49" s="1"/>
  <c r="H355" i="49"/>
  <c r="P355" i="49" s="1"/>
  <c r="I354" i="49"/>
  <c r="Q354" i="49" s="1"/>
  <c r="H354" i="49"/>
  <c r="P354" i="49" s="1"/>
  <c r="I353" i="49"/>
  <c r="Q353" i="49" s="1"/>
  <c r="H353" i="49"/>
  <c r="P353" i="49" s="1"/>
  <c r="I352" i="49"/>
  <c r="Q352" i="49" s="1"/>
  <c r="H352" i="49"/>
  <c r="P352" i="49" s="1"/>
  <c r="I351" i="49"/>
  <c r="Q351" i="49" s="1"/>
  <c r="H351" i="49"/>
  <c r="P351" i="49" s="1"/>
  <c r="I350" i="49"/>
  <c r="Q350" i="49" s="1"/>
  <c r="H350" i="49"/>
  <c r="P350" i="49" s="1"/>
  <c r="I349" i="49"/>
  <c r="Q349" i="49" s="1"/>
  <c r="H349" i="49"/>
  <c r="P349" i="49" s="1"/>
  <c r="I348" i="49"/>
  <c r="Q348" i="49" s="1"/>
  <c r="H348" i="49"/>
  <c r="I347" i="49"/>
  <c r="Q347" i="49" s="1"/>
  <c r="H347" i="49"/>
  <c r="I346" i="49"/>
  <c r="Q346" i="49" s="1"/>
  <c r="H346" i="49"/>
  <c r="P346" i="49" s="1"/>
  <c r="I345" i="49"/>
  <c r="Q345" i="49" s="1"/>
  <c r="H345" i="49"/>
  <c r="P345" i="49" s="1"/>
  <c r="I344" i="49"/>
  <c r="Q344" i="49" s="1"/>
  <c r="H344" i="49"/>
  <c r="P344" i="49" s="1"/>
  <c r="I343" i="49"/>
  <c r="Q343" i="49" s="1"/>
  <c r="H343" i="49"/>
  <c r="P343" i="49" s="1"/>
  <c r="I342" i="49"/>
  <c r="Q342" i="49" s="1"/>
  <c r="H342" i="49"/>
  <c r="P342" i="49" s="1"/>
  <c r="I341" i="49"/>
  <c r="Q341" i="49" s="1"/>
  <c r="H341" i="49"/>
  <c r="P341" i="49" s="1"/>
  <c r="I340" i="49"/>
  <c r="Q340" i="49" s="1"/>
  <c r="H340" i="49"/>
  <c r="P340" i="49" s="1"/>
  <c r="I339" i="49"/>
  <c r="Q339" i="49" s="1"/>
  <c r="H339" i="49"/>
  <c r="P339" i="49" s="1"/>
  <c r="I338" i="49"/>
  <c r="Q338" i="49" s="1"/>
  <c r="H338" i="49"/>
  <c r="P338" i="49" s="1"/>
  <c r="I337" i="49"/>
  <c r="Q337" i="49" s="1"/>
  <c r="H337" i="49"/>
  <c r="P337" i="49" s="1"/>
  <c r="I336" i="49"/>
  <c r="Q336" i="49" s="1"/>
  <c r="H336" i="49"/>
  <c r="P336" i="49" s="1"/>
  <c r="I335" i="49"/>
  <c r="Q335" i="49" s="1"/>
  <c r="H335" i="49"/>
  <c r="P335" i="49" s="1"/>
  <c r="I334" i="49"/>
  <c r="Q334" i="49" s="1"/>
  <c r="H334" i="49"/>
  <c r="P334" i="49" s="1"/>
  <c r="I333" i="49"/>
  <c r="Q333" i="49" s="1"/>
  <c r="H333" i="49"/>
  <c r="P333" i="49" s="1"/>
  <c r="I332" i="49"/>
  <c r="Q332" i="49" s="1"/>
  <c r="H332" i="49"/>
  <c r="P332" i="49" s="1"/>
  <c r="I331" i="49"/>
  <c r="Q331" i="49" s="1"/>
  <c r="H331" i="49"/>
  <c r="P331" i="49" s="1"/>
  <c r="I330" i="49"/>
  <c r="Q330" i="49" s="1"/>
  <c r="H330" i="49"/>
  <c r="P330" i="49" s="1"/>
  <c r="I329" i="49"/>
  <c r="Q329" i="49" s="1"/>
  <c r="H329" i="49"/>
  <c r="P329" i="49" s="1"/>
  <c r="I328" i="49"/>
  <c r="Q328" i="49" s="1"/>
  <c r="H328" i="49"/>
  <c r="P328" i="49" s="1"/>
  <c r="I327" i="49"/>
  <c r="Q327" i="49" s="1"/>
  <c r="H327" i="49"/>
  <c r="P327" i="49" s="1"/>
  <c r="I326" i="49"/>
  <c r="Q326" i="49" s="1"/>
  <c r="H326" i="49"/>
  <c r="P326" i="49" s="1"/>
  <c r="I325" i="49"/>
  <c r="Q325" i="49" s="1"/>
  <c r="H325" i="49"/>
  <c r="P325" i="49" s="1"/>
  <c r="I324" i="49"/>
  <c r="Q324" i="49" s="1"/>
  <c r="H324" i="49"/>
  <c r="P324" i="49" s="1"/>
  <c r="I323" i="49"/>
  <c r="Q323" i="49" s="1"/>
  <c r="H323" i="49"/>
  <c r="P323" i="49" s="1"/>
  <c r="I322" i="49"/>
  <c r="Q322" i="49" s="1"/>
  <c r="H322" i="49"/>
  <c r="P322" i="49" s="1"/>
  <c r="I321" i="49"/>
  <c r="Q321" i="49" s="1"/>
  <c r="H321" i="49"/>
  <c r="P321" i="49" s="1"/>
  <c r="I320" i="49"/>
  <c r="Q320" i="49" s="1"/>
  <c r="H320" i="49"/>
  <c r="P320" i="49" s="1"/>
  <c r="I319" i="49"/>
  <c r="Q319" i="49" s="1"/>
  <c r="H319" i="49"/>
  <c r="P319" i="49" s="1"/>
  <c r="I318" i="49"/>
  <c r="Q318" i="49" s="1"/>
  <c r="H318" i="49"/>
  <c r="P318" i="49" s="1"/>
  <c r="I317" i="49"/>
  <c r="Q317" i="49" s="1"/>
  <c r="H317" i="49"/>
  <c r="P317" i="49" s="1"/>
  <c r="I316" i="49"/>
  <c r="Q316" i="49" s="1"/>
  <c r="H316" i="49"/>
  <c r="P316" i="49" s="1"/>
  <c r="I315" i="49"/>
  <c r="Q315" i="49" s="1"/>
  <c r="H315" i="49"/>
  <c r="P315" i="49" s="1"/>
  <c r="I314" i="49"/>
  <c r="Q314" i="49" s="1"/>
  <c r="H314" i="49"/>
  <c r="P314" i="49" s="1"/>
  <c r="I313" i="49"/>
  <c r="Q313" i="49" s="1"/>
  <c r="H313" i="49"/>
  <c r="P313" i="49" s="1"/>
  <c r="I312" i="49"/>
  <c r="Q312" i="49" s="1"/>
  <c r="H312" i="49"/>
  <c r="P312" i="49" s="1"/>
  <c r="I311" i="49"/>
  <c r="Q311" i="49" s="1"/>
  <c r="H311" i="49"/>
  <c r="P311" i="49" s="1"/>
  <c r="I310" i="49"/>
  <c r="Q310" i="49" s="1"/>
  <c r="H310" i="49"/>
  <c r="P310" i="49" s="1"/>
  <c r="I309" i="49"/>
  <c r="Q309" i="49" s="1"/>
  <c r="H309" i="49"/>
  <c r="P309" i="49" s="1"/>
  <c r="I308" i="49"/>
  <c r="Q308" i="49" s="1"/>
  <c r="H308" i="49"/>
  <c r="P308" i="49" s="1"/>
  <c r="I307" i="49"/>
  <c r="Q307" i="49" s="1"/>
  <c r="H307" i="49"/>
  <c r="P307" i="49" s="1"/>
  <c r="I306" i="49"/>
  <c r="Q306" i="49" s="1"/>
  <c r="H306" i="49"/>
  <c r="P306" i="49" s="1"/>
  <c r="I305" i="49"/>
  <c r="Q305" i="49" s="1"/>
  <c r="H305" i="49"/>
  <c r="P305" i="49" s="1"/>
  <c r="I304" i="49"/>
  <c r="Q304" i="49" s="1"/>
  <c r="H304" i="49"/>
  <c r="P304" i="49" s="1"/>
  <c r="I303" i="49"/>
  <c r="Q303" i="49" s="1"/>
  <c r="H303" i="49"/>
  <c r="P303" i="49" s="1"/>
  <c r="I302" i="49"/>
  <c r="Q302" i="49" s="1"/>
  <c r="H302" i="49"/>
  <c r="P302" i="49" s="1"/>
  <c r="I301" i="49"/>
  <c r="Q301" i="49" s="1"/>
  <c r="H301" i="49"/>
  <c r="P301" i="49" s="1"/>
  <c r="I300" i="49"/>
  <c r="Q300" i="49" s="1"/>
  <c r="H300" i="49"/>
  <c r="P300" i="49" s="1"/>
  <c r="I299" i="49"/>
  <c r="Q299" i="49" s="1"/>
  <c r="H299" i="49"/>
  <c r="P299" i="49" s="1"/>
  <c r="I298" i="49"/>
  <c r="Q298" i="49" s="1"/>
  <c r="H298" i="49"/>
  <c r="P298" i="49" s="1"/>
  <c r="I297" i="49"/>
  <c r="Q297" i="49" s="1"/>
  <c r="H297" i="49"/>
  <c r="P297" i="49" s="1"/>
  <c r="I296" i="49"/>
  <c r="Q296" i="49" s="1"/>
  <c r="H296" i="49"/>
  <c r="P296" i="49" s="1"/>
  <c r="I295" i="49"/>
  <c r="Q295" i="49" s="1"/>
  <c r="H295" i="49"/>
  <c r="P295" i="49" s="1"/>
  <c r="I294" i="49"/>
  <c r="Q294" i="49" s="1"/>
  <c r="H294" i="49"/>
  <c r="P294" i="49" s="1"/>
  <c r="I293" i="49"/>
  <c r="Q293" i="49" s="1"/>
  <c r="H293" i="49"/>
  <c r="P293" i="49" s="1"/>
  <c r="I292" i="49"/>
  <c r="Q292" i="49" s="1"/>
  <c r="H292" i="49"/>
  <c r="P292" i="49" s="1"/>
  <c r="I291" i="49"/>
  <c r="Q291" i="49" s="1"/>
  <c r="H291" i="49"/>
  <c r="P291" i="49" s="1"/>
  <c r="I290" i="49"/>
  <c r="Q290" i="49" s="1"/>
  <c r="H290" i="49"/>
  <c r="P290" i="49" s="1"/>
  <c r="I289" i="49"/>
  <c r="Q289" i="49" s="1"/>
  <c r="H289" i="49"/>
  <c r="P289" i="49" s="1"/>
  <c r="I288" i="49"/>
  <c r="Q288" i="49" s="1"/>
  <c r="H288" i="49"/>
  <c r="P288" i="49" s="1"/>
  <c r="I287" i="49"/>
  <c r="Q287" i="49" s="1"/>
  <c r="H287" i="49"/>
  <c r="P287" i="49" s="1"/>
  <c r="I286" i="49"/>
  <c r="Q286" i="49" s="1"/>
  <c r="H286" i="49"/>
  <c r="P286" i="49" s="1"/>
  <c r="I285" i="49"/>
  <c r="Q285" i="49" s="1"/>
  <c r="H285" i="49"/>
  <c r="P285" i="49" s="1"/>
  <c r="I284" i="49"/>
  <c r="Q284" i="49" s="1"/>
  <c r="H284" i="49"/>
  <c r="P284" i="49" s="1"/>
  <c r="I283" i="49"/>
  <c r="Q283" i="49" s="1"/>
  <c r="H283" i="49"/>
  <c r="P283" i="49" s="1"/>
  <c r="I282" i="49"/>
  <c r="Q282" i="49" s="1"/>
  <c r="H282" i="49"/>
  <c r="P282" i="49" s="1"/>
  <c r="I281" i="49"/>
  <c r="Q281" i="49" s="1"/>
  <c r="H281" i="49"/>
  <c r="P281" i="49" s="1"/>
  <c r="I280" i="49"/>
  <c r="Q280" i="49" s="1"/>
  <c r="H280" i="49"/>
  <c r="P280" i="49" s="1"/>
  <c r="I279" i="49"/>
  <c r="Q279" i="49" s="1"/>
  <c r="H279" i="49"/>
  <c r="P279" i="49" s="1"/>
  <c r="I278" i="49"/>
  <c r="Q278" i="49" s="1"/>
  <c r="H278" i="49"/>
  <c r="P278" i="49" s="1"/>
  <c r="I277" i="49"/>
  <c r="Q277" i="49" s="1"/>
  <c r="H277" i="49"/>
  <c r="P277" i="49" s="1"/>
  <c r="I276" i="49"/>
  <c r="Q276" i="49" s="1"/>
  <c r="H276" i="49"/>
  <c r="P276" i="49" s="1"/>
  <c r="I275" i="49"/>
  <c r="Q275" i="49" s="1"/>
  <c r="H275" i="49"/>
  <c r="P275" i="49" s="1"/>
  <c r="I274" i="49"/>
  <c r="Q274" i="49" s="1"/>
  <c r="H274" i="49"/>
  <c r="P274" i="49" s="1"/>
  <c r="I273" i="49"/>
  <c r="Q273" i="49" s="1"/>
  <c r="H273" i="49"/>
  <c r="P273" i="49" s="1"/>
  <c r="I272" i="49"/>
  <c r="Q272" i="49" s="1"/>
  <c r="H272" i="49"/>
  <c r="I271" i="49"/>
  <c r="Q271" i="49" s="1"/>
  <c r="H271" i="49"/>
  <c r="P271" i="49" s="1"/>
  <c r="I270" i="49"/>
  <c r="Q270" i="49" s="1"/>
  <c r="H270" i="49"/>
  <c r="P270" i="49" s="1"/>
  <c r="I269" i="49"/>
  <c r="Q269" i="49" s="1"/>
  <c r="H269" i="49"/>
  <c r="P269" i="49" s="1"/>
  <c r="I268" i="49"/>
  <c r="Q268" i="49" s="1"/>
  <c r="H268" i="49"/>
  <c r="P268" i="49" s="1"/>
  <c r="I267" i="49"/>
  <c r="Q267" i="49" s="1"/>
  <c r="H267" i="49"/>
  <c r="P267" i="49" s="1"/>
  <c r="I265" i="49"/>
  <c r="Q265" i="49" s="1"/>
  <c r="H265" i="49"/>
  <c r="P265" i="49" s="1"/>
  <c r="I264" i="49"/>
  <c r="Q264" i="49" s="1"/>
  <c r="H264" i="49"/>
  <c r="P264" i="49" s="1"/>
  <c r="I263" i="49"/>
  <c r="Q263" i="49" s="1"/>
  <c r="H263" i="49"/>
  <c r="I262" i="49"/>
  <c r="Q262" i="49" s="1"/>
  <c r="H262" i="49"/>
  <c r="P262" i="49" s="1"/>
  <c r="I261" i="49"/>
  <c r="Q261" i="49" s="1"/>
  <c r="H261" i="49"/>
  <c r="P261" i="49" s="1"/>
  <c r="I260" i="49"/>
  <c r="Q260" i="49" s="1"/>
  <c r="H260" i="49"/>
  <c r="P260" i="49" s="1"/>
  <c r="I259" i="49"/>
  <c r="Q259" i="49" s="1"/>
  <c r="H259" i="49"/>
  <c r="P259" i="49" s="1"/>
  <c r="I258" i="49"/>
  <c r="Q258" i="49" s="1"/>
  <c r="H258" i="49"/>
  <c r="P258" i="49" s="1"/>
  <c r="I257" i="49"/>
  <c r="Q257" i="49" s="1"/>
  <c r="H257" i="49"/>
  <c r="P257" i="49" s="1"/>
  <c r="I256" i="49"/>
  <c r="Q256" i="49" s="1"/>
  <c r="H256" i="49"/>
  <c r="P256" i="49" s="1"/>
  <c r="I255" i="49"/>
  <c r="Q255" i="49" s="1"/>
  <c r="H255" i="49"/>
  <c r="P255" i="49" s="1"/>
  <c r="I254" i="49"/>
  <c r="Q254" i="49" s="1"/>
  <c r="H254" i="49"/>
  <c r="P254" i="49" s="1"/>
  <c r="I253" i="49"/>
  <c r="Q253" i="49" s="1"/>
  <c r="H253" i="49"/>
  <c r="P253" i="49" s="1"/>
  <c r="I252" i="49"/>
  <c r="Q252" i="49" s="1"/>
  <c r="H252" i="49"/>
  <c r="P252" i="49" s="1"/>
  <c r="I251" i="49"/>
  <c r="Q251" i="49" s="1"/>
  <c r="H251" i="49"/>
  <c r="P251" i="49" s="1"/>
  <c r="I250" i="49"/>
  <c r="Q250" i="49" s="1"/>
  <c r="H250" i="49"/>
  <c r="P250" i="49" s="1"/>
  <c r="I249" i="49"/>
  <c r="Q249" i="49" s="1"/>
  <c r="H249" i="49"/>
  <c r="P249" i="49" s="1"/>
  <c r="I248" i="49"/>
  <c r="Q248" i="49" s="1"/>
  <c r="H248" i="49"/>
  <c r="P248" i="49" s="1"/>
  <c r="I247" i="49"/>
  <c r="Q247" i="49" s="1"/>
  <c r="H247" i="49"/>
  <c r="P247" i="49" s="1"/>
  <c r="H246" i="49"/>
  <c r="P246" i="49" s="1"/>
  <c r="I245" i="49"/>
  <c r="Q245" i="49" s="1"/>
  <c r="H245" i="49"/>
  <c r="P245" i="49" s="1"/>
  <c r="H244" i="49"/>
  <c r="P244" i="49" s="1"/>
  <c r="I243" i="49"/>
  <c r="Q243" i="49" s="1"/>
  <c r="H243" i="49"/>
  <c r="P243" i="49" s="1"/>
  <c r="I242" i="49"/>
  <c r="Q242" i="49" s="1"/>
  <c r="H242" i="49"/>
  <c r="P242" i="49" s="1"/>
  <c r="I241" i="49"/>
  <c r="Q241" i="49" s="1"/>
  <c r="H241" i="49"/>
  <c r="P241" i="49" s="1"/>
  <c r="I240" i="49"/>
  <c r="Q240" i="49" s="1"/>
  <c r="H240" i="49"/>
  <c r="P240" i="49" s="1"/>
  <c r="I239" i="49"/>
  <c r="Q239" i="49" s="1"/>
  <c r="H239" i="49"/>
  <c r="P239" i="49" s="1"/>
  <c r="I194" i="49"/>
  <c r="H194" i="49"/>
  <c r="P194" i="49" s="1"/>
  <c r="I213" i="49"/>
  <c r="Q213" i="49" s="1"/>
  <c r="H213" i="49"/>
  <c r="P213" i="49" s="1"/>
  <c r="I212" i="49"/>
  <c r="Q212" i="49" s="1"/>
  <c r="H212" i="49"/>
  <c r="P212" i="49" s="1"/>
  <c r="I211" i="49"/>
  <c r="Q211" i="49" s="1"/>
  <c r="H211" i="49"/>
  <c r="P211" i="49" s="1"/>
  <c r="I210" i="49"/>
  <c r="Q210" i="49" s="1"/>
  <c r="H210" i="49"/>
  <c r="P210" i="49" s="1"/>
  <c r="I209" i="49"/>
  <c r="Q209" i="49" s="1"/>
  <c r="H209" i="49"/>
  <c r="P209" i="49" s="1"/>
  <c r="I208" i="49"/>
  <c r="Q208" i="49" s="1"/>
  <c r="H208" i="49"/>
  <c r="P208" i="49" s="1"/>
  <c r="I207" i="49"/>
  <c r="Q207" i="49" s="1"/>
  <c r="H207" i="49"/>
  <c r="P207" i="49" s="1"/>
  <c r="I206" i="49"/>
  <c r="Q206" i="49" s="1"/>
  <c r="H206" i="49"/>
  <c r="P206" i="49" s="1"/>
  <c r="H190" i="49"/>
  <c r="P190" i="49" s="1"/>
  <c r="I205" i="49"/>
  <c r="Q205" i="49" s="1"/>
  <c r="H205" i="49"/>
  <c r="P205" i="49" s="1"/>
  <c r="I204" i="49"/>
  <c r="Q204" i="49" s="1"/>
  <c r="H204" i="49"/>
  <c r="P204" i="49" s="1"/>
  <c r="I203" i="49"/>
  <c r="Q203" i="49" s="1"/>
  <c r="H203" i="49"/>
  <c r="P203" i="49" s="1"/>
  <c r="I196" i="49"/>
  <c r="H196" i="49"/>
  <c r="P196" i="49" s="1"/>
  <c r="H184" i="49"/>
  <c r="P184" i="49" s="1"/>
  <c r="H181" i="49"/>
  <c r="P181" i="49" s="1"/>
  <c r="H187" i="49"/>
  <c r="P187" i="49" s="1"/>
  <c r="I238" i="49"/>
  <c r="Q238" i="49" s="1"/>
  <c r="H238" i="49"/>
  <c r="P238" i="49" s="1"/>
  <c r="I237" i="49"/>
  <c r="Q237" i="49" s="1"/>
  <c r="H237" i="49"/>
  <c r="P237" i="49" s="1"/>
  <c r="I236" i="49"/>
  <c r="Q236" i="49" s="1"/>
  <c r="H236" i="49"/>
  <c r="P236" i="49" s="1"/>
  <c r="I235" i="49"/>
  <c r="Q235" i="49" s="1"/>
  <c r="H235" i="49"/>
  <c r="P235" i="49" s="1"/>
  <c r="I234" i="49"/>
  <c r="I233" i="49"/>
  <c r="H233" i="49"/>
  <c r="P233" i="49" s="1"/>
  <c r="I232" i="49"/>
  <c r="Q232" i="49" s="1"/>
  <c r="I231" i="49"/>
  <c r="Q231" i="49" s="1"/>
  <c r="H231" i="49"/>
  <c r="P231" i="49" s="1"/>
  <c r="I230" i="49"/>
  <c r="Q230" i="49" s="1"/>
  <c r="H230" i="49"/>
  <c r="P230" i="49" s="1"/>
  <c r="I229" i="49"/>
  <c r="Q229" i="49" s="1"/>
  <c r="H229" i="49"/>
  <c r="P229" i="49" s="1"/>
  <c r="I228" i="49"/>
  <c r="H228" i="49"/>
  <c r="P228" i="49" s="1"/>
  <c r="I202" i="49"/>
  <c r="Q202" i="49" s="1"/>
  <c r="H202" i="49"/>
  <c r="P202" i="49" s="1"/>
  <c r="I201" i="49"/>
  <c r="Q201" i="49" s="1"/>
  <c r="H201" i="49"/>
  <c r="P201" i="49" s="1"/>
  <c r="H179" i="49"/>
  <c r="P179" i="49" s="1"/>
  <c r="I200" i="49"/>
  <c r="Q200" i="49" s="1"/>
  <c r="H200" i="49"/>
  <c r="P200" i="49" s="1"/>
  <c r="H178" i="49"/>
  <c r="P178" i="49" s="1"/>
  <c r="H177" i="49"/>
  <c r="P177" i="49" s="1"/>
  <c r="I199" i="49"/>
  <c r="Q199" i="49" s="1"/>
  <c r="H199" i="49"/>
  <c r="P199" i="49" s="1"/>
  <c r="I198" i="49"/>
  <c r="Q198" i="49" s="1"/>
  <c r="H198" i="49"/>
  <c r="P198" i="49" s="1"/>
  <c r="I197" i="49"/>
  <c r="Q197" i="49" s="1"/>
  <c r="H197" i="49"/>
  <c r="P197" i="49" s="1"/>
  <c r="I227" i="49"/>
  <c r="Q227" i="49" s="1"/>
  <c r="H227" i="49"/>
  <c r="P227" i="49" s="1"/>
  <c r="H226" i="49"/>
  <c r="P226" i="49" s="1"/>
  <c r="I225" i="49"/>
  <c r="Q225" i="49" s="1"/>
  <c r="H225" i="49"/>
  <c r="P225" i="49" s="1"/>
  <c r="I224" i="49"/>
  <c r="Q224" i="49" s="1"/>
  <c r="H224" i="49"/>
  <c r="P224" i="49" s="1"/>
  <c r="I223" i="49"/>
  <c r="Q223" i="49" s="1"/>
  <c r="H223" i="49"/>
  <c r="P223" i="49" s="1"/>
  <c r="H222" i="49"/>
  <c r="P222" i="49" s="1"/>
  <c r="I221" i="49"/>
  <c r="Q221" i="49" s="1"/>
  <c r="H221" i="49"/>
  <c r="P221" i="49" s="1"/>
  <c r="I220" i="49"/>
  <c r="Q220" i="49" s="1"/>
  <c r="H220" i="49"/>
  <c r="P220" i="49" s="1"/>
  <c r="H219" i="49"/>
  <c r="P219" i="49" s="1"/>
  <c r="I218" i="49"/>
  <c r="Q218" i="49" s="1"/>
  <c r="H218" i="49"/>
  <c r="P218" i="49" s="1"/>
  <c r="I217" i="49"/>
  <c r="Q217" i="49" s="1"/>
  <c r="H217" i="49"/>
  <c r="P217" i="49" s="1"/>
  <c r="I216" i="49"/>
  <c r="Q216" i="49" s="1"/>
  <c r="H216" i="49"/>
  <c r="P216" i="49" s="1"/>
  <c r="I215" i="49"/>
  <c r="Q215" i="49" s="1"/>
  <c r="H215" i="49"/>
  <c r="P215" i="49" s="1"/>
  <c r="I214" i="49"/>
  <c r="Q214" i="49" s="1"/>
  <c r="H214" i="49"/>
  <c r="P214" i="49" s="1"/>
  <c r="I175" i="49"/>
  <c r="Q175" i="49" s="1"/>
  <c r="H175" i="49"/>
  <c r="P175" i="49" s="1"/>
  <c r="I193" i="49"/>
  <c r="H193" i="49"/>
  <c r="P193" i="49" s="1"/>
  <c r="I174" i="49"/>
  <c r="Q174" i="49" s="1"/>
  <c r="H174" i="49"/>
  <c r="P174" i="49" s="1"/>
  <c r="I191" i="49"/>
  <c r="H191" i="49"/>
  <c r="P191" i="49" s="1"/>
  <c r="H188" i="49"/>
  <c r="P188" i="49" s="1"/>
  <c r="I182" i="49"/>
  <c r="H182" i="49"/>
  <c r="P182" i="49" s="1"/>
  <c r="I173" i="49"/>
  <c r="Q173" i="49" s="1"/>
  <c r="H173" i="49"/>
  <c r="P173" i="49" s="1"/>
  <c r="I172" i="49"/>
  <c r="Q172" i="49" s="1"/>
  <c r="H172" i="49"/>
  <c r="P172" i="49" s="1"/>
  <c r="H176" i="49"/>
  <c r="P176" i="49" s="1"/>
  <c r="H171" i="49"/>
  <c r="P171" i="49" s="1"/>
  <c r="H170" i="49"/>
  <c r="P170" i="49" s="1"/>
  <c r="I169" i="49"/>
  <c r="Q169" i="49" s="1"/>
  <c r="H169" i="49"/>
  <c r="P169" i="49" s="1"/>
  <c r="I167" i="49"/>
  <c r="Q167" i="49" s="1"/>
  <c r="H167" i="49"/>
  <c r="P167" i="49" s="1"/>
  <c r="I166" i="49"/>
  <c r="Q166" i="49" s="1"/>
  <c r="H166" i="49"/>
  <c r="P166" i="49" s="1"/>
  <c r="I165" i="49"/>
  <c r="Q165" i="49" s="1"/>
  <c r="H165" i="49"/>
  <c r="P165" i="49" s="1"/>
  <c r="I164" i="49"/>
  <c r="Q164" i="49" s="1"/>
  <c r="I163" i="49"/>
  <c r="Q163" i="49" s="1"/>
  <c r="H163" i="49"/>
  <c r="P163" i="49" s="1"/>
  <c r="I162" i="49"/>
  <c r="Q162" i="49" s="1"/>
  <c r="H162" i="49"/>
  <c r="P162" i="49" s="1"/>
  <c r="I161" i="49"/>
  <c r="Q161" i="49" s="1"/>
  <c r="H161" i="49"/>
  <c r="P161" i="49" s="1"/>
  <c r="I160" i="49"/>
  <c r="Q160" i="49" s="1"/>
  <c r="H160" i="49"/>
  <c r="P160" i="49" s="1"/>
  <c r="I159" i="49"/>
  <c r="Q159" i="49" s="1"/>
  <c r="H159" i="49"/>
  <c r="P159" i="49" s="1"/>
  <c r="I158" i="49"/>
  <c r="Q158" i="49" s="1"/>
  <c r="H158" i="49"/>
  <c r="P158" i="49" s="1"/>
  <c r="I157" i="49"/>
  <c r="Q157" i="49" s="1"/>
  <c r="H157" i="49"/>
  <c r="P157" i="49" s="1"/>
  <c r="I156" i="49"/>
  <c r="Q156" i="49" s="1"/>
  <c r="H156" i="49"/>
  <c r="P156" i="49" s="1"/>
  <c r="I155" i="49"/>
  <c r="Q155" i="49" s="1"/>
  <c r="H155" i="49"/>
  <c r="P155" i="49" s="1"/>
  <c r="I154" i="49"/>
  <c r="Q154" i="49" s="1"/>
  <c r="H154" i="49"/>
  <c r="P154" i="49" s="1"/>
  <c r="I153" i="49"/>
  <c r="Q153" i="49" s="1"/>
  <c r="H153" i="49"/>
  <c r="P153" i="49" s="1"/>
  <c r="I152" i="49"/>
  <c r="Q152" i="49" s="1"/>
  <c r="H152" i="49"/>
  <c r="P152" i="49" s="1"/>
  <c r="I151" i="49"/>
  <c r="Q151" i="49" s="1"/>
  <c r="H151" i="49"/>
  <c r="P151" i="49" s="1"/>
  <c r="I150" i="49"/>
  <c r="Q150" i="49" s="1"/>
  <c r="H150" i="49"/>
  <c r="P150" i="49" s="1"/>
  <c r="I149" i="49"/>
  <c r="Q149" i="49" s="1"/>
  <c r="H149" i="49"/>
  <c r="P149" i="49" s="1"/>
  <c r="I148" i="49"/>
  <c r="Q148" i="49" s="1"/>
  <c r="H148" i="49"/>
  <c r="P148" i="49" s="1"/>
  <c r="I147" i="49"/>
  <c r="Q147" i="49" s="1"/>
  <c r="H147" i="49"/>
  <c r="P147" i="49" s="1"/>
  <c r="I146" i="49"/>
  <c r="Q146" i="49" s="1"/>
  <c r="H146" i="49"/>
  <c r="P146" i="49" s="1"/>
  <c r="I145" i="49"/>
  <c r="Q145" i="49" s="1"/>
  <c r="H145" i="49"/>
  <c r="P145" i="49" s="1"/>
  <c r="I144" i="49"/>
  <c r="Q144" i="49" s="1"/>
  <c r="H144" i="49"/>
  <c r="P144" i="49" s="1"/>
  <c r="I143" i="49"/>
  <c r="Q143" i="49" s="1"/>
  <c r="H143" i="49"/>
  <c r="P143" i="49" s="1"/>
  <c r="I142" i="49"/>
  <c r="Q142" i="49" s="1"/>
  <c r="H142" i="49"/>
  <c r="P142" i="49" s="1"/>
  <c r="I141" i="49"/>
  <c r="Q141" i="49" s="1"/>
  <c r="I140" i="49"/>
  <c r="Q140" i="49" s="1"/>
  <c r="H140" i="49"/>
  <c r="P140" i="49" s="1"/>
  <c r="I139" i="49"/>
  <c r="Q139" i="49" s="1"/>
  <c r="H139" i="49"/>
  <c r="P139" i="49" s="1"/>
  <c r="I138" i="49"/>
  <c r="Q138" i="49" s="1"/>
  <c r="H138" i="49"/>
  <c r="P138" i="49" s="1"/>
  <c r="I137" i="49"/>
  <c r="Q137" i="49" s="1"/>
  <c r="H137" i="49"/>
  <c r="P137" i="49" s="1"/>
  <c r="I136" i="49"/>
  <c r="Q136" i="49" s="1"/>
  <c r="H136" i="49"/>
  <c r="P136" i="49" s="1"/>
  <c r="I135" i="49"/>
  <c r="Q135" i="49" s="1"/>
  <c r="H135" i="49"/>
  <c r="P135" i="49" s="1"/>
  <c r="I134" i="49"/>
  <c r="Q134" i="49" s="1"/>
  <c r="H134" i="49"/>
  <c r="P134" i="49" s="1"/>
  <c r="I133" i="49"/>
  <c r="Q133" i="49" s="1"/>
  <c r="H133" i="49"/>
  <c r="P133" i="49" s="1"/>
  <c r="I132" i="49"/>
  <c r="Q132" i="49" s="1"/>
  <c r="H132" i="49"/>
  <c r="P132" i="49" s="1"/>
  <c r="I131" i="49"/>
  <c r="Q131" i="49" s="1"/>
  <c r="H131" i="49"/>
  <c r="P131" i="49" s="1"/>
  <c r="I130" i="49"/>
  <c r="Q130" i="49" s="1"/>
  <c r="H130" i="49"/>
  <c r="P130" i="49" s="1"/>
  <c r="I129" i="49"/>
  <c r="Q129" i="49" s="1"/>
  <c r="H129" i="49"/>
  <c r="P129" i="49" s="1"/>
  <c r="I128" i="49"/>
  <c r="Q128" i="49" s="1"/>
  <c r="H128" i="49"/>
  <c r="P128" i="49" s="1"/>
  <c r="I127" i="49"/>
  <c r="Q127" i="49" s="1"/>
  <c r="H127" i="49"/>
  <c r="P127" i="49" s="1"/>
  <c r="I126" i="49"/>
  <c r="Q126" i="49" s="1"/>
  <c r="H126" i="49"/>
  <c r="P126" i="49" s="1"/>
  <c r="I125" i="49"/>
  <c r="Q125" i="49" s="1"/>
  <c r="H125" i="49"/>
  <c r="P125" i="49" s="1"/>
  <c r="I124" i="49"/>
  <c r="Q124" i="49" s="1"/>
  <c r="I123" i="49"/>
  <c r="Q123" i="49" s="1"/>
  <c r="H123" i="49"/>
  <c r="P123" i="49" s="1"/>
  <c r="I122" i="49"/>
  <c r="Q122" i="49" s="1"/>
  <c r="I121" i="49"/>
  <c r="Q121" i="49" s="1"/>
  <c r="H121" i="49"/>
  <c r="P121" i="49" s="1"/>
  <c r="I120" i="49"/>
  <c r="Q120" i="49" s="1"/>
  <c r="H120" i="49"/>
  <c r="P120" i="49" s="1"/>
  <c r="I119" i="49"/>
  <c r="Q119" i="49" s="1"/>
  <c r="H119" i="49"/>
  <c r="P119" i="49" s="1"/>
  <c r="I118" i="49"/>
  <c r="Q118" i="49" s="1"/>
  <c r="H118" i="49"/>
  <c r="P118" i="49" s="1"/>
  <c r="I117" i="49"/>
  <c r="Q117" i="49" s="1"/>
  <c r="H117" i="49"/>
  <c r="P117" i="49" s="1"/>
  <c r="I116" i="49"/>
  <c r="Q116" i="49" s="1"/>
  <c r="H116" i="49"/>
  <c r="P116" i="49" s="1"/>
  <c r="I115" i="49"/>
  <c r="Q115" i="49" s="1"/>
  <c r="H115" i="49"/>
  <c r="P115" i="49" s="1"/>
  <c r="I114" i="49"/>
  <c r="Q114" i="49" s="1"/>
  <c r="H114" i="49"/>
  <c r="P114" i="49" s="1"/>
  <c r="I113" i="49"/>
  <c r="Q113" i="49" s="1"/>
  <c r="H113" i="49"/>
  <c r="P113" i="49" s="1"/>
  <c r="I112" i="49"/>
  <c r="Q112" i="49" s="1"/>
  <c r="H112" i="49"/>
  <c r="P112" i="49" s="1"/>
  <c r="I111" i="49"/>
  <c r="Q111" i="49" s="1"/>
  <c r="H111" i="49"/>
  <c r="P111" i="49" s="1"/>
  <c r="I110" i="49"/>
  <c r="Q110" i="49" s="1"/>
  <c r="H110" i="49"/>
  <c r="P110" i="49" s="1"/>
  <c r="I109" i="49"/>
  <c r="Q109" i="49" s="1"/>
  <c r="H109" i="49"/>
  <c r="P109" i="49" s="1"/>
  <c r="I108" i="49"/>
  <c r="Q108" i="49" s="1"/>
  <c r="H108" i="49"/>
  <c r="P108" i="49" s="1"/>
  <c r="I107" i="49"/>
  <c r="Q107" i="49" s="1"/>
  <c r="H107" i="49"/>
  <c r="P107" i="49" s="1"/>
  <c r="I106" i="49"/>
  <c r="Q106" i="49" s="1"/>
  <c r="H106" i="49"/>
  <c r="P106" i="49" s="1"/>
  <c r="I105" i="49"/>
  <c r="Q105" i="49" s="1"/>
  <c r="H105" i="49"/>
  <c r="P105" i="49" s="1"/>
  <c r="I104" i="49"/>
  <c r="Q104" i="49" s="1"/>
  <c r="H104" i="49"/>
  <c r="P104" i="49" s="1"/>
  <c r="I103" i="49"/>
  <c r="Q103" i="49" s="1"/>
  <c r="H103" i="49"/>
  <c r="P103" i="49" s="1"/>
  <c r="I102" i="49"/>
  <c r="Q102" i="49" s="1"/>
  <c r="H102" i="49"/>
  <c r="P102" i="49" s="1"/>
  <c r="I101" i="49"/>
  <c r="Q101" i="49" s="1"/>
  <c r="H101" i="49"/>
  <c r="P101" i="49" s="1"/>
  <c r="I99" i="49"/>
  <c r="Q99" i="49" s="1"/>
  <c r="H99" i="49"/>
  <c r="P99" i="49" s="1"/>
  <c r="I98" i="49"/>
  <c r="Q98" i="49" s="1"/>
  <c r="H98" i="49"/>
  <c r="P98" i="49" s="1"/>
  <c r="I97" i="49"/>
  <c r="Q97" i="49" s="1"/>
  <c r="H97" i="49"/>
  <c r="I96" i="49"/>
  <c r="Q96" i="49" s="1"/>
  <c r="H96" i="49"/>
  <c r="P96" i="49" s="1"/>
  <c r="I95" i="49"/>
  <c r="Q95" i="49" s="1"/>
  <c r="H95" i="49"/>
  <c r="P95" i="49" s="1"/>
  <c r="I94" i="49"/>
  <c r="Q94" i="49" s="1"/>
  <c r="H94" i="49"/>
  <c r="P94" i="49" s="1"/>
  <c r="I93" i="49"/>
  <c r="Q93" i="49" s="1"/>
  <c r="H93" i="49"/>
  <c r="I92" i="49"/>
  <c r="Q92" i="49" s="1"/>
  <c r="I91" i="49"/>
  <c r="Q91" i="49" s="1"/>
  <c r="I89" i="49"/>
  <c r="Q89" i="49" s="1"/>
  <c r="H89" i="49"/>
  <c r="P89" i="49" s="1"/>
  <c r="I88" i="49"/>
  <c r="Q88" i="49" s="1"/>
  <c r="H88" i="49"/>
  <c r="P88" i="49" s="1"/>
  <c r="I87" i="49"/>
  <c r="Q87" i="49" s="1"/>
  <c r="H87" i="49"/>
  <c r="P87" i="49" s="1"/>
  <c r="I86" i="49"/>
  <c r="Q86" i="49" s="1"/>
  <c r="H86" i="49"/>
  <c r="P86" i="49" s="1"/>
  <c r="I85" i="49"/>
  <c r="Q85" i="49" s="1"/>
  <c r="H85" i="49"/>
  <c r="P85" i="49" s="1"/>
  <c r="I84" i="49"/>
  <c r="Q84" i="49" s="1"/>
  <c r="H84" i="49"/>
  <c r="P84" i="49" s="1"/>
  <c r="I83" i="49"/>
  <c r="Q83" i="49" s="1"/>
  <c r="H83" i="49"/>
  <c r="P83" i="49" s="1"/>
  <c r="I82" i="49"/>
  <c r="Q82" i="49" s="1"/>
  <c r="H82" i="49"/>
  <c r="P82" i="49" s="1"/>
  <c r="I81" i="49"/>
  <c r="Q81" i="49" s="1"/>
  <c r="H81" i="49"/>
  <c r="P81" i="49" s="1"/>
  <c r="I80" i="49"/>
  <c r="Q80" i="49" s="1"/>
  <c r="H80" i="49"/>
  <c r="P80" i="49" s="1"/>
  <c r="I79" i="49"/>
  <c r="Q79" i="49" s="1"/>
  <c r="H79" i="49"/>
  <c r="P79" i="49" s="1"/>
  <c r="I78" i="49"/>
  <c r="Q78" i="49" s="1"/>
  <c r="H78" i="49"/>
  <c r="P78" i="49" s="1"/>
  <c r="I77" i="49"/>
  <c r="Q77" i="49" s="1"/>
  <c r="H77" i="49"/>
  <c r="P77" i="49" s="1"/>
  <c r="I76" i="49"/>
  <c r="Q76" i="49" s="1"/>
  <c r="H76" i="49"/>
  <c r="P76" i="49" s="1"/>
  <c r="I75" i="49"/>
  <c r="Q75" i="49" s="1"/>
  <c r="H75" i="49"/>
  <c r="P75" i="49" s="1"/>
  <c r="I74" i="49"/>
  <c r="Q74" i="49" s="1"/>
  <c r="H74" i="49"/>
  <c r="P74" i="49" s="1"/>
  <c r="I73" i="49"/>
  <c r="Q73" i="49" s="1"/>
  <c r="H73" i="49"/>
  <c r="P73" i="49" s="1"/>
  <c r="I72" i="49"/>
  <c r="Q72" i="49" s="1"/>
  <c r="H72" i="49"/>
  <c r="P72" i="49" s="1"/>
  <c r="I71" i="49"/>
  <c r="Q71" i="49" s="1"/>
  <c r="H71" i="49"/>
  <c r="P71" i="49" s="1"/>
  <c r="I70" i="49"/>
  <c r="Q70" i="49" s="1"/>
  <c r="H70" i="49"/>
  <c r="P70" i="49" s="1"/>
  <c r="I69" i="49"/>
  <c r="Q69" i="49" s="1"/>
  <c r="H69" i="49"/>
  <c r="P69" i="49" s="1"/>
  <c r="I68" i="49"/>
  <c r="Q68" i="49" s="1"/>
  <c r="H68" i="49"/>
  <c r="P68" i="49" s="1"/>
  <c r="I67" i="49"/>
  <c r="Q67" i="49" s="1"/>
  <c r="H67" i="49"/>
  <c r="P67" i="49" s="1"/>
  <c r="I66" i="49"/>
  <c r="Q66" i="49" s="1"/>
  <c r="H66" i="49"/>
  <c r="P66" i="49" s="1"/>
  <c r="I65" i="49"/>
  <c r="Q65" i="49" s="1"/>
  <c r="H65" i="49"/>
  <c r="P65" i="49" s="1"/>
  <c r="I64" i="49"/>
  <c r="Q64" i="49" s="1"/>
  <c r="H64" i="49"/>
  <c r="P64" i="49" s="1"/>
  <c r="I63" i="49"/>
  <c r="Q63" i="49" s="1"/>
  <c r="H63" i="49"/>
  <c r="P63" i="49" s="1"/>
  <c r="I62" i="49"/>
  <c r="Q62" i="49" s="1"/>
  <c r="H62" i="49"/>
  <c r="P62" i="49" s="1"/>
  <c r="I61" i="49"/>
  <c r="Q61" i="49" s="1"/>
  <c r="H61" i="49"/>
  <c r="P61" i="49" s="1"/>
  <c r="I60" i="49"/>
  <c r="Q60" i="49" s="1"/>
  <c r="H60" i="49"/>
  <c r="P60" i="49" s="1"/>
  <c r="I59" i="49"/>
  <c r="Q59" i="49" s="1"/>
  <c r="H59" i="49"/>
  <c r="P59" i="49" s="1"/>
  <c r="I58" i="49"/>
  <c r="Q58" i="49" s="1"/>
  <c r="H58" i="49"/>
  <c r="P58" i="49" s="1"/>
  <c r="I57" i="49"/>
  <c r="Q57" i="49" s="1"/>
  <c r="H57" i="49"/>
  <c r="P57" i="49" s="1"/>
  <c r="I56" i="49"/>
  <c r="Q56" i="49" s="1"/>
  <c r="H56" i="49"/>
  <c r="P56" i="49" s="1"/>
  <c r="I55" i="49"/>
  <c r="Q55" i="49" s="1"/>
  <c r="H55" i="49"/>
  <c r="P55" i="49" s="1"/>
  <c r="I54" i="49"/>
  <c r="Q54" i="49" s="1"/>
  <c r="H54" i="49"/>
  <c r="P54" i="49" s="1"/>
  <c r="I53" i="49"/>
  <c r="Q53" i="49" s="1"/>
  <c r="H53" i="49"/>
  <c r="P53" i="49" s="1"/>
  <c r="I52" i="49"/>
  <c r="Q52" i="49" s="1"/>
  <c r="H52" i="49"/>
  <c r="P52" i="49" s="1"/>
  <c r="I51" i="49"/>
  <c r="Q51" i="49" s="1"/>
  <c r="H51" i="49"/>
  <c r="P51" i="49" s="1"/>
  <c r="I50" i="49"/>
  <c r="Q50" i="49" s="1"/>
  <c r="I49" i="49"/>
  <c r="Q49" i="49" s="1"/>
  <c r="H49" i="49"/>
  <c r="P49" i="49" s="1"/>
  <c r="I48" i="49"/>
  <c r="Q48" i="49" s="1"/>
  <c r="H48" i="49"/>
  <c r="P48" i="49" s="1"/>
  <c r="I47" i="49"/>
  <c r="Q47" i="49" s="1"/>
  <c r="H47" i="49"/>
  <c r="P47" i="49" s="1"/>
  <c r="I46" i="49"/>
  <c r="Q46" i="49" s="1"/>
  <c r="H46" i="49"/>
  <c r="P46" i="49" s="1"/>
  <c r="I45" i="49"/>
  <c r="Q45" i="49" s="1"/>
  <c r="H45" i="49"/>
  <c r="P45" i="49" s="1"/>
  <c r="I44" i="49"/>
  <c r="Q44" i="49" s="1"/>
  <c r="H44" i="49"/>
  <c r="P44" i="49" s="1"/>
  <c r="I43" i="49"/>
  <c r="Q43" i="49" s="1"/>
  <c r="H43" i="49"/>
  <c r="P43" i="49" s="1"/>
  <c r="I42" i="49"/>
  <c r="Q42" i="49" s="1"/>
  <c r="H42" i="49"/>
  <c r="P42" i="49" s="1"/>
  <c r="I41" i="49"/>
  <c r="Q41" i="49" s="1"/>
  <c r="H41" i="49"/>
  <c r="P41" i="49" s="1"/>
  <c r="I40" i="49"/>
  <c r="Q40" i="49" s="1"/>
  <c r="H40" i="49"/>
  <c r="P40" i="49" s="1"/>
  <c r="I39" i="49"/>
  <c r="Q39" i="49" s="1"/>
  <c r="H39" i="49"/>
  <c r="P39" i="49" s="1"/>
  <c r="I38" i="49"/>
  <c r="Q38" i="49" s="1"/>
  <c r="H38" i="49"/>
  <c r="P38" i="49" s="1"/>
  <c r="I37" i="49"/>
  <c r="Q37" i="49" s="1"/>
  <c r="H37" i="49"/>
  <c r="P37" i="49" s="1"/>
  <c r="I36" i="49"/>
  <c r="Q36" i="49" s="1"/>
  <c r="H36" i="49"/>
  <c r="P36" i="49" s="1"/>
  <c r="I35" i="49"/>
  <c r="Q35" i="49" s="1"/>
  <c r="H35" i="49"/>
  <c r="P35" i="49" s="1"/>
  <c r="I34" i="49"/>
  <c r="Q34" i="49" s="1"/>
  <c r="H34" i="49"/>
  <c r="P34" i="49" s="1"/>
  <c r="I33" i="49"/>
  <c r="Q33" i="49" s="1"/>
  <c r="H33" i="49"/>
  <c r="P33" i="49" s="1"/>
  <c r="I32" i="49"/>
  <c r="Q32" i="49" s="1"/>
  <c r="H32" i="49"/>
  <c r="P32" i="49" s="1"/>
  <c r="I31" i="49"/>
  <c r="Q31" i="49" s="1"/>
  <c r="H31" i="49"/>
  <c r="P31" i="49" s="1"/>
  <c r="I30" i="49"/>
  <c r="Q30" i="49" s="1"/>
  <c r="H30" i="49"/>
  <c r="P30" i="49" s="1"/>
  <c r="I29" i="49"/>
  <c r="Q29" i="49" s="1"/>
  <c r="H29" i="49"/>
  <c r="P29" i="49" s="1"/>
  <c r="I28" i="49"/>
  <c r="Q28" i="49" s="1"/>
  <c r="H28" i="49"/>
  <c r="P28" i="49" s="1"/>
  <c r="I27" i="49"/>
  <c r="Q27" i="49" s="1"/>
  <c r="H27" i="49"/>
  <c r="P27" i="49" s="1"/>
  <c r="I26" i="49"/>
  <c r="Q26" i="49" s="1"/>
  <c r="H26" i="49"/>
  <c r="P26" i="49" s="1"/>
  <c r="I25" i="49"/>
  <c r="Q25" i="49" s="1"/>
  <c r="H25" i="49"/>
  <c r="P25" i="49" s="1"/>
  <c r="I24" i="49"/>
  <c r="Q24" i="49" s="1"/>
  <c r="H24" i="49"/>
  <c r="I23" i="49"/>
  <c r="Q23" i="49" s="1"/>
  <c r="H23" i="49"/>
  <c r="I22" i="49"/>
  <c r="Q22" i="49" s="1"/>
  <c r="H22" i="49"/>
  <c r="P22" i="49" s="1"/>
  <c r="I21" i="49"/>
  <c r="Q21" i="49" s="1"/>
  <c r="H21" i="49"/>
  <c r="P21" i="49" s="1"/>
  <c r="I20" i="49"/>
  <c r="Q20" i="49" s="1"/>
  <c r="H20" i="49"/>
  <c r="P20" i="49" s="1"/>
  <c r="I19" i="49"/>
  <c r="Q19" i="49" s="1"/>
  <c r="H19" i="49"/>
  <c r="P19" i="49" s="1"/>
  <c r="I18" i="49"/>
  <c r="Q18" i="49" s="1"/>
  <c r="H18" i="49"/>
  <c r="P18" i="49" s="1"/>
  <c r="I17" i="49"/>
  <c r="Q17" i="49" s="1"/>
  <c r="H17" i="49"/>
  <c r="P17" i="49" s="1"/>
  <c r="I16" i="49"/>
  <c r="Q16" i="49" s="1"/>
  <c r="I15" i="49"/>
  <c r="Q15" i="49" s="1"/>
  <c r="H15" i="49"/>
  <c r="P15" i="49" s="1"/>
  <c r="I14" i="49"/>
  <c r="Q14" i="49" s="1"/>
  <c r="I13" i="49"/>
  <c r="Q13" i="49" s="1"/>
  <c r="H13" i="49"/>
  <c r="P13" i="49" s="1"/>
  <c r="I12" i="49"/>
  <c r="Q12" i="49" s="1"/>
  <c r="I11" i="49"/>
  <c r="Q11" i="49" s="1"/>
  <c r="I10" i="49"/>
  <c r="Q10" i="49" s="1"/>
  <c r="H10" i="49"/>
  <c r="P10" i="49" s="1"/>
  <c r="I9" i="49"/>
  <c r="Q9" i="49" s="1"/>
  <c r="H9" i="49"/>
  <c r="P9" i="49" s="1"/>
  <c r="I8" i="49"/>
  <c r="Q8" i="49" s="1"/>
  <c r="H8" i="49"/>
  <c r="P8" i="49" s="1"/>
  <c r="I7" i="49"/>
  <c r="Q7" i="49" s="1"/>
  <c r="H7" i="49"/>
  <c r="P7" i="49" s="1"/>
  <c r="I6" i="49"/>
  <c r="Q6" i="49" s="1"/>
  <c r="H6" i="49"/>
  <c r="P6" i="49" s="1"/>
  <c r="I5" i="49"/>
  <c r="Q5" i="49" s="1"/>
  <c r="H5" i="49"/>
  <c r="P5" i="49" s="1"/>
  <c r="I4" i="49"/>
  <c r="H4" i="49"/>
  <c r="F3" i="49"/>
  <c r="E3" i="49"/>
  <c r="C3" i="49"/>
  <c r="B3" i="49"/>
  <c r="P23" i="49" l="1"/>
  <c r="P93" i="49"/>
  <c r="P97" i="49"/>
  <c r="Q234" i="49"/>
  <c r="P91" i="49"/>
  <c r="Q191" i="49"/>
  <c r="Q193" i="49"/>
  <c r="Q196" i="49"/>
  <c r="P263" i="49"/>
  <c r="P272" i="49"/>
  <c r="P348" i="49"/>
  <c r="J8" i="49"/>
  <c r="P4" i="49"/>
  <c r="P24" i="49"/>
  <c r="Q182" i="49"/>
  <c r="Q228" i="49"/>
  <c r="Q194" i="49"/>
  <c r="Q4" i="49"/>
  <c r="Q233" i="49"/>
  <c r="P347" i="49"/>
  <c r="D31" i="49"/>
  <c r="H3" i="49"/>
  <c r="I3" i="49"/>
  <c r="F2" i="49"/>
  <c r="C2" i="49"/>
  <c r="P431" i="36"/>
  <c r="O431" i="36"/>
  <c r="P430" i="36"/>
  <c r="O430" i="36"/>
  <c r="P429" i="36"/>
  <c r="O429" i="36"/>
  <c r="P428" i="36"/>
  <c r="O428" i="36"/>
  <c r="P427" i="36"/>
  <c r="O427" i="36"/>
  <c r="P426" i="36"/>
  <c r="O426" i="36"/>
  <c r="P425" i="36"/>
  <c r="O425" i="36"/>
  <c r="P424" i="36"/>
  <c r="O424" i="36"/>
  <c r="P423" i="36"/>
  <c r="O423" i="36"/>
  <c r="P422" i="36"/>
  <c r="O422" i="36"/>
  <c r="P421" i="36"/>
  <c r="O421" i="36"/>
  <c r="P420" i="36"/>
  <c r="O420" i="36"/>
  <c r="P419" i="36"/>
  <c r="O419" i="36"/>
  <c r="P418" i="36"/>
  <c r="O418" i="36"/>
  <c r="P417" i="36"/>
  <c r="O417" i="36"/>
  <c r="P416" i="36"/>
  <c r="O416" i="36"/>
  <c r="P415" i="36"/>
  <c r="O415" i="36"/>
  <c r="P414" i="36"/>
  <c r="O414" i="36"/>
  <c r="P413" i="36"/>
  <c r="O413" i="36"/>
  <c r="P412" i="36"/>
  <c r="O412" i="36"/>
  <c r="P411" i="36"/>
  <c r="O411" i="36"/>
  <c r="P410" i="36"/>
  <c r="O410" i="36"/>
  <c r="P409" i="36"/>
  <c r="O409" i="36"/>
  <c r="P408" i="36"/>
  <c r="O408" i="36"/>
  <c r="P407" i="36"/>
  <c r="O407" i="36"/>
  <c r="P406" i="36"/>
  <c r="O406" i="36"/>
  <c r="P405" i="36"/>
  <c r="O405" i="36"/>
  <c r="P404" i="36"/>
  <c r="O404" i="36"/>
  <c r="P403" i="36"/>
  <c r="O403" i="36"/>
  <c r="P402" i="36"/>
  <c r="O402" i="36"/>
  <c r="P401" i="36"/>
  <c r="O401" i="36"/>
  <c r="P400" i="36"/>
  <c r="O400" i="36"/>
  <c r="P399" i="36"/>
  <c r="O399" i="36"/>
  <c r="P398" i="36"/>
  <c r="O398" i="36"/>
  <c r="P397" i="36"/>
  <c r="O397" i="36"/>
  <c r="P396" i="36"/>
  <c r="O396" i="36"/>
  <c r="P395" i="36"/>
  <c r="O395" i="36"/>
  <c r="P394" i="36"/>
  <c r="O394" i="36"/>
  <c r="P393" i="36"/>
  <c r="O393" i="36"/>
  <c r="P392" i="36"/>
  <c r="O392" i="36"/>
  <c r="P391" i="36"/>
  <c r="O391" i="36"/>
  <c r="P390" i="36"/>
  <c r="O390" i="36"/>
  <c r="P389" i="36"/>
  <c r="O389" i="36"/>
  <c r="P388" i="36"/>
  <c r="O388" i="36"/>
  <c r="P387" i="36"/>
  <c r="O387" i="36"/>
  <c r="P386" i="36"/>
  <c r="O386" i="36"/>
  <c r="P385" i="36"/>
  <c r="O385" i="36"/>
  <c r="P384" i="36"/>
  <c r="O384" i="36"/>
  <c r="P383" i="36"/>
  <c r="O383" i="36"/>
  <c r="P382" i="36"/>
  <c r="O382" i="36"/>
  <c r="P381" i="36"/>
  <c r="O381" i="36"/>
  <c r="P380" i="36"/>
  <c r="O380" i="36"/>
  <c r="P379" i="36"/>
  <c r="O379" i="36"/>
  <c r="P378" i="36"/>
  <c r="O378" i="36"/>
  <c r="P377" i="36"/>
  <c r="O377" i="36"/>
  <c r="P376" i="36"/>
  <c r="O376" i="36"/>
  <c r="P375" i="36"/>
  <c r="O375" i="36"/>
  <c r="P374" i="36"/>
  <c r="O374" i="36"/>
  <c r="P373" i="36"/>
  <c r="O373" i="36"/>
  <c r="P372" i="36"/>
  <c r="O372" i="36"/>
  <c r="P371" i="36"/>
  <c r="O371" i="36"/>
  <c r="P370" i="36"/>
  <c r="O370" i="36"/>
  <c r="P369" i="36"/>
  <c r="O369" i="36"/>
  <c r="P368" i="36"/>
  <c r="O368" i="36"/>
  <c r="P367" i="36"/>
  <c r="O367" i="36"/>
  <c r="P366" i="36"/>
  <c r="O366" i="36"/>
  <c r="P365" i="36"/>
  <c r="O365" i="36"/>
  <c r="P364" i="36"/>
  <c r="O364" i="36"/>
  <c r="P363" i="36"/>
  <c r="O363" i="36"/>
  <c r="P362" i="36"/>
  <c r="O362" i="36"/>
  <c r="P361" i="36"/>
  <c r="O361" i="36"/>
  <c r="P360" i="36"/>
  <c r="O360" i="36"/>
  <c r="P359" i="36"/>
  <c r="O359" i="36"/>
  <c r="P358" i="36"/>
  <c r="O358" i="36"/>
  <c r="P357" i="36"/>
  <c r="O357" i="36"/>
  <c r="P356" i="36"/>
  <c r="O356" i="36"/>
  <c r="P355" i="36"/>
  <c r="O355" i="36"/>
  <c r="P354" i="36"/>
  <c r="O354" i="36"/>
  <c r="P353" i="36"/>
  <c r="O353" i="36"/>
  <c r="P352" i="36"/>
  <c r="O352" i="36"/>
  <c r="P351" i="36"/>
  <c r="O351" i="36"/>
  <c r="P350" i="36"/>
  <c r="O350" i="36"/>
  <c r="P349" i="36"/>
  <c r="O349" i="36"/>
  <c r="P348" i="36"/>
  <c r="O348" i="36"/>
  <c r="P347" i="36"/>
  <c r="O347" i="36"/>
  <c r="P346" i="36"/>
  <c r="O346" i="36"/>
  <c r="P345" i="36"/>
  <c r="O345" i="36"/>
  <c r="P344" i="36"/>
  <c r="O344" i="36"/>
  <c r="P343" i="36"/>
  <c r="O343" i="36"/>
  <c r="P342" i="36"/>
  <c r="O342" i="36"/>
  <c r="P341" i="36"/>
  <c r="O341" i="36"/>
  <c r="P340" i="36"/>
  <c r="O340" i="36"/>
  <c r="P339" i="36"/>
  <c r="O339" i="36"/>
  <c r="P338" i="36"/>
  <c r="O338" i="36"/>
  <c r="P337" i="36"/>
  <c r="O337" i="36"/>
  <c r="P336" i="36"/>
  <c r="O336" i="36"/>
  <c r="P335" i="36"/>
  <c r="O335" i="36"/>
  <c r="P334" i="36"/>
  <c r="O334" i="36"/>
  <c r="P333" i="36"/>
  <c r="O333" i="36"/>
  <c r="P332" i="36"/>
  <c r="O332" i="36"/>
  <c r="P331" i="36"/>
  <c r="O331" i="36"/>
  <c r="P330" i="36"/>
  <c r="O330" i="36"/>
  <c r="P329" i="36"/>
  <c r="O329" i="36"/>
  <c r="P328" i="36"/>
  <c r="O328" i="36"/>
  <c r="P327" i="36"/>
  <c r="O327" i="36"/>
  <c r="P326" i="36"/>
  <c r="O326" i="36"/>
  <c r="P325" i="36"/>
  <c r="O325" i="36"/>
  <c r="P324" i="36"/>
  <c r="O324" i="36"/>
  <c r="P323" i="36"/>
  <c r="O323" i="36"/>
  <c r="P322" i="36"/>
  <c r="O322" i="36"/>
  <c r="P321" i="36"/>
  <c r="O321" i="36"/>
  <c r="P320" i="36"/>
  <c r="O320" i="36"/>
  <c r="P319" i="36"/>
  <c r="O319" i="36"/>
  <c r="P318" i="36"/>
  <c r="O318" i="36"/>
  <c r="P317" i="36"/>
  <c r="O317" i="36"/>
  <c r="P316" i="36"/>
  <c r="O316" i="36"/>
  <c r="P315" i="36"/>
  <c r="O315" i="36"/>
  <c r="P314" i="36"/>
  <c r="O314" i="36"/>
  <c r="P313" i="36"/>
  <c r="O313" i="36"/>
  <c r="P312" i="36"/>
  <c r="O312" i="36"/>
  <c r="P311" i="36"/>
  <c r="O311" i="36"/>
  <c r="P310" i="36"/>
  <c r="O310" i="36"/>
  <c r="P309" i="36"/>
  <c r="O309" i="36"/>
  <c r="P308" i="36"/>
  <c r="O308" i="36"/>
  <c r="P307" i="36"/>
  <c r="O307" i="36"/>
  <c r="P306" i="36"/>
  <c r="O306" i="36"/>
  <c r="P305" i="36"/>
  <c r="O305" i="36"/>
  <c r="P304" i="36"/>
  <c r="O304" i="36"/>
  <c r="P303" i="36"/>
  <c r="O303" i="36"/>
  <c r="P302" i="36"/>
  <c r="O302" i="36"/>
  <c r="P301" i="36"/>
  <c r="O301" i="36"/>
  <c r="P300" i="36"/>
  <c r="O300" i="36"/>
  <c r="P299" i="36"/>
  <c r="O299" i="36"/>
  <c r="P298" i="36"/>
  <c r="O298" i="36"/>
  <c r="P297" i="36"/>
  <c r="O297" i="36"/>
  <c r="P296" i="36"/>
  <c r="O296" i="36"/>
  <c r="P295" i="36"/>
  <c r="O295" i="36"/>
  <c r="P294" i="36"/>
  <c r="O294" i="36"/>
  <c r="P293" i="36"/>
  <c r="O293" i="36"/>
  <c r="P292" i="36"/>
  <c r="O292" i="36"/>
  <c r="P291" i="36"/>
  <c r="O291" i="36"/>
  <c r="P290" i="36"/>
  <c r="O290" i="36"/>
  <c r="P289" i="36"/>
  <c r="O289" i="36"/>
  <c r="P288" i="36"/>
  <c r="O288" i="36"/>
  <c r="P287" i="36"/>
  <c r="O287" i="36"/>
  <c r="P286" i="36"/>
  <c r="O286" i="36"/>
  <c r="P285" i="36"/>
  <c r="O285" i="36"/>
  <c r="P284" i="36"/>
  <c r="O284" i="36"/>
  <c r="P283" i="36"/>
  <c r="O283" i="36"/>
  <c r="P282" i="36"/>
  <c r="O282" i="36"/>
  <c r="P281" i="36"/>
  <c r="O281" i="36"/>
  <c r="P280" i="36"/>
  <c r="O280" i="36"/>
  <c r="P279" i="36"/>
  <c r="O279" i="36"/>
  <c r="P278" i="36"/>
  <c r="O278" i="36"/>
  <c r="P277" i="36"/>
  <c r="O277" i="36"/>
  <c r="P276" i="36"/>
  <c r="O276" i="36"/>
  <c r="P275" i="36"/>
  <c r="O275" i="36"/>
  <c r="P274" i="36"/>
  <c r="O274" i="36"/>
  <c r="P273" i="36"/>
  <c r="O273" i="36"/>
  <c r="P272" i="36"/>
  <c r="O272" i="36"/>
  <c r="P271" i="36"/>
  <c r="O271" i="36"/>
  <c r="P270" i="36"/>
  <c r="O270" i="36"/>
  <c r="P269" i="36"/>
  <c r="O269" i="36"/>
  <c r="P268" i="36"/>
  <c r="O268" i="36"/>
  <c r="P267" i="36"/>
  <c r="O267" i="36"/>
  <c r="P266" i="36"/>
  <c r="O266" i="36"/>
  <c r="P265" i="36"/>
  <c r="O265" i="36"/>
  <c r="P264" i="36"/>
  <c r="O264" i="36"/>
  <c r="P263" i="36"/>
  <c r="O263" i="36"/>
  <c r="P262" i="36"/>
  <c r="O262" i="36"/>
  <c r="P261" i="36"/>
  <c r="O261" i="36"/>
  <c r="P260" i="36"/>
  <c r="O260" i="36"/>
  <c r="P259" i="36"/>
  <c r="O259" i="36"/>
  <c r="P258" i="36"/>
  <c r="O258" i="36"/>
  <c r="P436" i="36"/>
  <c r="O436" i="36"/>
  <c r="P435" i="36"/>
  <c r="O435" i="36"/>
  <c r="P434" i="36"/>
  <c r="O434" i="36"/>
  <c r="P433" i="36"/>
  <c r="O433" i="36"/>
  <c r="P437" i="36"/>
  <c r="O437" i="36"/>
  <c r="E152" i="36"/>
  <c r="G152" i="36" s="1"/>
  <c r="F444" i="36"/>
  <c r="U444" i="36" s="1"/>
  <c r="V4" i="36"/>
  <c r="V6" i="36"/>
  <c r="V8" i="36"/>
  <c r="V10" i="36"/>
  <c r="V15" i="36"/>
  <c r="V17" i="36"/>
  <c r="V19" i="36"/>
  <c r="V21" i="36"/>
  <c r="V23" i="36"/>
  <c r="V25" i="36"/>
  <c r="V27" i="36"/>
  <c r="V31" i="36"/>
  <c r="V33" i="36"/>
  <c r="V35" i="36"/>
  <c r="V37" i="36"/>
  <c r="V39" i="36"/>
  <c r="V41" i="36"/>
  <c r="V43" i="36"/>
  <c r="V47" i="36"/>
  <c r="V49" i="36"/>
  <c r="V51" i="36"/>
  <c r="V53" i="36"/>
  <c r="V55" i="36"/>
  <c r="V57" i="36"/>
  <c r="V59" i="36"/>
  <c r="V63" i="36"/>
  <c r="V65" i="36"/>
  <c r="V67" i="36"/>
  <c r="V69" i="36"/>
  <c r="V71" i="36"/>
  <c r="U74" i="36"/>
  <c r="U76" i="36"/>
  <c r="U81" i="36"/>
  <c r="U85" i="36"/>
  <c r="U87" i="36"/>
  <c r="U89" i="36"/>
  <c r="U91" i="36"/>
  <c r="U93" i="36"/>
  <c r="U95" i="36"/>
  <c r="U97" i="36"/>
  <c r="U101" i="36"/>
  <c r="U105" i="36"/>
  <c r="U107" i="36"/>
  <c r="U109" i="36"/>
  <c r="U111" i="36"/>
  <c r="U113" i="36"/>
  <c r="U117" i="36"/>
  <c r="U119" i="36"/>
  <c r="U121" i="36"/>
  <c r="U123" i="36"/>
  <c r="U125" i="36"/>
  <c r="U127" i="36"/>
  <c r="U129" i="36"/>
  <c r="U133" i="36"/>
  <c r="U135" i="36"/>
  <c r="U137" i="36"/>
  <c r="U139" i="36"/>
  <c r="U141" i="36"/>
  <c r="U143" i="36"/>
  <c r="U145" i="36"/>
  <c r="U149" i="36"/>
  <c r="U151" i="36"/>
  <c r="U153" i="36"/>
  <c r="U157" i="36"/>
  <c r="U159" i="36"/>
  <c r="U161" i="36"/>
  <c r="U165" i="36"/>
  <c r="U167" i="36"/>
  <c r="U170" i="36"/>
  <c r="U173" i="36"/>
  <c r="U175" i="36"/>
  <c r="U177" i="36"/>
  <c r="U179" i="36"/>
  <c r="U183" i="36"/>
  <c r="U185" i="36"/>
  <c r="U187" i="36"/>
  <c r="U189" i="36"/>
  <c r="U191" i="36"/>
  <c r="U193" i="36"/>
  <c r="U195" i="36"/>
  <c r="U199" i="36"/>
  <c r="U201" i="36"/>
  <c r="U203" i="36"/>
  <c r="U205" i="36"/>
  <c r="U207" i="36"/>
  <c r="U209" i="36"/>
  <c r="U211" i="36"/>
  <c r="U213" i="36"/>
  <c r="U215" i="36"/>
  <c r="U217" i="36"/>
  <c r="U221" i="36"/>
  <c r="U227" i="36"/>
  <c r="U229" i="36"/>
  <c r="U231" i="36"/>
  <c r="U233" i="36"/>
  <c r="U235" i="36"/>
  <c r="U239" i="36"/>
  <c r="U241" i="36"/>
  <c r="U245" i="36"/>
  <c r="U247" i="36"/>
  <c r="U249" i="36"/>
  <c r="U253" i="36"/>
  <c r="U261" i="36"/>
  <c r="U271" i="36"/>
  <c r="U275" i="36"/>
  <c r="U279" i="36"/>
  <c r="U281" i="36"/>
  <c r="U283" i="36"/>
  <c r="U285" i="36"/>
  <c r="U287" i="36"/>
  <c r="U289" i="36"/>
  <c r="U293" i="36"/>
  <c r="U295" i="36"/>
  <c r="U297" i="36"/>
  <c r="U301" i="36"/>
  <c r="U303" i="36"/>
  <c r="U307" i="36"/>
  <c r="U309" i="36"/>
  <c r="U311" i="36"/>
  <c r="U313" i="36"/>
  <c r="U315" i="36"/>
  <c r="U317" i="36"/>
  <c r="U319" i="36"/>
  <c r="U321" i="36"/>
  <c r="U323" i="36"/>
  <c r="U327" i="36"/>
  <c r="U329" i="36"/>
  <c r="U331" i="36"/>
  <c r="U335" i="36"/>
  <c r="U337" i="36"/>
  <c r="U343" i="36"/>
  <c r="U347" i="36"/>
  <c r="U349" i="36"/>
  <c r="U353" i="36"/>
  <c r="U355" i="36"/>
  <c r="U359" i="36"/>
  <c r="U361" i="36"/>
  <c r="U363" i="36"/>
  <c r="U367" i="36"/>
  <c r="U371" i="36"/>
  <c r="U375" i="36"/>
  <c r="U379" i="36"/>
  <c r="U381" i="36"/>
  <c r="U383" i="36"/>
  <c r="U385" i="36"/>
  <c r="U387" i="36"/>
  <c r="U389" i="36"/>
  <c r="U391" i="36"/>
  <c r="U393" i="36"/>
  <c r="U399" i="36"/>
  <c r="U401" i="36"/>
  <c r="U403" i="36"/>
  <c r="U405" i="36"/>
  <c r="U409" i="36"/>
  <c r="U411" i="36"/>
  <c r="U413" i="36"/>
  <c r="U415" i="36"/>
  <c r="U417" i="36"/>
  <c r="U419" i="36"/>
  <c r="U421" i="36"/>
  <c r="U423" i="36"/>
  <c r="V425" i="36"/>
  <c r="V427" i="36"/>
  <c r="V429" i="36"/>
  <c r="V431" i="36"/>
  <c r="V433" i="36"/>
  <c r="V435" i="36"/>
  <c r="V437" i="36"/>
  <c r="V439" i="36"/>
  <c r="V443" i="36"/>
  <c r="V12" i="36"/>
  <c r="U78" i="36"/>
  <c r="U169" i="36"/>
  <c r="U172" i="36"/>
  <c r="U223" i="36"/>
  <c r="U224" i="36"/>
  <c r="U445" i="36"/>
  <c r="V445" i="36"/>
  <c r="U446" i="36"/>
  <c r="V446" i="36"/>
  <c r="V223" i="36"/>
  <c r="V224" i="36"/>
  <c r="V172" i="36"/>
  <c r="V169" i="36"/>
  <c r="V78" i="36"/>
  <c r="U12" i="36"/>
  <c r="V73" i="36"/>
  <c r="V423" i="36"/>
  <c r="S447" i="36"/>
  <c r="R447" i="36"/>
  <c r="U23" i="36"/>
  <c r="D8" i="36"/>
  <c r="E73" i="36" s="1"/>
  <c r="E274" i="36"/>
  <c r="C451" i="36"/>
  <c r="E128" i="36"/>
  <c r="V100" i="36"/>
  <c r="I132" i="36"/>
  <c r="U294" i="36"/>
  <c r="I122" i="36"/>
  <c r="I136" i="36"/>
  <c r="F68" i="10"/>
  <c r="E192" i="36"/>
  <c r="V192" i="36"/>
  <c r="H276" i="36"/>
  <c r="H280" i="36" s="1"/>
  <c r="V444" i="36"/>
  <c r="U443" i="36"/>
  <c r="D142" i="36"/>
  <c r="D422" i="36"/>
  <c r="E116" i="36"/>
  <c r="V116" i="36"/>
  <c r="I135" i="36"/>
  <c r="V219" i="36"/>
  <c r="U71" i="36"/>
  <c r="V3" i="36"/>
  <c r="L54" i="36"/>
  <c r="K51" i="36"/>
  <c r="K50" i="36"/>
  <c r="V5" i="36"/>
  <c r="V7" i="36"/>
  <c r="V9" i="36"/>
  <c r="V11" i="36"/>
  <c r="V13" i="36"/>
  <c r="V14" i="36"/>
  <c r="V16" i="36"/>
  <c r="V18" i="36"/>
  <c r="V20" i="36"/>
  <c r="V22" i="36"/>
  <c r="V24" i="36"/>
  <c r="V26" i="36"/>
  <c r="V28" i="36"/>
  <c r="V29" i="36"/>
  <c r="V30" i="36"/>
  <c r="V32" i="36"/>
  <c r="V34" i="36"/>
  <c r="V36" i="36"/>
  <c r="V38" i="36"/>
  <c r="V40" i="36"/>
  <c r="V42" i="36"/>
  <c r="V44" i="36"/>
  <c r="V45" i="36"/>
  <c r="V46" i="36"/>
  <c r="V48" i="36"/>
  <c r="V50" i="36"/>
  <c r="V52" i="36"/>
  <c r="V54" i="36"/>
  <c r="V56" i="36"/>
  <c r="V58" i="36"/>
  <c r="V60" i="36"/>
  <c r="V61" i="36"/>
  <c r="V62" i="36"/>
  <c r="V64" i="36"/>
  <c r="V66" i="36"/>
  <c r="V68" i="36"/>
  <c r="V70" i="36"/>
  <c r="V72" i="36"/>
  <c r="V74" i="36"/>
  <c r="V75" i="36"/>
  <c r="V76" i="36"/>
  <c r="V77" i="36"/>
  <c r="V79" i="36"/>
  <c r="V80" i="36"/>
  <c r="V81" i="36"/>
  <c r="V82" i="36"/>
  <c r="V83" i="36"/>
  <c r="V84" i="36"/>
  <c r="V85" i="36"/>
  <c r="V86" i="36"/>
  <c r="V87" i="36"/>
  <c r="V88" i="36"/>
  <c r="V89" i="36"/>
  <c r="V90" i="36"/>
  <c r="V91" i="36"/>
  <c r="V92" i="36"/>
  <c r="V93" i="36"/>
  <c r="V94" i="36"/>
  <c r="V95" i="36"/>
  <c r="V96" i="36"/>
  <c r="V97" i="36"/>
  <c r="V98" i="36"/>
  <c r="V99" i="36"/>
  <c r="V101" i="36"/>
  <c r="V102" i="36"/>
  <c r="V103" i="36"/>
  <c r="V104" i="36"/>
  <c r="V105" i="36"/>
  <c r="V106" i="36"/>
  <c r="V107" i="36"/>
  <c r="V108" i="36"/>
  <c r="V109" i="36"/>
  <c r="V110" i="36"/>
  <c r="V111" i="36"/>
  <c r="V112" i="36"/>
  <c r="V113" i="36"/>
  <c r="V114" i="36"/>
  <c r="V115" i="36"/>
  <c r="V117" i="36"/>
  <c r="V118" i="36"/>
  <c r="V119" i="36"/>
  <c r="V120" i="36"/>
  <c r="V121" i="36"/>
  <c r="V122" i="36"/>
  <c r="V123" i="36"/>
  <c r="V124" i="36"/>
  <c r="V125" i="36"/>
  <c r="V126" i="36"/>
  <c r="V127" i="36"/>
  <c r="V128" i="36"/>
  <c r="V129" i="36"/>
  <c r="V130" i="36"/>
  <c r="V131" i="36"/>
  <c r="V132" i="36"/>
  <c r="V133" i="36"/>
  <c r="V134" i="36"/>
  <c r="V135" i="36"/>
  <c r="V136" i="36"/>
  <c r="V137" i="36"/>
  <c r="V138" i="36"/>
  <c r="V139" i="36"/>
  <c r="V140" i="36"/>
  <c r="V141" i="36"/>
  <c r="V142" i="36"/>
  <c r="V143" i="36"/>
  <c r="V144" i="36"/>
  <c r="V145" i="36"/>
  <c r="V146" i="36"/>
  <c r="V147" i="36"/>
  <c r="V148" i="36"/>
  <c r="V149" i="36"/>
  <c r="V150" i="36"/>
  <c r="V151" i="36"/>
  <c r="V153" i="36"/>
  <c r="V154" i="36"/>
  <c r="V155" i="36"/>
  <c r="V156" i="36"/>
  <c r="V157" i="36"/>
  <c r="V158" i="36"/>
  <c r="V159" i="36"/>
  <c r="V160" i="36"/>
  <c r="V161" i="36"/>
  <c r="V163" i="36"/>
  <c r="V164" i="36"/>
  <c r="V165" i="36"/>
  <c r="V166" i="36"/>
  <c r="V167" i="36"/>
  <c r="V168" i="36"/>
  <c r="V170" i="36"/>
  <c r="V171" i="36"/>
  <c r="V173" i="36"/>
  <c r="V174" i="36"/>
  <c r="V175" i="36"/>
  <c r="V176" i="36"/>
  <c r="V177" i="36"/>
  <c r="V178" i="36"/>
  <c r="V179" i="36"/>
  <c r="V180" i="36"/>
  <c r="V181" i="36"/>
  <c r="V182" i="36"/>
  <c r="V183" i="36"/>
  <c r="V184" i="36"/>
  <c r="V185" i="36"/>
  <c r="V186" i="36"/>
  <c r="V187" i="36"/>
  <c r="V188" i="36"/>
  <c r="V189" i="36"/>
  <c r="V190" i="36"/>
  <c r="V191" i="36"/>
  <c r="V194" i="36"/>
  <c r="V195" i="36"/>
  <c r="V197" i="36"/>
  <c r="V198" i="36"/>
  <c r="V199" i="36"/>
  <c r="V200" i="36"/>
  <c r="V201" i="36"/>
  <c r="V202" i="36"/>
  <c r="V203" i="36"/>
  <c r="V204" i="36"/>
  <c r="V205" i="36"/>
  <c r="V206" i="36"/>
  <c r="V207" i="36"/>
  <c r="V208" i="36"/>
  <c r="V209" i="36"/>
  <c r="V210" i="36"/>
  <c r="V211" i="36"/>
  <c r="V212" i="36"/>
  <c r="V213" i="36"/>
  <c r="V214" i="36"/>
  <c r="V215" i="36"/>
  <c r="V216" i="36"/>
  <c r="V217" i="36"/>
  <c r="V218" i="36"/>
  <c r="V220" i="36"/>
  <c r="V222" i="36"/>
  <c r="X223" i="36" s="1"/>
  <c r="V225" i="36"/>
  <c r="V226" i="36"/>
  <c r="V227" i="36"/>
  <c r="V228" i="36"/>
  <c r="V229" i="36"/>
  <c r="V230" i="36"/>
  <c r="V231" i="36"/>
  <c r="V232" i="36"/>
  <c r="V233" i="36"/>
  <c r="V234" i="36"/>
  <c r="V235" i="36"/>
  <c r="V236" i="36"/>
  <c r="V237" i="36"/>
  <c r="V238" i="36"/>
  <c r="V239" i="36"/>
  <c r="V240" i="36"/>
  <c r="V241" i="36"/>
  <c r="V242" i="36"/>
  <c r="V243" i="36"/>
  <c r="V244" i="36"/>
  <c r="V245" i="36"/>
  <c r="V246" i="36"/>
  <c r="V247" i="36"/>
  <c r="V248" i="36"/>
  <c r="V249" i="36"/>
  <c r="V250" i="36"/>
  <c r="V251" i="36"/>
  <c r="V252" i="36"/>
  <c r="V253" i="36"/>
  <c r="V254" i="36"/>
  <c r="V255" i="36"/>
  <c r="V256" i="36"/>
  <c r="V257" i="36"/>
  <c r="V258" i="36"/>
  <c r="V259" i="36"/>
  <c r="V260" i="36"/>
  <c r="V261" i="36"/>
  <c r="V262" i="36"/>
  <c r="V263" i="36"/>
  <c r="V264" i="36"/>
  <c r="V265" i="36"/>
  <c r="V266" i="36"/>
  <c r="V267" i="36"/>
  <c r="V268" i="36"/>
  <c r="V269" i="36"/>
  <c r="V270" i="36"/>
  <c r="V271" i="36"/>
  <c r="V272" i="36"/>
  <c r="V273" i="36"/>
  <c r="V274" i="36"/>
  <c r="V275" i="36"/>
  <c r="V276" i="36"/>
  <c r="V277" i="36"/>
  <c r="V278" i="36"/>
  <c r="V279" i="36"/>
  <c r="V280" i="36"/>
  <c r="V281" i="36"/>
  <c r="V282" i="36"/>
  <c r="V283" i="36"/>
  <c r="V284" i="36"/>
  <c r="V285" i="36"/>
  <c r="V286" i="36"/>
  <c r="V287" i="36"/>
  <c r="V288" i="36"/>
  <c r="V289" i="36"/>
  <c r="V290" i="36"/>
  <c r="V291" i="36"/>
  <c r="V292" i="36"/>
  <c r="V293" i="36"/>
  <c r="V294" i="36"/>
  <c r="V295" i="36"/>
  <c r="V296" i="36"/>
  <c r="V297" i="36"/>
  <c r="V298" i="36"/>
  <c r="V299" i="36"/>
  <c r="V300" i="36"/>
  <c r="V301" i="36"/>
  <c r="V302" i="36"/>
  <c r="V303" i="36"/>
  <c r="V304" i="36"/>
  <c r="V305" i="36"/>
  <c r="V306" i="36"/>
  <c r="V307" i="36"/>
  <c r="V308" i="36"/>
  <c r="V309" i="36"/>
  <c r="V310" i="36"/>
  <c r="V311" i="36"/>
  <c r="V312" i="36"/>
  <c r="V313" i="36"/>
  <c r="V314" i="36"/>
  <c r="V315" i="36"/>
  <c r="V316" i="36"/>
  <c r="V317" i="36"/>
  <c r="V318" i="36"/>
  <c r="V319" i="36"/>
  <c r="V320" i="36"/>
  <c r="V321" i="36"/>
  <c r="V322" i="36"/>
  <c r="V323" i="36"/>
  <c r="V324" i="36"/>
  <c r="V325" i="36"/>
  <c r="V326" i="36"/>
  <c r="V327" i="36"/>
  <c r="V328" i="36"/>
  <c r="V329" i="36"/>
  <c r="V330" i="36"/>
  <c r="V331" i="36"/>
  <c r="V332" i="36"/>
  <c r="V333" i="36"/>
  <c r="V334" i="36"/>
  <c r="V335" i="36"/>
  <c r="V336" i="36"/>
  <c r="V337" i="36"/>
  <c r="V338" i="36"/>
  <c r="V339" i="36"/>
  <c r="V340" i="36"/>
  <c r="V341" i="36"/>
  <c r="V342" i="36"/>
  <c r="V343" i="36"/>
  <c r="V344" i="36"/>
  <c r="V345" i="36"/>
  <c r="V346" i="36"/>
  <c r="V347" i="36"/>
  <c r="V348" i="36"/>
  <c r="V349" i="36"/>
  <c r="V350" i="36"/>
  <c r="V351" i="36"/>
  <c r="V352" i="36"/>
  <c r="V353" i="36"/>
  <c r="V354" i="36"/>
  <c r="V355" i="36"/>
  <c r="V356" i="36"/>
  <c r="V357" i="36"/>
  <c r="V358" i="36"/>
  <c r="V359" i="36"/>
  <c r="V360" i="36"/>
  <c r="V361" i="36"/>
  <c r="V362" i="36"/>
  <c r="V363" i="36"/>
  <c r="V364" i="36"/>
  <c r="V365" i="36"/>
  <c r="V366" i="36"/>
  <c r="V367" i="36"/>
  <c r="V368" i="36"/>
  <c r="V369" i="36"/>
  <c r="V370" i="36"/>
  <c r="V371" i="36"/>
  <c r="V372" i="36"/>
  <c r="V373" i="36"/>
  <c r="V374" i="36"/>
  <c r="V375" i="36"/>
  <c r="V376" i="36"/>
  <c r="V377" i="36"/>
  <c r="V378" i="36"/>
  <c r="V379" i="36"/>
  <c r="V380" i="36"/>
  <c r="V381" i="36"/>
  <c r="V382" i="36"/>
  <c r="V383" i="36"/>
  <c r="V384" i="36"/>
  <c r="V385" i="36"/>
  <c r="V386" i="36"/>
  <c r="V387" i="36"/>
  <c r="V388" i="36"/>
  <c r="V389" i="36"/>
  <c r="V390" i="36"/>
  <c r="V391" i="36"/>
  <c r="V392" i="36"/>
  <c r="V393" i="36"/>
  <c r="V394" i="36"/>
  <c r="V395" i="36"/>
  <c r="V396" i="36"/>
  <c r="V397" i="36"/>
  <c r="V398" i="36"/>
  <c r="V399" i="36"/>
  <c r="V400" i="36"/>
  <c r="V401" i="36"/>
  <c r="V402" i="36"/>
  <c r="V403" i="36"/>
  <c r="V404" i="36"/>
  <c r="V405" i="36"/>
  <c r="V406" i="36"/>
  <c r="V407" i="36"/>
  <c r="V408" i="36"/>
  <c r="V409" i="36"/>
  <c r="V410" i="36"/>
  <c r="V411" i="36"/>
  <c r="V412" i="36"/>
  <c r="V413" i="36"/>
  <c r="V414" i="36"/>
  <c r="V415" i="36"/>
  <c r="V416" i="36"/>
  <c r="V417" i="36"/>
  <c r="V418" i="36"/>
  <c r="V419" i="36"/>
  <c r="V420" i="36"/>
  <c r="V421" i="36"/>
  <c r="V422" i="36"/>
  <c r="V424" i="36"/>
  <c r="V426" i="36"/>
  <c r="V428" i="36"/>
  <c r="V430" i="36"/>
  <c r="V432" i="36"/>
  <c r="V434" i="36"/>
  <c r="V436" i="36"/>
  <c r="V438" i="36"/>
  <c r="V440" i="36"/>
  <c r="V442" i="36"/>
  <c r="U4" i="36"/>
  <c r="U5" i="36"/>
  <c r="U6" i="36"/>
  <c r="U7" i="36"/>
  <c r="U9" i="36"/>
  <c r="U10" i="36"/>
  <c r="U11" i="36"/>
  <c r="U13" i="36"/>
  <c r="U14" i="36"/>
  <c r="U15" i="36"/>
  <c r="U16" i="36"/>
  <c r="U17" i="36"/>
  <c r="U18" i="36"/>
  <c r="U19" i="36"/>
  <c r="U20" i="36"/>
  <c r="U21" i="36"/>
  <c r="U22" i="36"/>
  <c r="U24" i="36"/>
  <c r="U25" i="36"/>
  <c r="U26" i="36"/>
  <c r="U27" i="36"/>
  <c r="U28" i="36"/>
  <c r="U29" i="36"/>
  <c r="U30" i="36"/>
  <c r="U31" i="36"/>
  <c r="U32" i="36"/>
  <c r="U33" i="36"/>
  <c r="U34" i="36"/>
  <c r="U35" i="36"/>
  <c r="U36" i="36"/>
  <c r="U37" i="36"/>
  <c r="U38" i="36"/>
  <c r="U39" i="36"/>
  <c r="U41" i="36"/>
  <c r="U42" i="36"/>
  <c r="U43" i="36"/>
  <c r="U44" i="36"/>
  <c r="U45" i="36"/>
  <c r="U46" i="36"/>
  <c r="U47" i="36"/>
  <c r="U48" i="36"/>
  <c r="U49" i="36"/>
  <c r="U50" i="36"/>
  <c r="U51" i="36"/>
  <c r="U52" i="36"/>
  <c r="U53" i="36"/>
  <c r="U54" i="36"/>
  <c r="U55" i="36"/>
  <c r="U56" i="36"/>
  <c r="U58" i="36"/>
  <c r="U59" i="36"/>
  <c r="U60" i="36"/>
  <c r="U61" i="36"/>
  <c r="U62" i="36"/>
  <c r="U63" i="36"/>
  <c r="U64" i="36"/>
  <c r="U65" i="36"/>
  <c r="U66" i="36"/>
  <c r="U67" i="36"/>
  <c r="U69" i="36"/>
  <c r="U70" i="36"/>
  <c r="U72" i="36"/>
  <c r="U75" i="36"/>
  <c r="U77" i="36"/>
  <c r="U80" i="36"/>
  <c r="U82" i="36"/>
  <c r="U83" i="36"/>
  <c r="U84" i="36"/>
  <c r="U86" i="36"/>
  <c r="U88" i="36"/>
  <c r="U90" i="36"/>
  <c r="U92" i="36"/>
  <c r="U94" i="36"/>
  <c r="U96" i="36"/>
  <c r="U98" i="36"/>
  <c r="U99" i="36"/>
  <c r="U100" i="36"/>
  <c r="U102" i="36"/>
  <c r="U104" i="36"/>
  <c r="U106" i="36"/>
  <c r="U108" i="36"/>
  <c r="U110" i="36"/>
  <c r="U112" i="36"/>
  <c r="U114" i="36"/>
  <c r="U115" i="36"/>
  <c r="U116" i="36"/>
  <c r="U118" i="36"/>
  <c r="U120" i="36"/>
  <c r="U122" i="36"/>
  <c r="U124" i="36"/>
  <c r="U126" i="36"/>
  <c r="U128" i="36"/>
  <c r="U130" i="36"/>
  <c r="U131" i="36"/>
  <c r="U132" i="36"/>
  <c r="U134" i="36"/>
  <c r="U136" i="36"/>
  <c r="U138" i="36"/>
  <c r="U140" i="36"/>
  <c r="U142" i="36"/>
  <c r="U144" i="36"/>
  <c r="U146" i="36"/>
  <c r="U147" i="36"/>
  <c r="U148" i="36"/>
  <c r="U150" i="36"/>
  <c r="U152" i="36"/>
  <c r="U154" i="36"/>
  <c r="U156" i="36"/>
  <c r="U158" i="36"/>
  <c r="U160" i="36"/>
  <c r="U162" i="36"/>
  <c r="U163" i="36"/>
  <c r="U164" i="36"/>
  <c r="U166" i="36"/>
  <c r="U168" i="36"/>
  <c r="U171" i="36"/>
  <c r="U174" i="36"/>
  <c r="U176" i="36"/>
  <c r="U178" i="36"/>
  <c r="U180" i="36"/>
  <c r="U181" i="36"/>
  <c r="U182" i="36"/>
  <c r="U184" i="36"/>
  <c r="U186" i="36"/>
  <c r="U188" i="36"/>
  <c r="U190" i="36"/>
  <c r="U192" i="36"/>
  <c r="U194" i="36"/>
  <c r="U196" i="36"/>
  <c r="U198" i="36"/>
  <c r="U200" i="36"/>
  <c r="U202" i="36"/>
  <c r="U204" i="36"/>
  <c r="U206" i="36"/>
  <c r="U208" i="36"/>
  <c r="U210" i="36"/>
  <c r="U212" i="36"/>
  <c r="U214" i="36"/>
  <c r="U216" i="36"/>
  <c r="U218" i="36"/>
  <c r="U220" i="36"/>
  <c r="U222" i="36"/>
  <c r="U226" i="36"/>
  <c r="U230" i="36"/>
  <c r="U232" i="36"/>
  <c r="U234" i="36"/>
  <c r="U236" i="36"/>
  <c r="U237" i="36"/>
  <c r="U238" i="36"/>
  <c r="U240" i="36"/>
  <c r="U242" i="36"/>
  <c r="U244" i="36"/>
  <c r="U246" i="36"/>
  <c r="U251" i="36"/>
  <c r="U252" i="36"/>
  <c r="U254" i="36"/>
  <c r="U256" i="36"/>
  <c r="U258" i="36"/>
  <c r="U260" i="36"/>
  <c r="U262" i="36"/>
  <c r="U264" i="36"/>
  <c r="U266" i="36"/>
  <c r="U268" i="36"/>
  <c r="U269" i="36"/>
  <c r="U270" i="36"/>
  <c r="U272" i="36"/>
  <c r="U274" i="36"/>
  <c r="U276" i="36"/>
  <c r="U278" i="36"/>
  <c r="U280" i="36"/>
  <c r="U282" i="36"/>
  <c r="U284" i="36"/>
  <c r="U286" i="36"/>
  <c r="U288" i="36"/>
  <c r="U290" i="36"/>
  <c r="U292" i="36"/>
  <c r="U296" i="36"/>
  <c r="U300" i="36"/>
  <c r="U302" i="36"/>
  <c r="U304" i="36"/>
  <c r="U306" i="36"/>
  <c r="U308" i="36"/>
  <c r="U310" i="36"/>
  <c r="U312" i="36"/>
  <c r="U314" i="36"/>
  <c r="U316" i="36"/>
  <c r="U320" i="36"/>
  <c r="U322" i="36"/>
  <c r="U324" i="36"/>
  <c r="U325" i="36"/>
  <c r="U326" i="36"/>
  <c r="U328" i="36"/>
  <c r="U330" i="36"/>
  <c r="U332" i="36"/>
  <c r="U334" i="36"/>
  <c r="U336" i="36"/>
  <c r="U338" i="36"/>
  <c r="U340" i="36"/>
  <c r="U341" i="36"/>
  <c r="U342" i="36"/>
  <c r="U344" i="36"/>
  <c r="U346" i="36"/>
  <c r="U348" i="36"/>
  <c r="U350" i="36"/>
  <c r="U352" i="36"/>
  <c r="U354" i="36"/>
  <c r="U356" i="36"/>
  <c r="U357" i="36"/>
  <c r="U358" i="36"/>
  <c r="U360" i="36"/>
  <c r="U362" i="36"/>
  <c r="U364" i="36"/>
  <c r="U366" i="36"/>
  <c r="U368" i="36"/>
  <c r="U370" i="36"/>
  <c r="U372" i="36"/>
  <c r="U373" i="36"/>
  <c r="U374" i="36"/>
  <c r="U376" i="36"/>
  <c r="U380" i="36"/>
  <c r="U382" i="36"/>
  <c r="U384" i="36"/>
  <c r="U386" i="36"/>
  <c r="U388" i="36"/>
  <c r="U390" i="36"/>
  <c r="U392" i="36"/>
  <c r="U394" i="36"/>
  <c r="U396" i="36"/>
  <c r="U398" i="36"/>
  <c r="U400" i="36"/>
  <c r="U402" i="36"/>
  <c r="U404" i="36"/>
  <c r="U406" i="36"/>
  <c r="U408" i="36"/>
  <c r="U410" i="36"/>
  <c r="U412" i="36"/>
  <c r="U414" i="36"/>
  <c r="U416" i="36"/>
  <c r="U418" i="36"/>
  <c r="U420" i="36"/>
  <c r="U424" i="36"/>
  <c r="U425" i="36"/>
  <c r="U426" i="36"/>
  <c r="U428" i="36"/>
  <c r="U429" i="36"/>
  <c r="U430" i="36"/>
  <c r="U432" i="36"/>
  <c r="U435" i="36"/>
  <c r="U436" i="36"/>
  <c r="U437" i="36"/>
  <c r="U438" i="36"/>
  <c r="U439" i="36"/>
  <c r="U440" i="36"/>
  <c r="U441" i="36"/>
  <c r="U442" i="36"/>
  <c r="U3" i="36"/>
  <c r="A2" i="2"/>
  <c r="C447" i="36"/>
  <c r="B447" i="36"/>
  <c r="B68" i="23"/>
  <c r="A17" i="10"/>
  <c r="A7" i="6"/>
  <c r="A20" i="6" s="1"/>
  <c r="C14" i="1"/>
  <c r="B7" i="28"/>
  <c r="I119" i="28"/>
  <c r="I123" i="28" s="1"/>
  <c r="A2" i="10"/>
  <c r="A2" i="26" s="1"/>
  <c r="A28" i="10"/>
  <c r="A63" i="10"/>
  <c r="A64" i="10"/>
  <c r="A65" i="10"/>
  <c r="A136" i="10"/>
  <c r="A137" i="10" s="1"/>
  <c r="A138" i="10" s="1"/>
  <c r="A143" i="10"/>
  <c r="A144" i="10" s="1"/>
  <c r="A145" i="10" s="1"/>
  <c r="D147" i="10"/>
  <c r="A149" i="10"/>
  <c r="I186" i="36"/>
  <c r="H146" i="36"/>
  <c r="I33" i="36"/>
  <c r="U433" i="36"/>
  <c r="U57" i="36"/>
  <c r="V196" i="36"/>
  <c r="U378" i="36"/>
  <c r="U318" i="36"/>
  <c r="V162" i="36"/>
  <c r="U395" i="36"/>
  <c r="U248" i="36"/>
  <c r="U228" i="36"/>
  <c r="H320" i="36"/>
  <c r="I217" i="36"/>
  <c r="V193" i="36"/>
  <c r="U434" i="36"/>
  <c r="U298" i="36"/>
  <c r="U250" i="36"/>
  <c r="I229" i="36"/>
  <c r="V221" i="36"/>
  <c r="H182" i="36"/>
  <c r="U431" i="36"/>
  <c r="U427" i="36"/>
  <c r="U68" i="36"/>
  <c r="I49" i="36"/>
  <c r="U40" i="36"/>
  <c r="U8" i="36"/>
  <c r="I116" i="36"/>
  <c r="I218" i="36"/>
  <c r="I50" i="36"/>
  <c r="I185" i="36"/>
  <c r="I140" i="36"/>
  <c r="H85" i="23"/>
  <c r="I34" i="36"/>
  <c r="U73" i="36"/>
  <c r="U422" i="36"/>
  <c r="V441" i="36"/>
  <c r="U407" i="36"/>
  <c r="U397" i="36"/>
  <c r="U351" i="36"/>
  <c r="I131" i="36"/>
  <c r="U339" i="36"/>
  <c r="U305" i="36"/>
  <c r="U299" i="36"/>
  <c r="U291" i="36"/>
  <c r="U277" i="36"/>
  <c r="U273" i="36"/>
  <c r="U267" i="36"/>
  <c r="U263" i="36"/>
  <c r="U259" i="36"/>
  <c r="J219" i="36"/>
  <c r="U243" i="36"/>
  <c r="U225" i="36"/>
  <c r="J227" i="36"/>
  <c r="U219" i="36"/>
  <c r="I228" i="36"/>
  <c r="I139" i="36"/>
  <c r="U79" i="36"/>
  <c r="U377" i="36"/>
  <c r="U345" i="36"/>
  <c r="U255" i="36"/>
  <c r="U103" i="36"/>
  <c r="U257" i="36"/>
  <c r="U365" i="36"/>
  <c r="U333" i="36"/>
  <c r="U155" i="36"/>
  <c r="U197" i="36"/>
  <c r="U369" i="36"/>
  <c r="U265" i="36"/>
  <c r="D122" i="10"/>
  <c r="D126" i="10" s="1"/>
  <c r="K140" i="36" l="1"/>
  <c r="I230" i="36"/>
  <c r="I35" i="36"/>
  <c r="F447" i="36"/>
  <c r="E447" i="36"/>
  <c r="K136" i="36"/>
  <c r="K52" i="36"/>
  <c r="D447" i="36"/>
  <c r="E450" i="36" s="1"/>
  <c r="E454" i="36" s="1"/>
  <c r="K134" i="36"/>
  <c r="J228" i="36"/>
  <c r="J218" i="36"/>
  <c r="J220" i="36" s="1"/>
  <c r="I51" i="36"/>
  <c r="G447" i="36"/>
  <c r="R450" i="36" s="1"/>
  <c r="V152" i="36"/>
  <c r="V447" i="36" s="1"/>
  <c r="U447" i="36"/>
  <c r="I2" i="49"/>
  <c r="I117" i="28"/>
  <c r="H128" i="36"/>
  <c r="I128" i="36" s="1"/>
  <c r="I133" i="36"/>
  <c r="J229" i="36"/>
  <c r="J230" i="36" s="1"/>
  <c r="A2" i="6"/>
  <c r="A40" i="6"/>
  <c r="C16" i="1"/>
  <c r="D24" i="10" l="1"/>
  <c r="D48" i="10"/>
  <c r="H20" i="23"/>
  <c r="D42" i="10"/>
  <c r="D68" i="10"/>
  <c r="A7" i="26"/>
  <c r="A51" i="6"/>
  <c r="C18" i="1"/>
  <c r="D25" i="10" l="1"/>
  <c r="C22" i="2"/>
  <c r="L61" i="55"/>
  <c r="L62" i="55" s="1"/>
  <c r="L187" i="55"/>
  <c r="L188" i="55" s="1"/>
  <c r="A34" i="26"/>
  <c r="C15" i="2" l="1"/>
  <c r="L140" i="36"/>
  <c r="M140" i="36" s="1"/>
  <c r="M144" i="36" s="1"/>
  <c r="C23" i="2" l="1"/>
  <c r="D28" i="1"/>
  <c r="D9" i="10"/>
  <c r="D21" i="10" s="1"/>
  <c r="D29" i="10" s="1"/>
  <c r="D34" i="10" s="1"/>
  <c r="D50" i="10" s="1"/>
  <c r="J244" i="49" l="1"/>
  <c r="K244" i="49" s="1"/>
  <c r="C50" i="2"/>
  <c r="C31" i="2" l="1"/>
  <c r="C47" i="2" s="1"/>
  <c r="B25" i="23" l="1"/>
  <c r="B44" i="23" s="1"/>
  <c r="B49" i="23" s="1"/>
  <c r="A24" i="23"/>
  <c r="A86" i="23"/>
  <c r="B28" i="2" l="1"/>
  <c r="A68" i="23"/>
  <c r="B34" i="2" l="1"/>
  <c r="A7" i="28" l="1"/>
  <c r="B65" i="28" l="1"/>
  <c r="G60" i="28" l="1"/>
  <c r="B72" i="28"/>
  <c r="G62" i="28" s="1"/>
  <c r="A2" i="49" l="1"/>
  <c r="A3" i="49" l="1"/>
</calcChain>
</file>

<file path=xl/sharedStrings.xml><?xml version="1.0" encoding="utf-8"?>
<sst xmlns="http://schemas.openxmlformats.org/spreadsheetml/2006/main" count="4177" uniqueCount="1767">
  <si>
    <t>Amounts Due from Related Parties</t>
  </si>
  <si>
    <t>Total Current Assets</t>
  </si>
  <si>
    <t>Equity</t>
  </si>
  <si>
    <t>Total Current Liabilities</t>
  </si>
  <si>
    <t>Acquisition of Property, Plant and Equipment</t>
  </si>
  <si>
    <t>Net Cash used in Investing Activities</t>
  </si>
  <si>
    <t>Overdraft Interest</t>
  </si>
  <si>
    <t>TROPICAL FISH INTERNATIONAL (PRIVATE) LIMITED</t>
  </si>
  <si>
    <t>Loan Interest</t>
  </si>
  <si>
    <t>Short Term Borrowings</t>
  </si>
  <si>
    <t>Vehicle Hire Charges</t>
  </si>
  <si>
    <t>Subscriptions</t>
  </si>
  <si>
    <t>Staff Welfare</t>
  </si>
  <si>
    <t>Printing and Stationery</t>
  </si>
  <si>
    <t>Generator Expenses</t>
  </si>
  <si>
    <t>Professional Fees</t>
  </si>
  <si>
    <t>Computer Repairs and Maintenance</t>
  </si>
  <si>
    <t>Trade and Other Receivables</t>
  </si>
  <si>
    <t>Trade Receivable</t>
  </si>
  <si>
    <t>General Advance</t>
  </si>
  <si>
    <t>Freight Commission Income (7.5%)</t>
  </si>
  <si>
    <t>Bank Charges</t>
  </si>
  <si>
    <t>Audit Fees</t>
  </si>
  <si>
    <t>Cash and Cash Equivalents at Beginning of the Year</t>
  </si>
  <si>
    <t>Cash and Cash Equivalents at End of the Year</t>
  </si>
  <si>
    <t>Vehicle Fuel, Repair and Maintenance</t>
  </si>
  <si>
    <t>As per the Agreement with BOI, the profit and income of the company is exempt from income tax for a period 5 year from the year of assessment the enterprise commence to make profits or any year of assessments not later than two years reckoned from the date of on the enterprise commences commercial operations, whichever is earlier.</t>
  </si>
  <si>
    <t>Non - Current Liabilities</t>
  </si>
  <si>
    <t>Total Non - Current Liabilities</t>
  </si>
  <si>
    <t>Inventories</t>
  </si>
  <si>
    <t>Revaluation Reserve</t>
  </si>
  <si>
    <t>Repayment of Finance Lease</t>
  </si>
  <si>
    <t>Purchases</t>
  </si>
  <si>
    <t>Live Fish Inventories</t>
  </si>
  <si>
    <t>Lease Obligations</t>
  </si>
  <si>
    <t>HSBC Current Account</t>
  </si>
  <si>
    <t>Sim Deposit - Mobile Phones</t>
  </si>
  <si>
    <t>Service Income on Back Office</t>
  </si>
  <si>
    <t>Travel Bata Expenses</t>
  </si>
  <si>
    <t>Water Transport Expenses</t>
  </si>
  <si>
    <t>Allowances</t>
  </si>
  <si>
    <t>Bonus</t>
  </si>
  <si>
    <t>Lease Interest</t>
  </si>
  <si>
    <t>Other Income</t>
  </si>
  <si>
    <t xml:space="preserve">Retained Earnings </t>
  </si>
  <si>
    <t>Refundable  Rent Deposit - Head Office</t>
  </si>
  <si>
    <t>Disallowable VAT</t>
  </si>
  <si>
    <t>Gratuity</t>
  </si>
  <si>
    <t>Figures in brackets indicate deductions</t>
  </si>
  <si>
    <t>Note</t>
  </si>
  <si>
    <t>Current Assets</t>
  </si>
  <si>
    <t>Total Assets</t>
  </si>
  <si>
    <t>Current Liabilities</t>
  </si>
  <si>
    <t>Page 5</t>
  </si>
  <si>
    <t>Cost of Sales</t>
  </si>
  <si>
    <t>Depreciation</t>
  </si>
  <si>
    <t>Gross Profit</t>
  </si>
  <si>
    <t>Total</t>
  </si>
  <si>
    <t>Interest Paid</t>
  </si>
  <si>
    <t>Finance Cost</t>
  </si>
  <si>
    <t>ASSETS</t>
  </si>
  <si>
    <t>Total Equity and Liabilities</t>
  </si>
  <si>
    <t>Trade and Other Payables</t>
  </si>
  <si>
    <t>EQUITY AND LIABILITIES</t>
  </si>
  <si>
    <t>Property, Plant and Equipment</t>
  </si>
  <si>
    <t>Revenue</t>
  </si>
  <si>
    <t>Working Capital Changes</t>
  </si>
  <si>
    <t>Non - Current Assets</t>
  </si>
  <si>
    <t>Total Equity</t>
  </si>
  <si>
    <t>Adjustments for ;</t>
  </si>
  <si>
    <t>Direct Overheads</t>
  </si>
  <si>
    <t xml:space="preserve">Cash and Cash Equivalents </t>
  </si>
  <si>
    <t>(EXPRESSED IN SRI LANKAN RUPEES)</t>
  </si>
  <si>
    <t>Stated Capital</t>
  </si>
  <si>
    <t>Administrative Expenses</t>
  </si>
  <si>
    <t>Fish Income</t>
  </si>
  <si>
    <t>Wages</t>
  </si>
  <si>
    <t>General Maintenance</t>
  </si>
  <si>
    <t>Orient Logistic (Private) Limited</t>
  </si>
  <si>
    <t>Amounts Due to Related Parties</t>
  </si>
  <si>
    <t>Figures in brackets indicate deductions.</t>
  </si>
  <si>
    <t>Electricity Deposit</t>
  </si>
  <si>
    <t>Claims Against Losses / Damages</t>
  </si>
  <si>
    <t>Sales of Produce</t>
  </si>
  <si>
    <t>Sales of Discards</t>
  </si>
  <si>
    <t>Salaries</t>
  </si>
  <si>
    <r>
      <t>Long Term Loan -</t>
    </r>
    <r>
      <rPr>
        <i/>
        <sz val="10"/>
        <rFont val="Times New Roman"/>
        <family val="1"/>
      </rPr>
      <t xml:space="preserve"> Settlement Fall Due  More Than One Year</t>
    </r>
  </si>
  <si>
    <r>
      <t xml:space="preserve">Long Term Loan - </t>
    </r>
    <r>
      <rPr>
        <i/>
        <sz val="10"/>
        <color indexed="8"/>
        <rFont val="Times New Roman"/>
        <family val="1"/>
      </rPr>
      <t>Settlement Fall Due Within One Year</t>
    </r>
  </si>
  <si>
    <t>Page 13</t>
  </si>
  <si>
    <t>Income Tax Expense</t>
  </si>
  <si>
    <t xml:space="preserve">Petty Cash </t>
  </si>
  <si>
    <t>Debit</t>
  </si>
  <si>
    <t>Credit</t>
  </si>
  <si>
    <t>1630000 · Bank Current and Cash Accounts:1630010 · HNB Head Office Account</t>
  </si>
  <si>
    <t>1630000 · Bank Current and Cash Accounts:1630030 · Commercial Bank</t>
  </si>
  <si>
    <t>1630000 · Bank Current and Cash Accounts:1630040 · HNB-Secondary Account-(SLFarm)</t>
  </si>
  <si>
    <t>1630000 · Bank Current and Cash Accounts:1630050 · HSBC Current Account</t>
  </si>
  <si>
    <t>1610000 · Accounts Receivable</t>
  </si>
  <si>
    <t>12000 · Undeposited Funds</t>
  </si>
  <si>
    <t>1600000 · Other Current Assets Accounts:1600010 · Live Fish Inventory</t>
  </si>
  <si>
    <t>1600000 · Other Current Assets Accounts:1600020 · Dried Goods Inventory</t>
  </si>
  <si>
    <t>1600000 · Other Current Assets Accounts:1600030 · Scrap Items Inventory</t>
  </si>
  <si>
    <t>1600000 · Other Current Assets Accounts:1600040 · Live Rocks Inventory</t>
  </si>
  <si>
    <t>1600000 · Other Current Assets Accounts:1600900 · Investment on Joint Venture</t>
  </si>
  <si>
    <t>1600000 · Other Current Assets Accounts:1601000 · Advances:1601010 · Salary Advances</t>
  </si>
  <si>
    <t>1600000 · Other Current Assets Accounts:1601000 · Advances:1601020 · Festival Advances</t>
  </si>
  <si>
    <t>1600000 · Other Current Assets Accounts:1601000 · Advances:1601030 · Genaral Advances</t>
  </si>
  <si>
    <t>1600000 · Other Current Assets Accounts:1601000 · Advances:1601040 · Fixed Assets</t>
  </si>
  <si>
    <t>1600000 · Other Current Assets Accounts:1602000 · Staff Loans</t>
  </si>
  <si>
    <t>1600000 · Other Current Assets Accounts:1602010 · Insurance Claims - Medical</t>
  </si>
  <si>
    <t>1600000 · Other Current Assets Accounts:1603000 · Refundable Deposits:1603010 · Rent Deposit - Head Office</t>
  </si>
  <si>
    <t>1600000 · Other Current Assets Accounts:1603000 · Refundable Deposits:1603020 · Sim Deposit - Mobile Phones</t>
  </si>
  <si>
    <t>1600000 · Other Current Assets Accounts:1603000 · Refundable Deposits:1603030 · Electricity Deposit</t>
  </si>
  <si>
    <t>1600000 · Other Current Assets Accounts:1603000 · Refundable Deposits:1603040 · Vehicle Hiring</t>
  </si>
  <si>
    <t>1600000 · Other Current Assets Accounts:1603000 · Refundable Deposits:1603900 · Sundries</t>
  </si>
  <si>
    <t>1600000 · Other Current Assets Accounts:1604000 · VAT Receivable</t>
  </si>
  <si>
    <t>1600000 · Other Current Assets Accounts:1604010 · ESC Receivable</t>
  </si>
  <si>
    <t>1600000 · Other Current Assets Accounts:1606000 · CIS International (Pvt) Ltd</t>
  </si>
  <si>
    <t>1600000 · Other Current Assets Accounts:1606020 · Siam Tropical Fish</t>
  </si>
  <si>
    <t>1600000 · Other Current Assets Accounts:1606030 · Ocenic Engineering Ltd.</t>
  </si>
  <si>
    <t>1600000 · Other Current Assets Accounts:1607000 · Disposal of Fixed Assets</t>
  </si>
  <si>
    <t>1000000 · Non Current Assets:1100000 · Property, Plant &amp; Equipment:1111000 · Land and Buildings:1111010 · Cost - Land at Wagawatta,Horana</t>
  </si>
  <si>
    <t>1000000 · Non Current Assets:1100000 · Property, Plant &amp; Equipment:1111000 · Land and Buildings:1111100 · Cost - Office Building</t>
  </si>
  <si>
    <t>1000000 · Non Current Assets:1100000 · Property, Plant &amp; Equipment:1111000 · Land and Buildings:1111110 · Cost - Quarters</t>
  </si>
  <si>
    <t>1000000 · Non Current Assets:1100000 · Property, Plant &amp; Equipment:1111000 · Land and Buildings:1111120 · Cost - Packing Area 1 &amp; 2</t>
  </si>
  <si>
    <t>1000000 · Non Current Assets:1100000 · Property, Plant &amp; Equipment:1111000 · Land and Buildings:1111130 · Condition,Breading,Sales &amp; Livi</t>
  </si>
  <si>
    <t>1000000 · Non Current Assets:1100000 · Property, Plant &amp; Equipment:1111000 · Land and Buildings:1111140 · Cost - Fish Tanks</t>
  </si>
  <si>
    <t>1000000 · Non Current Assets:1100000 · Property, Plant &amp; Equipment:1111000 · Land and Buildings:1111150 · Cost - Anemone Fish Tanks</t>
  </si>
  <si>
    <t>1000000 · Non Current Assets:1100000 · Property, Plant &amp; Equipment:1111000 · Land and Buildings:1111900 · Acc. Dep.- Buildings</t>
  </si>
  <si>
    <t>1000000 · Non Current Assets:1100000 · Property, Plant &amp; Equipment:1112000 · Motor Vehicles:1112010 · Cost - Mortor Vehicle - Other</t>
  </si>
  <si>
    <t>1000000 · Non Current Assets:1100000 · Property, Plant &amp; Equipment:1112000 · Motor Vehicles:1112050 · Cost - Double Cab</t>
  </si>
  <si>
    <t>1000000 · Non Current Assets:1100000 · Property, Plant &amp; Equipment:1112000 · Motor Vehicles:1112100 · Cost - Lorry LE-6012 Lease Hold</t>
  </si>
  <si>
    <t>1000000 · Non Current Assets:1100000 · Property, Plant &amp; Equipment:1112000 · Motor Vehicles:1112500 · Cost - Motor Bikes</t>
  </si>
  <si>
    <t>1000000 · Non Current Assets:1100000 · Property, Plant &amp; Equipment:1112000 · Motor Vehicles:1112900 · Acc. Dep.- Motor Vehicles</t>
  </si>
  <si>
    <t>1000000 · Non Current Assets:1100000 · Property, Plant &amp; Equipment:1113000 · Computers and Accessories:1113010 · Cost - Computers &amp; Accessories</t>
  </si>
  <si>
    <t>1000000 · Non Current Assets:1100000 · Property, Plant &amp; Equipment:1113000 · Computers and Accessories:1113020 · Cost - Safty Camera System</t>
  </si>
  <si>
    <t>1000000 · Non Current Assets:1100000 · Property, Plant &amp; Equipment:1113000 · Computers and Accessories:1113030 · Cost - Access Conrol System</t>
  </si>
  <si>
    <t>1000000 · Non Current Assets:1100000 · Property, Plant &amp; Equipment:1113000 · Computers and Accessories:1113500 · Cost - Software &amp; Programs</t>
  </si>
  <si>
    <t>1000000 · Non Current Assets:1100000 · Property, Plant &amp; Equipment:1113000 · Computers and Accessories:1113900 · Acc. Dep.- Computers &amp; Access.</t>
  </si>
  <si>
    <t>1000000 · Non Current Assets:1100000 · Property, Plant &amp; Equipment:1114000 · Office Equipments:1114010 · Cost - Office Equipment</t>
  </si>
  <si>
    <t>1000000 · Non Current Assets:1100000 · Property, Plant &amp; Equipment:1114000 · Office Equipments:1114900 · Acc. Dep.- Office Equipments</t>
  </si>
  <si>
    <t>1000000 · Non Current Assets:1100000 · Property, Plant &amp; Equipment:1115000 · Furniture &amp; Fittings:1115010 · Cost - Furniture &amp; Fittings</t>
  </si>
  <si>
    <t>1000000 · Non Current Assets:1100000 · Property, Plant &amp; Equipment:1115000 · Furniture &amp; Fittings:1115900 · Acc. Dep.- Furniture &amp; Fittings</t>
  </si>
  <si>
    <t>1000000 · Non Current Assets:1100000 · Property, Plant &amp; Equipment:1116000 · Farm Equipments:1116010 · Cost - Fram Equipments</t>
  </si>
  <si>
    <t>1000000 · Non Current Assets:1100000 · Property, Plant &amp; Equipment:1116000 · Farm Equipments:1116020 · Cost - Generator Lease Hold</t>
  </si>
  <si>
    <t>1000000 · Non Current Assets:1100000 · Property, Plant &amp; Equipment:1116000 · Farm Equipments:1116900 · Acc. Dep.- Fram Equipments</t>
  </si>
  <si>
    <t>1000000 · Non Current Assets:1300000 · Investment - Long Term:1300010 · Aquisition of CTF</t>
  </si>
  <si>
    <t>1500000 · Development Projects:1500010 · Liverock Project 2009/10</t>
  </si>
  <si>
    <t>2300000 · Accounts Payable</t>
  </si>
  <si>
    <t>2100000 · Payroll Liabilities:2100010 · Salary Control Account</t>
  </si>
  <si>
    <t>2100000 · Payroll Liabilities:2100020 · PAYE Tax Payable</t>
  </si>
  <si>
    <t>2100000 · Payroll Liabilities:2100030 · Stamp Duty Payable</t>
  </si>
  <si>
    <t>2100000 · Payroll Liabilities:2100040 · EPF Payable</t>
  </si>
  <si>
    <t>2100000 · Payroll Liabilities:2100050 · ETF Payable</t>
  </si>
  <si>
    <t>2100000 · Payroll Liabilities:2100060 · Retirement Benifits Obligations</t>
  </si>
  <si>
    <t>2200000 · Other Current Liabilities:2200010 · Intercompany Loan CISSL</t>
  </si>
  <si>
    <t>2200000 · Other Current Liabilities:2200020 · WHT Payable</t>
  </si>
  <si>
    <t>2200000 · Other Current Liabilities:2200030 · Value Added Tax Control A/C</t>
  </si>
  <si>
    <t>2200000 · Other Current Liabilities:2200050 · Audit Fees Payable</t>
  </si>
  <si>
    <t>2200000 · Other Current Liabilities:2200060 · ESC Payable</t>
  </si>
  <si>
    <t>2200000 · Other Current Liabilities:2200070 · Professional Fees Payable</t>
  </si>
  <si>
    <t>2200000 · Other Current Liabilities:2201000 · Short Term Browwings:2201010 · Associated Mortor Finance CoLtd</t>
  </si>
  <si>
    <t>2200000 · Other Current Liabilities:2201000 · Short Term Browwings:2201020 · LOFC Lease Creditor - Cab</t>
  </si>
  <si>
    <t>2200000 · Other Current Liabilities:2201000 · Short Term Browwings:2201030 · LOFC Loan (7.5 Mn)</t>
  </si>
  <si>
    <t>2200000 · Other Current Liabilities:2201000 · Short Term Browwings:2201040 · LOFC- Short Term 1Mn</t>
  </si>
  <si>
    <t>2200000 · Other Current Liabilities:2201000 · Short Term Browwings:2201050 · LOFC - Revolving (5Mn)</t>
  </si>
  <si>
    <t>2200000 · Other Current Liabilities:2202000 · Directors Current Accounts</t>
  </si>
  <si>
    <t>2200000 · Other Current Liabilities:2203010 · CIS INTERNATIONAL HOLDINGS</t>
  </si>
  <si>
    <t>2200000 · Other Current Liabilities:2203020 · Orient Logistics (Pvt) Ltd</t>
  </si>
  <si>
    <t>2200000 · Other Current Liabilities:2209000 · Petty Cash Advances - Farm Mgt.</t>
  </si>
  <si>
    <t>2000000 · Long Term Liabilities:2000010 · LOFC Lease Creditor - Generator</t>
  </si>
  <si>
    <t>2000000 · Long Term Liabilities:2000011 · LOFC Term Loan - 3 Mn</t>
  </si>
  <si>
    <t>2000000 · Long Term Liabilities:2000012 · LOFC Loan - 3M (Secondary)</t>
  </si>
  <si>
    <t>2000000 · Long Term Liabilities:2000020 · HNB Lease Creditor - Lorry</t>
  </si>
  <si>
    <t>2000000 · Long Term Liabilities:2000030 · HNB Lease Creditor - Car</t>
  </si>
  <si>
    <t>3000000 · Equity Accounts</t>
  </si>
  <si>
    <t>3000000 · Equity Accounts:3000010 · Stated Capital</t>
  </si>
  <si>
    <t>3000000 · Equity Accounts:3004000 · Revaluation Surplus - F / A</t>
  </si>
  <si>
    <t>32000 · Retained Earnings</t>
  </si>
  <si>
    <t>4000000 · Sales Income:4000010 · Tropical Fish Sales</t>
  </si>
  <si>
    <t>4000000 · Sales Income:4000020 · Live Rocks (Coral) Sales</t>
  </si>
  <si>
    <t>4000000 · Sales Income:4000110 · Packing Income - Reimbusable</t>
  </si>
  <si>
    <t>4000000 · Sales Income:4000120 · Freight Income - Reimbursable</t>
  </si>
  <si>
    <t>4000000 · Sales Income:4000130 · Documentation &amp; Handling Income</t>
  </si>
  <si>
    <t>4100000 · Services Income:4100010 · BackOffice Acc.&amp; IT Consultancy</t>
  </si>
  <si>
    <t>5100000 · Cost of Sales:5100100 · Opening Stock:5100110 · Dried Goods &amp; Salt</t>
  </si>
  <si>
    <t>5100000 · Cost of Sales:5100100 · Opening Stock:5100120 · Live Fish</t>
  </si>
  <si>
    <t>5100000 · Cost of Sales:5100200 · Closing Stock:5100210 · Dried Goods &amp; Salt</t>
  </si>
  <si>
    <t>5100000 · Cost of Sales:5100200 · Closing Stock:5100220 · Live Fish</t>
  </si>
  <si>
    <t>5100000 · Cost of Sales:5101000 · Live Fish, Dry Goods &amp; Packing:5101010 · Live Fish Purchases</t>
  </si>
  <si>
    <t>5100000 · Cost of Sales:5101000 · Live Fish, Dry Goods &amp; Packing:5101020 · Dried Goods Purchases</t>
  </si>
  <si>
    <t>5100000 · Cost of Sales:5101000 · Live Fish, Dry Goods &amp; Packing:5101030 · Salt Purchases</t>
  </si>
  <si>
    <t>5100000 · Cost of Sales:5101000 · Live Fish, Dry Goods &amp; Packing:5101040 · Packing Materials</t>
  </si>
  <si>
    <t>5100000 · Cost of Sales:5102000 · Project Costs (Coral, Cartoon):5102010 · Coral Rock Laying &amp; Harvesting</t>
  </si>
  <si>
    <t>5100000 · Cost of Sales:5103000 · Freight &amp; Handling Charges:5103020 · Handling &amp; Documentation Charge</t>
  </si>
  <si>
    <t>5100000 · Cost of Sales:5103000 · Freight &amp; Handling Charges:5103030 · Imports Freight Charges</t>
  </si>
  <si>
    <t>5100000 · Cost of Sales:5104000 · Direct Labour:5104010 · Wages</t>
  </si>
  <si>
    <t>5100000 · Cost of Sales:5104000 · Direct Labour:5104020 · Labour EPF</t>
  </si>
  <si>
    <t>5100000 · Cost of Sales:5104000 · Direct Labour:5104030 · Labour ETF</t>
  </si>
  <si>
    <t>5100000 · Cost of Sales:5104000 · Direct Labour:5104040 · Farm Labour Allowance</t>
  </si>
  <si>
    <t>5100000 · Cost of Sales:5104000 · Direct Labour:5104050 · Farm Labour OT @ 1.5/hr</t>
  </si>
  <si>
    <t>5100000 · Cost of Sales:5104000 · Direct Labour:5104060 · Farm Labour OT @ 2/hr</t>
  </si>
  <si>
    <t>5100000 · Cost of Sales:5105000 · Direct Farm Overheads:5105030 · Travel Bata - Dry Goods</t>
  </si>
  <si>
    <t>5100000 · Cost of Sales:5105000 · Direct Farm Overheads:5105040 · Travel Bata - Airport</t>
  </si>
  <si>
    <t>5100000 · Cost of Sales:5105000 · Direct Farm Overheads:5105060 · Travel Bata - Fresh Water</t>
  </si>
  <si>
    <t>5000000 · Expenses:5300000 · Head Office Expenses:5301000 · Payroll Expenses:5301020 · Performance Bonus</t>
  </si>
  <si>
    <t>5000000 · Expenses:5300000 · Head Office Expenses:5301000 · Payroll Expenses:5301030 · Fuel &amp; Vehicle Allowance</t>
  </si>
  <si>
    <t>5000000 · Expenses:5300000 · Head Office Expenses:5301000 · Payroll Expenses:5301040 · Other Allowances</t>
  </si>
  <si>
    <t>5000000 · Expenses:5300000 · Head Office Expenses:5301000 · Payroll Expenses:5301080 · Director Fee</t>
  </si>
  <si>
    <t>5000000 · Expenses:5300000 · Head Office Expenses:5302000 · Direct Administration:5302010 · Audit Fees</t>
  </si>
  <si>
    <t>5000000 · Expenses:5300000 · Head Office Expenses:5302000 · Direct Administration:5302020 · Professional Fees</t>
  </si>
  <si>
    <t>5000000 · Expenses:5300000 · Head Office Expenses:5302000 · Direct Administration:5302030 · Staff Welfare</t>
  </si>
  <si>
    <t>5000000 · Expenses:5300000 · Head Office Expenses:5302000 · Direct Administration:5302060 · BOI Annual Fees</t>
  </si>
  <si>
    <t>5000000 · Expenses:5300000 · Head Office Expenses:5302000 · Direct Administration:5302070 · Dues &amp; Subscriptions</t>
  </si>
  <si>
    <t>5000000 · Expenses:5300000 · Head Office Expenses:5302000 · Direct Administration:5302080 · Postage,Printing &amp; Stationeries</t>
  </si>
  <si>
    <t>5000000 · Expenses:5300000 · Head Office Expenses:5302000 · Direct Administration:5302090 · Computer Equipment Maintenance</t>
  </si>
  <si>
    <t>5000000 · Expenses:5300000 · Head Office Expenses:5302000 · Direct Administration:5302100 · General Repairs &amp; Maintenance</t>
  </si>
  <si>
    <t>5000000 · Expenses:5300000 · Head Office Expenses:5302000 · Direct Administration:5302110 · Rates and Taxes</t>
  </si>
  <si>
    <t>5000000 · Expenses:5300000 · Head Office Expenses:5303000 · Communication Expenses:5303010 · Land Line No.011-2873980</t>
  </si>
  <si>
    <t>5000000 · Expenses:5300000 · Head Office Expenses:5303000 · Communication Expenses:5303020 · Leased Line Charges</t>
  </si>
  <si>
    <t>5000000 · Expenses:5300000 · Head Office Expenses:5303000 · Communication Expenses:5303030 · Mobile Bills</t>
  </si>
  <si>
    <t>5000000 · Expenses:5300000 · Head Office Expenses:5303000 · Communication Expenses:5303040 · Broadband Bills</t>
  </si>
  <si>
    <t>5000000 · Expenses:5300000 · Head Office Expenses:5303000 · Communication Expenses:5303050 · VPN Charges</t>
  </si>
  <si>
    <t>5000000 · Expenses:5300000 · Head Office Expenses:5303000 · Communication Expenses:5303070 · VOIP Charges</t>
  </si>
  <si>
    <t>5000000 · Expenses:5300000 · Head Office Expenses:5304000 · Utility Expenses:5304010 · Water Bottles - Drinking</t>
  </si>
  <si>
    <t>5000000 · Expenses:5300000 · Head Office Expenses:5304000 · Utility Expenses:5304020 · Water Charges</t>
  </si>
  <si>
    <t>5000000 · Expenses:5300000 · Head Office Expenses:5304000 · Utility Expenses:5304030 · Rent - Head Office</t>
  </si>
  <si>
    <t>5000000 · Expenses:5300000 · Head Office Expenses:5304000 · Utility Expenses:5304040 · Electricity Head Office</t>
  </si>
  <si>
    <t>5000000 · Expenses:5300000 · Head Office Expenses:5305000 · Travelling &amp; Transport:5305030 · Vehicle Maintenance Expenses</t>
  </si>
  <si>
    <t>5000000 · Expenses:5300000 · Head Office Expenses:5305000 · Travelling &amp; Transport:5305040 · Foreign Travelling</t>
  </si>
  <si>
    <t>5000000 · Expenses:5300000 · Head Office Expenses:5305000 · Travelling &amp; Transport:5305060 · Travelling Charges</t>
  </si>
  <si>
    <t>5000000 · Expenses:5300000 · Head Office Expenses:5306000 · Depreciation Expenses:5306020 · Motor Vehicles - Depreciations</t>
  </si>
  <si>
    <t>5000000 · Expenses:5300000 · Head Office Expenses:5306000 · Depreciation Expenses:5306030 · Computers &amp; Accessories-Depreci</t>
  </si>
  <si>
    <t>5000000 · Expenses:5300000 · Head Office Expenses:5306000 · Depreciation Expenses:5306040 · Office Equipments-Depreciations</t>
  </si>
  <si>
    <t>5000000 · Expenses:5300000 · Head Office Expenses:5306000 · Depreciation Expenses:5306050 · Furniture &amp; Fittings-Depreciati</t>
  </si>
  <si>
    <t>5000000 · Expenses:5300000 · Head Office Expenses:5307000 · Selling &amp; Distribution Expenses:5307010 · Advertisment Expenses</t>
  </si>
  <si>
    <t>5000000 · Expenses:5300000 · Head Office Expenses:5308000 · Finance &amp; Other Charges:5308010 · Debit Tax Expense</t>
  </si>
  <si>
    <t>5000000 · Expenses:5300000 · Head Office Expenses:5308000 · Finance &amp; Other Charges:5308020 · Bank Charges</t>
  </si>
  <si>
    <t>5000000 · Expenses:5300000 · Head Office Expenses:5308000 · Finance &amp; Other Charges:5308030 · Interest Expense - Overdraft</t>
  </si>
  <si>
    <t>5000000 · Expenses:5300000 · Head Office Expenses:5308000 · Finance &amp; Other Charges:5308040 · Loan Interests Expenses</t>
  </si>
  <si>
    <t>5000000 · Expenses:5300000 · Head Office Expenses:5308000 · Finance &amp; Other Charges:5309100 · Surcharges &amp; Panalties</t>
  </si>
  <si>
    <t>4200000 · Other Income Accounts:4200010 · Sales of Discards</t>
  </si>
  <si>
    <t>4200000 · Other Income Accounts:4200020 · Sales of Produce</t>
  </si>
  <si>
    <t>4200000 · Other Income Accounts:4200030 · Exchange Gain or Loss</t>
  </si>
  <si>
    <t>4200000 · Other Income Accounts:4200060 · Claims Against Losses / Damages</t>
  </si>
  <si>
    <t>5400000 · Expenses on Produce Income</t>
  </si>
  <si>
    <t>Fixed Assets Advance</t>
  </si>
  <si>
    <t>Vehicle Hiring Deposit</t>
  </si>
  <si>
    <t>Amortization Cost</t>
  </si>
  <si>
    <t>Cash at Bank</t>
  </si>
  <si>
    <t>VAT</t>
  </si>
  <si>
    <t>Sale pros</t>
  </si>
  <si>
    <t>Cash Flows from Operating Activities</t>
  </si>
  <si>
    <t xml:space="preserve">Cash Flows from Investing Activities </t>
  </si>
  <si>
    <t xml:space="preserve">Cash Flows from Financing Activities </t>
  </si>
  <si>
    <t>Net Changes in Cash and Cash Equivalents During the Year</t>
  </si>
  <si>
    <t>CIS International (Private) Limited</t>
  </si>
  <si>
    <t>Colombo Tropical Fish (Private) Limited</t>
  </si>
  <si>
    <t>Live Rocks (Coral) Sales</t>
  </si>
  <si>
    <t>Profit on Disposal of Property, Plant and Equipment</t>
  </si>
  <si>
    <t>Taxes and Levies</t>
  </si>
  <si>
    <t>Term Loans</t>
  </si>
  <si>
    <t>Balance C / F</t>
  </si>
  <si>
    <t>Investment in  Subsidiaries</t>
  </si>
  <si>
    <t>Balance B / F</t>
  </si>
  <si>
    <t>Intangible Assets</t>
  </si>
  <si>
    <t>Director Fees</t>
  </si>
  <si>
    <t>1600000 · Other Current Assets Accounts:1600050 · Cups &amp; Lids Lable Stock</t>
  </si>
  <si>
    <t>1600000 · Other Current Assets Accounts:1600060 · Cardboard Cartoon Boxes Invento</t>
  </si>
  <si>
    <t>1600000 · Other Current Assets Accounts:1605000 · Prepayments:1605030 · Leases</t>
  </si>
  <si>
    <t>1600000 · Other Current Assets Accounts:1606010 · Teknowledge Shared Services (Pv</t>
  </si>
  <si>
    <t>1600000 · Other Current Assets Accounts:1606040 · Colombo Tropical Fish Internati</t>
  </si>
  <si>
    <t>1000000 · Non Current Assets:1100000 · Property, Plant &amp; Equipment:1111000 · Land and Buildings:1111020 · Cost - Land at Wadduwa - 1</t>
  </si>
  <si>
    <t>1000000 · Non Current Assets:1100000 · Property, Plant &amp; Equipment:1111000 · Land and Buildings:1111021 · Cost - Land at Wadduwa - 2</t>
  </si>
  <si>
    <t>1000000 · Non Current Assets:1100000 · Property, Plant &amp; Equipment:1111000 · Land and Buildings:1111050 · Cost - Land at Ingiriya - 1</t>
  </si>
  <si>
    <t>1000000 · Non Current Assets:1100000 · Property, Plant &amp; Equipment:1111000 · Land and Buildings:1111051 · Cost - Land @ Ingiriya - 2</t>
  </si>
  <si>
    <t>1000000 · Non Current Assets:1100000 · Property, Plant &amp; Equipment:1111000 · Land and Buildings:1111101 · Cost - Lightning Protector</t>
  </si>
  <si>
    <t>1000000 · Non Current Assets:1100000 · Property, Plant &amp; Equipment:1111000 · Land and Buildings:1111102 · Cost - Security Hut</t>
  </si>
  <si>
    <t>1000000 · Non Current Assets:1100000 · Property, Plant &amp; Equipment:1111000 · Land and Buildings:1111103 · 03 Phase Electricity Connection</t>
  </si>
  <si>
    <t>1000000 · Non Current Assets:1100000 · Property, Plant &amp; Equipment:1111000 · Land and Buildings:1111200 · Cost - Buildings @ Wadduwa</t>
  </si>
  <si>
    <t>1000000 · Non Current Assets:1100000 · Property, Plant &amp; Equipment:1111000 · Land and Buildings:1111220 · Cost - Fish Tanks @ Wadduwa</t>
  </si>
  <si>
    <t>1000000 · Non Current Assets:1100000 · Property, Plant &amp; Equipment:1111000 · Land and Buildings:1111310 · Cost - Madala Ponds</t>
  </si>
  <si>
    <t>1000000 · Non Current Assets:1100000 · Property, Plant &amp; Equipment:1112000 · Motor Vehicles:1112060 · Cost - Motor Car - KN-9583 Toyo</t>
  </si>
  <si>
    <t>1000000 · Non Current Assets:1100000 · Property, Plant &amp; Equipment:1116000 · Farm Equipments:1116030 · Cost - Farm Motor and Blowers</t>
  </si>
  <si>
    <t>1000000 · Non Current Assets:1100000 · Property, Plant &amp; Equipment:1117000 · Wadduwa Equipments:1116040 · Cost - Wadduwa Equipments</t>
  </si>
  <si>
    <t>1000000 · Non Current Assets:1100000 · Property, Plant &amp; Equipment:1117000 · Wadduwa Equipments:1117900 · Acc. Dep.- Wadduwa Equipments</t>
  </si>
  <si>
    <t>1000000 · Non Current Assets:1100000 · Property, Plant &amp; Equipment:1118000 · Construction-Agri Machenery/Equ:1118010 · Cost - Cons./ Agri Machineries</t>
  </si>
  <si>
    <t>1000000 · Non Current Assets:1100000 · Property, Plant &amp; Equipment:1118000 · Construction-Agri Machenery/Equ:1118020 · Cost -Agri/Cons. Machinery Yard</t>
  </si>
  <si>
    <t>1000000 · Non Current Assets:1100000 · Property, Plant &amp; Equipment:1118000 · Construction-Agri Machenery/Equ:1118900 · Acc. Dep.- Agri/ Construction M</t>
  </si>
  <si>
    <t>2000000 · Long Term Liabilities:2000040 · HNB Loan - 003040063762</t>
  </si>
  <si>
    <t>2000000 · Long Term Liabilities:2000050 · HNB Loan - 003040084598</t>
  </si>
  <si>
    <t>4000000 · Sales Income:4000040 · Cartoon + Styrofoam Combination</t>
  </si>
  <si>
    <t>5100000 · Cost of Sales:5102000 · Project Costs (Coral, Cartoon):5102020 · Cardboard Cartoon Boxes</t>
  </si>
  <si>
    <t>5000000 · Expenses:5300000 · Head Office Expenses:5302000 · Direct Administration:5302050 · Staff Recruitment &amp; Training</t>
  </si>
  <si>
    <t>5000000 · Expenses:5300000 · Head Office Expenses:5302000 · Direct Administration:5302130 · Fuel for Generator</t>
  </si>
  <si>
    <t>5000000 · Expenses:5300000 · Head Office Expenses:5305000 · Travelling &amp; Transport:5305070 · Vehicle License and Renewals</t>
  </si>
  <si>
    <t>5000000 · Expenses:5300000 · Head Office Expenses:5305000 · Travelling &amp; Transport:5305080 · Fuel for van</t>
  </si>
  <si>
    <t>5000000 · Expenses:5300000 · Head Office Expenses:5308000 · Finance &amp; Other Charges:5308080 · CSR Projects</t>
  </si>
  <si>
    <t>Sundries</t>
  </si>
  <si>
    <t>Acquisition of Intangible Assets</t>
  </si>
  <si>
    <r>
      <t xml:space="preserve">Lease Obligation - </t>
    </r>
    <r>
      <rPr>
        <i/>
        <sz val="10"/>
        <color indexed="8"/>
        <rFont val="Times New Roman"/>
        <family val="1"/>
      </rPr>
      <t>Settlement Fall Due Within One Year</t>
    </r>
  </si>
  <si>
    <r>
      <t xml:space="preserve">Lease Obligation - </t>
    </r>
    <r>
      <rPr>
        <i/>
        <sz val="10"/>
        <color indexed="8"/>
        <rFont val="Times New Roman"/>
        <family val="1"/>
      </rPr>
      <t>Settlement Fall Due  More Than One Year</t>
    </r>
  </si>
  <si>
    <t>Provision for Gratuity</t>
  </si>
  <si>
    <t>Interest Expenses</t>
  </si>
  <si>
    <t>Bank Overdrafts</t>
  </si>
  <si>
    <t>Coral Rock Laying and Harvesting</t>
  </si>
  <si>
    <t>Prepaid Expenses</t>
  </si>
  <si>
    <t>Cash in hand</t>
  </si>
  <si>
    <t>5000000 · Expenses:5300000 · Head Office Expenses:5308000 · Finance &amp; Other Charges:5308070 · Disallowable VAT</t>
  </si>
  <si>
    <t>LOFC Loan (Revolving) 5Mn</t>
  </si>
  <si>
    <t>Live Rock Project</t>
  </si>
  <si>
    <t>Retirement Benefits Obligation</t>
  </si>
  <si>
    <t xml:space="preserve">Inventories as at 01 January </t>
  </si>
  <si>
    <t xml:space="preserve">Inventories as at 31 December </t>
  </si>
  <si>
    <t xml:space="preserve">Balance at 01 January </t>
  </si>
  <si>
    <t>Balance at 31 December</t>
  </si>
  <si>
    <t>Total Comprehensive Income for the Year</t>
  </si>
  <si>
    <t xml:space="preserve">Operating Profit Before Working Capital </t>
  </si>
  <si>
    <t>Directors' Current Accounts</t>
  </si>
  <si>
    <t>Cartoon, Styrofoam Combination</t>
  </si>
  <si>
    <t>Casual Labor Cost</t>
  </si>
  <si>
    <t>Profit from dis as per Ledger</t>
  </si>
  <si>
    <t>1630000 · Bank Current and Cash Accounts:1630020 · HNB FCBU (US$) Account</t>
  </si>
  <si>
    <t>1630000 · Bank Current and Cash Accounts:1630060 · BOC - Nugegoda-LKR Current A/c</t>
  </si>
  <si>
    <t>1630000 · Bank Current and Cash Accounts:1630070 · BOC - Offshore US$ Current A/c</t>
  </si>
  <si>
    <t>1630000 · Bank Current and Cash Accounts:1630080 · BOC - Offshore US$ Savings A/c</t>
  </si>
  <si>
    <t>1630000 · Bank Current and Cash Accounts:1630199 · Bank Errors Adjustment Account</t>
  </si>
  <si>
    <t>1630000 · Bank Current and Cash Accounts:1631000 · Petty Cash Floats &amp; Advances</t>
  </si>
  <si>
    <t>1630000 · Bank Current and Cash Accounts:1631000 · Petty Cash Floats &amp; Advances:1631010 · General Float - Head Office</t>
  </si>
  <si>
    <t>1630000 · Bank Current and Cash Accounts:1631000 · Petty Cash Floats &amp; Advances:1631011 · Provisions Float</t>
  </si>
  <si>
    <t>1630000 · Bank Current and Cash Accounts:1631000 · Petty Cash Floats &amp; Advances:1631020 · Petty Cash Float -Diyatha Uyana</t>
  </si>
  <si>
    <t>1630000 · Bank Current and Cash Accounts:1631000 · Petty Cash Floats &amp; Advances:1631030 · Diyatha Uyana Sales Receipt A/c</t>
  </si>
  <si>
    <t>1630000 · Bank Current and Cash Accounts:1631000 · Petty Cash Floats &amp; Advances:1631100 · General Float - Wagawatta Farm</t>
  </si>
  <si>
    <t>1630000 · Bank Current and Cash Accounts:1631000 · Petty Cash Floats &amp; Advances:1631101 · Fresh Water Fish</t>
  </si>
  <si>
    <t>1630000 · Bank Current and Cash Accounts:1631000 · Petty Cash Floats &amp; Advances:1631102 · Sea Water Fish</t>
  </si>
  <si>
    <t>1630000 · Bank Current and Cash Accounts:1631000 · Petty Cash Floats &amp; Advances:1631103 · Repair &amp; Maintenance</t>
  </si>
  <si>
    <t>1630000 · Bank Current and Cash Accounts:1631000 · Petty Cash Floats &amp; Advances:1631104 · Petty Cash - Farm</t>
  </si>
  <si>
    <t>1630000 · Bank Current and Cash Accounts:1631000 · Petty Cash Floats &amp; Advances:1631110 · Dry Goods Float -Wagawatta Farm</t>
  </si>
  <si>
    <t>1630000 · Bank Current and Cash Accounts:1631000 · Petty Cash Floats &amp; Advances:1631400 · General Float - Wadduwa Farm</t>
  </si>
  <si>
    <t>1630000 · Bank Current and Cash Accounts:1631000 · Petty Cash Floats &amp; Advances:1631410 · Dry Goods Float - Wadduwa Farm</t>
  </si>
  <si>
    <t>1630000 · Bank Current and Cash Accounts:1631000 · Petty Cash Floats &amp; Advances:1631500 · Project Float - Madala@Ingiriya</t>
  </si>
  <si>
    <t>1630000 · Bank Current and Cash Accounts:1631000 · Petty Cash Floats &amp; Advances:1632000 · Advances for Fish Purchases</t>
  </si>
  <si>
    <t>1630000 · Bank Current and Cash Accounts:1631000 · Petty Cash Floats &amp; Advances:1632010 · Advances for Live Rocks</t>
  </si>
  <si>
    <t>1630000 · Bank Current and Cash Accounts:1631000 · Petty Cash Floats &amp; Advances:1632020 · Advances Cardboard Box Project</t>
  </si>
  <si>
    <t>1630302 · CIS International (Pvt) Ltd</t>
  </si>
  <si>
    <t>1120 · Inventory Asset</t>
  </si>
  <si>
    <t>1600000 · Other Current Assets Accounts:1600011 · Fish Inventory - Diyatha Uyana</t>
  </si>
  <si>
    <t>1600000 · Other Current Assets Accounts:1600012 · Accessories Inveontory - Diyath</t>
  </si>
  <si>
    <t>1600000 · Other Current Assets Accounts:1601000 · Advances</t>
  </si>
  <si>
    <t>1600000 · Other Current Assets Accounts:1601000 · Advances:1601060 · Petty Cash Advances</t>
  </si>
  <si>
    <t>1600000 · Other Current Assets Accounts:1603000 · Refundable Deposits:1603050 · Diyatha Uyana</t>
  </si>
  <si>
    <t>1600000 · Other Current Assets Accounts:1605000 · Prepayments:1605010 · Insurance</t>
  </si>
  <si>
    <t>1000000 · Non Current Assets:1100000 · Property, Plant &amp; Equipment:1111000 · Land and Buildings:1111052 · Cost @ Nawala Land</t>
  </si>
  <si>
    <t>1000000 · Non Current Assets:1100000 · Property, Plant &amp; Equipment:1112000 · Motor Vehicles:1112110 · Cost - CrewCabLK-7144Lease Hold</t>
  </si>
  <si>
    <t>1000000 · Non Current Assets:1100000 · Property, Plant &amp; Equipment:1112000 · Motor Vehicles:1112120 · Cost - Truck PP 9611 (CTF)</t>
  </si>
  <si>
    <t>1000000 · Non Current Assets:1100000 · Property, Plant &amp; Equipment:1112000 · Motor Vehicles:1112130 · Cost - Jeep JG-5321 Lease Hold</t>
  </si>
  <si>
    <t>1000000 · Non Current Assets:1100000 · Property, Plant &amp; Equipment:1112000 · Motor Vehicles:1112140 · Cost - Toyota Pick-Up LK-0500</t>
  </si>
  <si>
    <t>1000000 · Non Current Assets:1100000 · Property, Plant &amp; Equipment:1112000 · Motor Vehicles:1112150 · Cost - Susuki Swift WP KF-6766</t>
  </si>
  <si>
    <t>1000000 · Non Current Assets:1100000 · Property, Plant &amp; Equipment:1115000 · Furniture &amp; Fittings</t>
  </si>
  <si>
    <t>1000000 · Non Current Assets:1100000 · Property, Plant &amp; Equipment:1117000 · Wadduwa Equipments:1117020 · Cost - Wadduwa Furniture &amp; Fitt</t>
  </si>
  <si>
    <t>1000000 · Non Current Assets:1120000 · Work In Progress</t>
  </si>
  <si>
    <t>1000000 · Non Current Assets:1120000 · Work In Progress:1120010 · Cost - Wadduwa Land (WIP)</t>
  </si>
  <si>
    <t>1000000 · Non Current Assets:1120000 · Work In Progress:1120020 · Cost - Wadduwa New Land (WIP)</t>
  </si>
  <si>
    <t>1000000 · Non Current Assets:1120000 · Work In Progress:1120030 · Cost - Ingiriya Project (WIP)</t>
  </si>
  <si>
    <t>1000000 · Non Current Assets:1120000 · Work In Progress:1120040 · Cost - Diyatha Uyana Project</t>
  </si>
  <si>
    <t>1000000 · Non Current Assets:1120000 · Work In Progress:1120050 · Cost - Kalpitiya Project - WIP</t>
  </si>
  <si>
    <t>1000000 · Non Current Assets:1200000 · Fixed Deposits</t>
  </si>
  <si>
    <t>2400000 · Credit Cards:2400010 · C.I. Sam 5179-6400-1008-4108</t>
  </si>
  <si>
    <t>2400000 · Credit Cards:2400020 · H.K.V. Sam 5179-6400-1008-4157</t>
  </si>
  <si>
    <t>2200000 · Other Current Liabilities:2201000 · Short Term Browwings:2201060 · BOC - Export Bill Purchases</t>
  </si>
  <si>
    <t>2000000 · Long Term Liabilities:2000060 · LB Finance Lease - Crew Cab</t>
  </si>
  <si>
    <t>2000000 · Long Term Liabilities:2000070 · LB Finance Lease - Jeep JG-5321</t>
  </si>
  <si>
    <t>2000000 · Long Term Liabilities:2000080 · NDB Leasing-SusukiSwift KF-6766</t>
  </si>
  <si>
    <t>2000000 · Long Term Liabilities:2000090 · NDB Leasing-ToyotaPickUpLK-0050</t>
  </si>
  <si>
    <t>4000000 · Sales Income:4001000 · Diyatha Uyana - Sales Outlet:4001010 · Live Fish Sales</t>
  </si>
  <si>
    <t>4000000 · Sales Income:4001000 · Diyatha Uyana - Sales Outlet:4001020 · Accessories Sales - Diyatha  Uy</t>
  </si>
  <si>
    <t>4000000 · Sales Income:4001000 · Diyatha Uyana - Sales Outlet:4001060 · Live Fish Purchases</t>
  </si>
  <si>
    <t>4000000 · Sales Income:4001000 · Diyatha Uyana - Sales Outlet:4001061 · Fish Feeds - Diyatha Uyana</t>
  </si>
  <si>
    <t>4000000 · Sales Income:4001000 · Diyatha Uyana - Sales Outlet:4001070 · Accessories Purchases - Diyatha</t>
  </si>
  <si>
    <t>4000000 · Sales Income:4001000 · Diyatha Uyana - Sales Outlet:4001090 · Stall Fees &amp; Monthly Charges</t>
  </si>
  <si>
    <t>4000000 · Sales Income:4001000 · Diyatha Uyana - Sales Outlet:4001100 · Staff Travelling - Diyatha Uyan</t>
  </si>
  <si>
    <t>4000000 · Sales Income:4001000 · Diyatha Uyana - Sales Outlet:4001110 · Staff Meals - Diyatha Uyana</t>
  </si>
  <si>
    <t>4000000 · Sales Income:4001000 · Diyatha Uyana - Sales Outlet:4001111 · Staff Welfare - Diyatha Uyana</t>
  </si>
  <si>
    <t>4000000 · Sales Income:4001000 · Diyatha Uyana - Sales Outlet:4001120 · Traveling &amp; Transport - Diyatha</t>
  </si>
  <si>
    <t>4000000 · Sales Income:4001000 · Diyatha Uyana - Sales Outlet:4001130 · Tools, Equip &amp; Maintanance</t>
  </si>
  <si>
    <t>4000000 · Sales Income:4001000 · Diyatha Uyana - Sales Outlet:4001140 · Postage and Printing Charges</t>
  </si>
  <si>
    <t>4000000 · Sales Income:4001000 · Diyatha Uyana - Sales Outlet:4001170 · Fish Feeds for Fish</t>
  </si>
  <si>
    <t>4000000 · Sales Income:4001000 · Diyatha Uyana - Sales Outlet:4001200 · Salary &amp; Wages - Diyatha Uyana</t>
  </si>
  <si>
    <t>4000000 · Sales Income:4001000 · Diyatha Uyana - Sales Outlet:4001300 · Packing Material For Diyatha</t>
  </si>
  <si>
    <t>5100000 · Cost of Sales:5103000 · Freight &amp; Handling Charges:5103010 · Export Freight  - Live Fish</t>
  </si>
  <si>
    <t>5100000 · Cost of Sales:5103000 · Freight &amp; Handling Charges:5103011 · Export Freight - Live Rock</t>
  </si>
  <si>
    <t>5100000 · Cost of Sales:5103000 · Freight &amp; Handling Charges:5103012 · Export Freight - Other</t>
  </si>
  <si>
    <t>5100000 · Cost of Sales:5105000 · Direct Farm Overheads:5105020 · Fresh Water Transport</t>
  </si>
  <si>
    <t>5000000 · Expenses:5200000 · Wagawatta Farm Expenses:5201000 · Indirect Expenses:5201010 · Farm Generator Expenses</t>
  </si>
  <si>
    <t>5000000 · Expenses:5200000 · Wagawatta Farm Expenses:5201000 · Indirect Expenses:5201020 · Farm Electricity Expenses</t>
  </si>
  <si>
    <t>5000000 · Expenses:5200000 · Wagawatta Farm Expenses:5201000 · Indirect Expenses:5201030 · Farm Casual Labour Expenses</t>
  </si>
  <si>
    <t>5000000 · Expenses:5200000 · Wagawatta Farm Expenses:5201000 · Indirect Expenses:5201040 · Farm Staff Welfare</t>
  </si>
  <si>
    <t>5000000 · Expenses:5200000 · Wagawatta Farm Expenses:5201000 · Indirect Expenses:5201041 · Drinking Water  - SL Farm</t>
  </si>
  <si>
    <t>5000000 · Expenses:5200000 · Wagawatta Farm Expenses:5201000 · Indirect Expenses:5201050 · Farm Hotel &amp; Lodging Expenses:5201052 · Foods &amp; Beverages</t>
  </si>
  <si>
    <t>5000000 · Expenses:5200000 · Wagawatta Farm Expenses:5201000 · Indirect Expenses:5201060 · Horana farm meals &amp; refreshment</t>
  </si>
  <si>
    <t>5000000 · Expenses:5200000 · Wagawatta Farm Expenses:5201000 · Indirect Expenses:5201080 · Transpotation Expenses</t>
  </si>
  <si>
    <t>5000000 · Expenses:5200000 · Wagawatta Farm Expenses:5201000 · Indirect Expenses:5201090 · Farm Insurance Expenses:5201092 · Vehicle Insurances</t>
  </si>
  <si>
    <t>5000000 · Expenses:5200000 · Wagawatta Farm Expenses:5201000 · Indirect Expenses:5201100 · Farm Professional Expenses</t>
  </si>
  <si>
    <t>5000000 · Expenses:5200000 · Wagawatta Farm Expenses:5202000 · Payroll Expenses:5202010 · Farm Management Salary</t>
  </si>
  <si>
    <t>5000000 · Expenses:5200000 · Wagawatta Farm Expenses:5202000 · Payroll Expenses:5202020 · Farm Management EPF</t>
  </si>
  <si>
    <t>5000000 · Expenses:5200000 · Wagawatta Farm Expenses:5202000 · Payroll Expenses:5202030 · Farm Management ETF</t>
  </si>
  <si>
    <t>5000000 · Expenses:5200000 · Wagawatta Farm Expenses:5202000 · Payroll Expenses:5202050 · Farm Mgt. Car &amp; Fuel  Allowance</t>
  </si>
  <si>
    <t>5000000 · Expenses:5200000 · Wagawatta Farm Expenses:5202000 · Payroll Expenses:5202060 · Farm Mgt. Performance Bonus</t>
  </si>
  <si>
    <t>5000000 · Expenses:5200000 · Wagawatta Farm Expenses:5202000 · Payroll Expenses:5202080 · Farm Excess Comunication</t>
  </si>
  <si>
    <t>5000000 · Expenses:5200000 · Wagawatta Farm Expenses:5203000 · Farm Communication Expenses:5203020 · Farm Land Line No.034-3448849</t>
  </si>
  <si>
    <t>5000000 · Expenses:5200000 · Wagawatta Farm Expenses:5203000 · Farm Communication Expenses:5203030 · Farm Land Line No.034-2255690</t>
  </si>
  <si>
    <t>5000000 · Expenses:5200000 · Wagawatta Farm Expenses:5203000 · Farm Communication Expenses:5203040 · Farm BroadBand Charges</t>
  </si>
  <si>
    <t>5000000 · Expenses:5200000 · Wagawatta Farm Expenses:5203000 · Farm Communication Expenses:5203060 · Farm Mobile Charges</t>
  </si>
  <si>
    <t>5000000 · Expenses:5200000 · Wagawatta Farm Expenses:5203000 · Farm Communication Expenses:5203070 · VPN Charges - SLT</t>
  </si>
  <si>
    <t>5000000 · Expenses:5200000 · Wagawatta Farm Expenses:5204000 · Farm Vehicle Expenses:5204010 · Vehicle Repair &amp; Maintanance</t>
  </si>
  <si>
    <t>5000000 · Expenses:5200000 · Wagawatta Farm Expenses:5204000 · Farm Vehicle Expenses:5204020 · Vehicle Registration &amp; Renewal</t>
  </si>
  <si>
    <t>5000000 · Expenses:5200000 · Wagawatta Farm Expenses:5204000 · Farm Vehicle Expenses:5204030 · Tyres Replacement &amp; Repair</t>
  </si>
  <si>
    <t>5000000 · Expenses:5200000 · Wagawatta Farm Expenses:5204000 · Farm Vehicle Expenses:5204040 · Farm Vehicle Services Expenses</t>
  </si>
  <si>
    <t>5000000 · Expenses:5200000 · Wagawatta Farm Expenses:5204000 · Farm Vehicle Expenses:5204050 · Farm Bikes Fuel Expenses</t>
  </si>
  <si>
    <t>5000000 · Expenses:5200000 · Wagawatta Farm Expenses:5204000 · Farm Vehicle Expenses:5204060 · Farm Van Fuel Expenses</t>
  </si>
  <si>
    <t>5000000 · Expenses:5200000 · Wagawatta Farm Expenses:5204000 · Farm Vehicle Expenses:5204070 · Farm Lorry Fuel Expenses</t>
  </si>
  <si>
    <t>5000000 · Expenses:5200000 · Wagawatta Farm Expenses:5204000 · Farm Vehicle Expenses:5204090 · Farm Cab Fuel Expenses</t>
  </si>
  <si>
    <t>5000000 · Expenses:5200000 · Wagawatta Farm Expenses:5205000 · Other Farm Overheads:5205010 · Maintenance - Farm Equipments</t>
  </si>
  <si>
    <t>5000000 · Expenses:5200000 · Wagawatta Farm Expenses:5205000 · Other Farm Overheads:5205030 · Farm Tools Expenses</t>
  </si>
  <si>
    <t>5000000 · Expenses:5200000 · Wagawatta Farm Expenses:5205000 · Other Farm Overheads:5205040 · General Repair &amp; Maintanance</t>
  </si>
  <si>
    <t>5000000 · Expenses:5200000 · Wagawatta Farm Expenses:5205000 · Other Farm Overheads:5205050 · Postage,Printing &amp; Stationeries</t>
  </si>
  <si>
    <t>5000000 · Expenses:5200000 · Wagawatta Farm Expenses:5205000 · Other Farm Overheads:5205060 · Security Expenses</t>
  </si>
  <si>
    <t>5000000 · Expenses:5200000 · Wagawatta Farm Expenses:5205000 · Other Farm Overheads:5205070 · Supplier Visit Expenses</t>
  </si>
  <si>
    <t>5000000 · Expenses:5200000 · Wagawatta Farm Expenses:5205000 · Other Farm Overheads:5205080 · Depreciations - Buildings</t>
  </si>
  <si>
    <t>5000000 · Expenses:5200000 · Wagawatta Farm Expenses:5205000 · Other Farm Overheads:5205090 · Depreciations - Motor Vehicles</t>
  </si>
  <si>
    <t>5000000 · Expenses:5200000 · Wagawatta Farm Expenses:5205000 · Other Farm Overheads:5205100 · Depreciations - Fram Equipments</t>
  </si>
  <si>
    <t>5000000 · Expenses:5200000 · Wagawatta Farm Expenses:5205000 · Other Farm Overheads:5205990 · Miscellaneous Expenses</t>
  </si>
  <si>
    <t>5000000 · Expenses:5200000 · Wagawatta Farm Expenses:5206000 · Finance &amp; Other Charges:5206010 · Long Term Loan Interests</t>
  </si>
  <si>
    <t>5000000 · Expenses:5200000 · Wagawatta Farm Expenses:5206000 · Finance &amp; Other Charges:5206020 · Short Term Loan Interests</t>
  </si>
  <si>
    <t>5000000 · Expenses:5200000 · Wagawatta Farm Expenses:5206000 · Finance &amp; Other Charges:5206030 · Lease Interests</t>
  </si>
  <si>
    <t>5000000 · Expenses:5200000 · Wagawatta Farm Expenses:5206000 · Finance &amp; Other Charges:5206040 · Bank Charges</t>
  </si>
  <si>
    <t>5000000 · Expenses:5200000 · Wagawatta Farm Expenses:5206000 · Finance &amp; Other Charges:5206060 · Overdraft Interests</t>
  </si>
  <si>
    <t>5000000 · Expenses:5200000 · Wagawatta Farm Expenses:5206000 · Finance &amp; Other Charges:5206080 · Exhibition &amp; Business Promotion</t>
  </si>
  <si>
    <t>5000000 · Expenses:5200000 · Wagawatta Farm Expenses:5206000 · Finance &amp; Other Charges:5206110 · Taxes and Levyies</t>
  </si>
  <si>
    <t>5000000 · Expenses:5210000 · Wadduwa Farm Expenses:5211000 · Wadduwa Administration Expense:5211010 · Generator Expense - Wadduwa</t>
  </si>
  <si>
    <t>5000000 · Expenses:5210000 · Wadduwa Farm Expenses:5211000 · Wadduwa Administration Expense:5211011 · Water Moter Fuel Expenses</t>
  </si>
  <si>
    <t>5000000 · Expenses:5210000 · Wadduwa Farm Expenses:5211000 · Wadduwa Administration Expense:5211020 · Electricity Expenses</t>
  </si>
  <si>
    <t>5000000 · Expenses:5210000 · Wadduwa Farm Expenses:5211000 · Wadduwa Administration Expense:5211030 · Casual Labour Exp. Wadduwa</t>
  </si>
  <si>
    <t>5000000 · Expenses:5210000 · Wadduwa Farm Expenses:5211000 · Wadduwa Administration Expense:5211040 · Staff Welfare - Wadduwa</t>
  </si>
  <si>
    <t>5000000 · Expenses:5210000 · Wadduwa Farm Expenses:5211000 · Wadduwa Administration Expense:5211050 · Water Charges - Wadduwa</t>
  </si>
  <si>
    <t>5000000 · Expenses:5210000 · Wadduwa Farm Expenses:5211000 · Wadduwa Administration Expense:5211051 · Drinking Water Bottles</t>
  </si>
  <si>
    <t>5000000 · Expenses:5210000 · Wadduwa Farm Expenses:5211000 · Wadduwa Administration Expense:5211060 · Professional Fees - Wadduwa</t>
  </si>
  <si>
    <t>5000000 · Expenses:5210000 · Wadduwa Farm Expenses:5211000 · Wadduwa Administration Expense:5211080 · Transportation Expenses</t>
  </si>
  <si>
    <t>5000000 · Expenses:5210000 · Wadduwa Farm Expenses:5212000 · Wadduwa Salary Expenses:5212010 · Management Salary - Wadduwa</t>
  </si>
  <si>
    <t>5000000 · Expenses:5210000 · Wadduwa Farm Expenses:5212000 · Wadduwa Salary Expenses:5212020 · Management EPF - Wadduwa</t>
  </si>
  <si>
    <t>5000000 · Expenses:5210000 · Wadduwa Farm Expenses:5212000 · Wadduwa Salary Expenses:5212030 · Management ETF - Wadduwa</t>
  </si>
  <si>
    <t>5000000 · Expenses:5210000 · Wadduwa Farm Expenses:5212000 · Wadduwa Salary Expenses:5212040 · Allowances - Wadduwa</t>
  </si>
  <si>
    <t>5000000 · Expenses:5210000 · Wadduwa Farm Expenses:5212000 · Wadduwa Salary Expenses:5212080 · Excess Comminication - Wadduwa</t>
  </si>
  <si>
    <t>5000000 · Expenses:5210000 · Wadduwa Farm Expenses:5213000 · Communication Expenses - Wadduw:5213010 · Mobile Bills - Wadduwa</t>
  </si>
  <si>
    <t>5000000 · Expenses:5210000 · Wadduwa Farm Expenses:5213000 · Communication Expenses - Wadduw:5213020 · Broadband Bills - Wadduwa</t>
  </si>
  <si>
    <t>5000000 · Expenses:5210000 · Wadduwa Farm Expenses:5213000 · Communication Expenses - Wadduw:5213030 · Wadduwa Land Line No.0382285480</t>
  </si>
  <si>
    <t>5000000 · Expenses:5210000 · Wadduwa Farm Expenses:5214000 · Wadduwa Vehicle Expenses:5214020 · Tyres Replacement &amp; Repairs-Wad</t>
  </si>
  <si>
    <t>5000000 · Expenses:5210000 · Wadduwa Farm Expenses:5214000 · Wadduwa Vehicle Expenses:5214030 · Vehicle Services - Wadduwa</t>
  </si>
  <si>
    <t>5000000 · Expenses:5210000 · Wadduwa Farm Expenses:5214000 · Wadduwa Vehicle Expenses:5214040 · Fuel Cab - PP-9611 Wadduwa</t>
  </si>
  <si>
    <t>5000000 · Expenses:5210000 · Wadduwa Farm Expenses:5214000 · Wadduwa Vehicle Expenses:5214060 · Fuel for Lorry - LE 6012</t>
  </si>
  <si>
    <t>5000000 · Expenses:5210000 · Wadduwa Farm Expenses:5215000 · Wadduwa Overheads:5215030 · Tools &amp; Accessories</t>
  </si>
  <si>
    <t>5000000 · Expenses:5210000 · Wadduwa Farm Expenses:5215000 · Wadduwa Overheads:5215040 · General Repair &amp; Maintanance</t>
  </si>
  <si>
    <t>5000000 · Expenses:5210000 · Wadduwa Farm Expenses:5215000 · Wadduwa Overheads:5215050 · Postage, Printing &amp; Stationery</t>
  </si>
  <si>
    <t>5000000 · Expenses:5210000 · Wadduwa Farm Expenses:5215000 · Wadduwa Overheads:5215070 · Office Rent - Wadduwa</t>
  </si>
  <si>
    <t>5000000 · Expenses:5210000 · Wadduwa Farm Expenses:5215000 · Wadduwa Overheads:5215100 · Depreciations - Buildings @ Wad</t>
  </si>
  <si>
    <t>5000000 · Expenses:5210000 · Wadduwa Farm Expenses:5215000 · Wadduwa Overheads:5215110 · Depriciations - Wadduwa Equipme</t>
  </si>
  <si>
    <t>5000000 · Expenses:5210000 · Wadduwa Farm Expenses:5216000 · Finance &amp; Others:5216010 · Sundry Expenses</t>
  </si>
  <si>
    <t>5000000 · Expenses:5210000 · Wadduwa Farm Expenses:5216000 · Finance &amp; Others:5216020 · Taxes ,Rate &amp; Levies @ Wadduwa</t>
  </si>
  <si>
    <t>5000000 · Expenses:5210000 · Wadduwa Farm Expenses:5216000 · Finance &amp; Others:5216030 · Bank Charges @ Wadduwa</t>
  </si>
  <si>
    <t>5000000 · Expenses:5220000 · Madala Site Expenses:5221000 · Madala Administration Expense:5221020 · Water Pumping for Ponds -Madala</t>
  </si>
  <si>
    <t>5000000 · Expenses:5220000 · Madala Site Expenses:5222000 · Madala Staff Salaries:5222010 · Supervision Fees - Madala</t>
  </si>
  <si>
    <t>5000000 · Expenses:5220000 · Madala Site Expenses:5222000 · Madala Staff Salaries:5222070 · Mobile - Excess Usage</t>
  </si>
  <si>
    <t>5000000 · Expenses:5220000 · Madala Site Expenses:5225000 · Madala Oveheads:5225040 · General Repair &amp; Maintanace-Mad</t>
  </si>
  <si>
    <t>5000000 · Expenses:5220000 · Madala Site Expenses:5225000 · Madala Oveheads:5225060 · Security Expenses-Madala</t>
  </si>
  <si>
    <t>5000000 · Expenses:5220000 · Madala Site Expenses:5225000 · Madala Oveheads:5225100 · Ponds @ Madala - Depreciation</t>
  </si>
  <si>
    <t>5000000 · Expenses:5250000 · Construction Machinery Expenses:5230010 · Rent - Agri-Equipment Yard</t>
  </si>
  <si>
    <t>5000000 · Expenses:5250000 · Construction Machinery Expenses:5230020 · Electricity Expenses - Agri-Equ</t>
  </si>
  <si>
    <t>5000000 · Expenses:5250000 · Construction Machinery Expenses:5230030 · Maintanance - Agri Equipments</t>
  </si>
  <si>
    <t>5000000 · Expenses:5250000 · Construction Machinery Expenses:5230040 · Depriciations - Agri/ Construct</t>
  </si>
  <si>
    <t>5000000 · Expenses:5250000 · Construction Machinery Expenses:5230060 · Security Expenses - Agri-Equip</t>
  </si>
  <si>
    <t>5000000 · Expenses:5300000 · Head Office Expenses:5301000 · Payroll Expenses:5301090 · Staff Compansation - Head Offic</t>
  </si>
  <si>
    <t>5000000 · Expenses:5300000 · Head Office Expenses:5302000 · Direct Administration:5302990 · Miscellaneous Expenses</t>
  </si>
  <si>
    <t>5000000 · Expenses:5300000 · Head Office Expenses:5308000 · Finance &amp; Other Charges:5308050 · Lease Interests Expenses</t>
  </si>
  <si>
    <t>5000000 · Expenses:5300000 · Head Office Expenses:5308000 · Finance &amp; Other Charges:5308100 · Credit Card Charges</t>
  </si>
  <si>
    <t>Petty Cash Advance</t>
  </si>
  <si>
    <t>Pre - payments - Insurance</t>
  </si>
  <si>
    <t>Pre - payments - Leases</t>
  </si>
  <si>
    <t>Diyatha Uyana</t>
  </si>
  <si>
    <t>Other Current Assets Accounts - Other</t>
  </si>
  <si>
    <t>HNB - Head Office Account</t>
  </si>
  <si>
    <t>Credit Cards</t>
  </si>
  <si>
    <t>Loss on Disposal of Property, Plant and Equipment</t>
  </si>
  <si>
    <t>Crew Cab LK 7144</t>
  </si>
  <si>
    <t>Vitz Car KN 9583</t>
  </si>
  <si>
    <t>Other Comprehensive Income</t>
  </si>
  <si>
    <t xml:space="preserve">Notes to the Financial Statements Continued </t>
  </si>
  <si>
    <t>Exchange Gain</t>
  </si>
  <si>
    <t xml:space="preserve">Electricity </t>
  </si>
  <si>
    <t xml:space="preserve">Farm Tools </t>
  </si>
  <si>
    <t xml:space="preserve">Security </t>
  </si>
  <si>
    <t xml:space="preserve">Communication </t>
  </si>
  <si>
    <t xml:space="preserve">Entertainment </t>
  </si>
  <si>
    <t xml:space="preserve">Rent </t>
  </si>
  <si>
    <t>Water</t>
  </si>
  <si>
    <t>Amortization</t>
  </si>
  <si>
    <t xml:space="preserve">Advertisement </t>
  </si>
  <si>
    <t xml:space="preserve">Miscellaneous </t>
  </si>
  <si>
    <t>Other Receivables</t>
  </si>
  <si>
    <t>Value Added Tax (VAT)</t>
  </si>
  <si>
    <t>Economic Service Charge (ESC)</t>
  </si>
  <si>
    <t xml:space="preserve">200,002, Ordinary Shares </t>
  </si>
  <si>
    <t>Accrued Expenses</t>
  </si>
  <si>
    <t>Dried Goods Inventories / Packing Materials</t>
  </si>
  <si>
    <t>Provision for Impairment of Investment in  Subsidiaries</t>
  </si>
  <si>
    <t>Local Service Income</t>
  </si>
  <si>
    <t>Toyota Pick Up LK 0500</t>
  </si>
  <si>
    <t>Total Non - Current Assets</t>
  </si>
  <si>
    <t>Proceeds from Disposal of Property, Plant and Equipment</t>
  </si>
  <si>
    <t>Siam Tropical Fish  (Private) Limited</t>
  </si>
  <si>
    <t>Issued and Fully Paid,</t>
  </si>
  <si>
    <t>Dec 31, 14</t>
  </si>
  <si>
    <t>1000000 · Non Current Assets</t>
  </si>
  <si>
    <t>2200080 · Customer Advances</t>
  </si>
  <si>
    <t>1630000 · Bank Current and Cash Accounts:1630090 · People's Bank - Dehiwala - LKR</t>
  </si>
  <si>
    <t>1630000 · Bank Current and Cash Accounts:1630100 · People's Bank-PiliyandalaUS$A/c</t>
  </si>
  <si>
    <t>1630000 · Bank Current and Cash Accounts:1630110 · People's Bank - Piliyandala-LKR</t>
  </si>
  <si>
    <t>1630000 · Bank Current and Cash Accounts:1630115 · Peoples Bank - LKR Savings A/c-</t>
  </si>
  <si>
    <t>1630000 · Bank Current and Cash Accounts:1630118 · Sampath Bank AC-013410002609</t>
  </si>
  <si>
    <t>1630000 · Bank Current and Cash Accounts:1631000 · Petty Cash Floats &amp; Advances:1631111 · Dry Goods Float - Diyatha Uyana</t>
  </si>
  <si>
    <t>1630000 · Bank Current and Cash Accounts:1631000 · Petty Cash Floats &amp; Advances:1631300 · General Float -Minuwangoda Farm</t>
  </si>
  <si>
    <t>1600000 · Other Current Assets Accounts:1600013 · Live Aquatic Plants Inventory</t>
  </si>
  <si>
    <t>1600000 · Other Current Assets Accounts:1600070 · Equipments Inventory</t>
  </si>
  <si>
    <t>1600000 · Other Current Assets Accounts:1601000 · Advances:1601070 · Fuel Advance</t>
  </si>
  <si>
    <t>1600000 · Other Current Assets Accounts:1602020 · Other Loan</t>
  </si>
  <si>
    <t>1000000 · Non Current Assets:1100000 · Property, Plant &amp; Equipment:1111000 · Land and Buildings:Cost @ Wadduwa Land -06</t>
  </si>
  <si>
    <t>1000000 · Non Current Assets:1100000 · Property, Plant &amp; Equipment:1111000 · Land and Buildings:1111023 · Cost - Land @ Wadduwa (4)</t>
  </si>
  <si>
    <t>1000000 · Non Current Assets:1100000 · Property, Plant &amp; Equipment:1111000 · Land and Buildings:1111024 · Cost Land @ Wadduwa - 5</t>
  </si>
  <si>
    <t>1000000 · Non Current Assets:1120000 · Work In Progress:1120060 · Cost-Horana Adjoining Land(WIP)</t>
  </si>
  <si>
    <t>1000000 · Non Current Assets:1120000 · Work In Progress:1120070 · Cost - Trinco Project</t>
  </si>
  <si>
    <t>1000000 · Non Current Assets:1120000 · Work In Progress:1120080 · Cost - Wadduwa Building (WIP)</t>
  </si>
  <si>
    <t>2200000 · Other Current Liabilities:2201000 · Short Term Browwings:2201070 · BOC AMAX Facility for CIS A/c</t>
  </si>
  <si>
    <t>2200000 · Other Current Liabilities:2202000 · Directors Current Accounts:Dir Cur A/c - Indrani Wimalasen</t>
  </si>
  <si>
    <t>2200000 · Other Current Liabilities:2202000 · Directors Current Accounts:2203040 · Mr. Samarasinghe - Temp Loan</t>
  </si>
  <si>
    <t>2000000 · Long Term Liabilities:2000002 · LOFC Long Term Loan - 25 Mn Loa</t>
  </si>
  <si>
    <t>2000000 · Long Term Liabilities:2000003 · LOFC Long Term Loans - 15 Mn</t>
  </si>
  <si>
    <t>2000000 · Long Term Liabilities:2000100 · Peoples Bank Loan - Nawala Land</t>
  </si>
  <si>
    <t>4000000 · Sales Income:4000011 · Live Aquatic Plants Sales</t>
  </si>
  <si>
    <t>4000000 · Sales Income:4000050 · Commi.for sale of use Generator</t>
  </si>
  <si>
    <t>4000000 · Sales Income:4001000 · Diyatha Uyana - Sales Outlet:4001400 · Sales Commission</t>
  </si>
  <si>
    <t>4000000 · Sales Income:4002000 · Equipment Sale</t>
  </si>
  <si>
    <t>5100000 · Cost of Sales:5101000 · Live Fish, Dry Goods &amp; Packing:5101011 · Live Aquatic Plants Purchases</t>
  </si>
  <si>
    <t>5100000 · Cost of Sales:5101100 · Equipments Purchasing</t>
  </si>
  <si>
    <t>5100000 · Cost of Sales:5102000 · Project Costs (Coral, Cartoon):5102009 · Coral Rock Purchasing</t>
  </si>
  <si>
    <t>5100000 · Cost of Sales:5102000 · Project Costs (Coral, Cartoon):5102011 · Casual Labour Expenses</t>
  </si>
  <si>
    <t>5100000 · Cost of Sales:5102000 · Project Costs (Coral, Cartoon):5102012 · Farm Lorry Fuel Expenses</t>
  </si>
  <si>
    <t>5100000 · Cost of Sales:5102000 · Project Costs (Coral, Cartoon):5102013 · Transpotation Expenses</t>
  </si>
  <si>
    <t>5100000 · Cost of Sales:5102000 · Project Costs (Coral, Cartoon):5102014 · Staff Welfare</t>
  </si>
  <si>
    <t>5100000 · Cost of Sales:5102000 · Project Costs (Coral, Cartoon):5102015 · Farm Professional Expenses</t>
  </si>
  <si>
    <t>5100000 · Cost of Sales:5102000 · Project Costs (Coral, Cartoon):5102016 · Postage , Printing ,Stationery</t>
  </si>
  <si>
    <t>5100000 · Cost of Sales:5102000 · Project Costs (Coral, Cartoon):5102017 · Packing Material</t>
  </si>
  <si>
    <t>5100000 · Cost of Sales:5102000 · Project Costs (Coral, Cartoon):5102018 · Monthly Fees - Live Care Taking</t>
  </si>
  <si>
    <t>5100000 · Cost of Sales:5102000 · Project Costs (Coral, Cartoon):5102019 · Permit Charges - Live Rock</t>
  </si>
  <si>
    <t>5000000 · Expenses:5200000 · Wagawatta Farm Expenses:5201000 · Indirect Expenses:5201090 · Farm Insurance Expenses:5201091 · Life &amp; General lFram Insurances</t>
  </si>
  <si>
    <t>5000000 · Expenses:5200000 · Wagawatta Farm Expenses:5206000 · Finance &amp; Other Charges:5206100 · Surcharges &amp; Panalties</t>
  </si>
  <si>
    <t>5000000 · Expenses:5210000 · Wadduwa Farm Expenses:5211000 · Wadduwa Administration Expense:5211070 · Insurance Expenses - General</t>
  </si>
  <si>
    <t>5000000 · Expenses:5210000 · Wadduwa Farm Expenses:5213000 · Communication Expenses - Wadduw:5213040 · Waduwa 4G LTE Office</t>
  </si>
  <si>
    <t>5000000 · Expenses:5210000 · Wadduwa Farm Expenses:5214000 · Wadduwa Vehicle Expenses:5214050 · Vehicle Insurance, Licen &amp; Renw</t>
  </si>
  <si>
    <t>5000000 · Expenses:5220000 · Madala Site Expenses:5221000 · Madala Administration Expense</t>
  </si>
  <si>
    <t>5000000 · Expenses:5220000 · Madala Site Expenses:5221000 · Madala Administration Expense:5221030 · Casual Labour - Madala</t>
  </si>
  <si>
    <t>5000000 · Expenses:5220000 · Madala Site Expenses:5221000 · Madala Administration Expense:5221040 · Staff Welfare - Madala</t>
  </si>
  <si>
    <t>5000000 · Expenses:5220000 · Madala Site Expenses:5221000 · Madala Administration Expense:5221050 · Mobils Bills - Madala</t>
  </si>
  <si>
    <t>5000000 · Expenses:5220000 · Madala Site Expenses:5221000 · Madala Administration Expense:5221060 · Broadband  Bills - Madala</t>
  </si>
  <si>
    <t>5000000 · Expenses:5220000 · Madala Site Expenses:5221000 · Madala Administration Expense:5221070 · Ponds cultur project Expenses</t>
  </si>
  <si>
    <t>5000000 · Expenses:5220000 · Madala Site Expenses:5225000 · Madala Oveheads:5225010 · Tools &amp; Accessories-Madala</t>
  </si>
  <si>
    <t>5000000 · Expenses:5230000 · Minuwangoda  Farm Expenses</t>
  </si>
  <si>
    <t>5000000 · Expenses:5230000 · Minuwangoda  Farm Expenses:5231000 · Minuwangoda Administration Exp.:5231020 · Electricity Expenses</t>
  </si>
  <si>
    <t>5000000 · Expenses:5230000 · Minuwangoda  Farm Expenses:5231000 · Minuwangoda Administration Exp.:5231040 · Staff Welfare - Minuwangoda</t>
  </si>
  <si>
    <t>5000000 · Expenses:5230000 · Minuwangoda  Farm Expenses:5231000 · Minuwangoda Administration Exp.:5231060 · Proffessional Charges - Minuwan</t>
  </si>
  <si>
    <t>5000000 · Expenses:5230000 · Minuwangoda  Farm Expenses:5231000 · Minuwangoda Administration Exp.:5231080 · Travelling &amp; Transport Charges</t>
  </si>
  <si>
    <t>5000000 · Expenses:5230000 · Minuwangoda  Farm Expenses:5232000 · Minuwangoda Staff Salaries:5232010 · Management Salary - Minuwangoda</t>
  </si>
  <si>
    <t>5000000 · Expenses:5230000 · Minuwangoda  Farm Expenses:5232000 · Minuwangoda Staff Salaries:5232020 · EPF Expenses - Minuwangoda</t>
  </si>
  <si>
    <t>5000000 · Expenses:5230000 · Minuwangoda  Farm Expenses:5232000 · Minuwangoda Staff Salaries:5232030 · ETF Expenses - Minuwangoda</t>
  </si>
  <si>
    <t>5000000 · Expenses:5230000 · Minuwangoda  Farm Expenses:5232000 · Minuwangoda Staff Salaries:5232040 · Allowances  - Minuwangoda Staff</t>
  </si>
  <si>
    <t>5000000 · Expenses:5230000 · Minuwangoda  Farm Expenses:5233000 · Minuwangoda Communication Expe.:5233010 · Telelephone Charges</t>
  </si>
  <si>
    <t>5000000 · Expenses:5230000 · Minuwangoda  Farm Expenses:5233000 · Minuwangoda Communication Expe.:5233020 · Mobiles and Broadband Bills</t>
  </si>
  <si>
    <t>5000000 · Expenses:5230000 · Minuwangoda  Farm Expenses:5234000 · Minuwangoda Vehicle Expenses:5234010 · Vehicle Maintanance Expenses</t>
  </si>
  <si>
    <t>5000000 · Expenses:5230000 · Minuwangoda  Farm Expenses:5234000 · Minuwangoda Vehicle Expenses:5234020 · Vehicle Insurance</t>
  </si>
  <si>
    <t>5000000 · Expenses:5230000 · Minuwangoda  Farm Expenses:5234000 · Minuwangoda Vehicle Expenses:5234050 · Fuel Expenses for Bike</t>
  </si>
  <si>
    <t>5000000 · Expenses:5230000 · Minuwangoda  Farm Expenses:5235000 · Minuwangoda  Farm Overheads:5235040 · General Repair &amp; Maintanance</t>
  </si>
  <si>
    <t>5000000 · Expenses:5230000 · Minuwangoda  Farm Expenses:5235000 · Minuwangoda  Farm Overheads:5235050 · Stationeries &amp; Postage</t>
  </si>
  <si>
    <t>5000000 · Expenses:5230000 · Minuwangoda  Farm Expenses:5235000 · Minuwangoda  Farm Overheads:5235070 · Farm Rent - Minuwangoda</t>
  </si>
  <si>
    <t>5000000 · Expenses:5240000 · Horana 2 Rented Farm - Ingiriya:5241000 · Ingiriya Farm Administration:5241030 · Security Charges</t>
  </si>
  <si>
    <t>5000000 · Expenses:5240000 · Horana 2 Rented Farm - Ingiriya:5241000 · Ingiriya Farm Administration:5241040 · Staff Welfare</t>
  </si>
  <si>
    <t>5000000 · Expenses:5240000 · Horana 2 Rented Farm - Ingiriya:5241000 · Ingiriya Farm Administration:5241040 · Staff Welfare:5241041 · meals &amp; refreshment</t>
  </si>
  <si>
    <t>5000000 · Expenses:5240000 · Horana 2 Rented Farm - Ingiriya:5241000 · Ingiriya Farm Administration:5241040 · Staff Welfare:5241042 · Transpotation Expenses</t>
  </si>
  <si>
    <t>5000000 · Expenses:5240000 · Horana 2 Rented Farm - Ingiriya:5242000 · Horana 2 Farm Salary Expenses:5242010 · Management Salary-Horana 2 Farm</t>
  </si>
  <si>
    <t>5000000 · Expenses:5240000 · Horana 2 Rented Farm - Ingiriya:5242000 · Horana 2 Farm Salary Expenses:5242020 · Management EPF - Horana 2</t>
  </si>
  <si>
    <t>5000000 · Expenses:5240000 · Horana 2 Rented Farm - Ingiriya:5242000 · Horana 2 Farm Salary Expenses:5242030 · Management ETF - Horana 2</t>
  </si>
  <si>
    <t>5000000 · Expenses:5240000 · Horana 2 Rented Farm - Ingiriya:5245000 · Ingiriya Farm Overheads:5245040 · General Repair &amp; Maintanance</t>
  </si>
  <si>
    <t>5000000 · Expenses:5240000 · Horana 2 Rented Farm - Ingiriya:5245000 · Ingiriya Farm Overheads:5245070 · Farm Rent - Horana 2</t>
  </si>
  <si>
    <t>5000000 · Expenses:5260000 · Generator Warehouse Expenses:5260010 · Rent – Generator Warehouse</t>
  </si>
  <si>
    <t>5000000 · Expenses:5300000 · Head Office Expenses</t>
  </si>
  <si>
    <t>5000000 · Expenses:5300000 · Head Office Expenses:5302000 · Direct Administration:5302040 · Insurance Expenses:5302041 · Insurance Exp. - Life &amp; General</t>
  </si>
  <si>
    <t>5000000 · Expenses:5300000 · Head Office Expenses:5302000 · Direct Administration:5302040 · Insurance Expenses:5302042 · Insurance Exp. - Vehicles</t>
  </si>
  <si>
    <t>5000000 · Expenses:5300000 · Head Office Expenses:5303000 · Communication Expenses:5303080 · ADSL Line 0112075525</t>
  </si>
  <si>
    <t>5000000 · Expenses:5300000 · Head Office Expenses:5306000 · Depreciation Expenses</t>
  </si>
  <si>
    <t>5000000 · Expenses:5300000 · Head Office Expenses:5308000 · Finance &amp; Other Charges:5308060 · Exchange Gain / (Loss)</t>
  </si>
  <si>
    <t>5000000 · Expenses:5300000 · Head Office Expenses:5308000 · Finance &amp; Other Charges:5308110 · Entertainment Expenses</t>
  </si>
  <si>
    <t>STATEMENT OF PROFIT OR LOSS AND OTHER COMPREHENSIVE INCOME</t>
  </si>
  <si>
    <t>ADJ</t>
  </si>
  <si>
    <t>Final</t>
  </si>
  <si>
    <t>Tropical Fish International (PVT) Ltd 2014</t>
  </si>
  <si>
    <t>Live Aquatic Plants Sales</t>
  </si>
  <si>
    <t>Documentation and Handling Charges Income</t>
  </si>
  <si>
    <t>Reimbursable Freight and Packing Charges Income</t>
  </si>
  <si>
    <t>Employees' Provident Fund (EPF)</t>
  </si>
  <si>
    <t>Employees' Trust Fund (ETF)</t>
  </si>
  <si>
    <t>License and Insurance</t>
  </si>
  <si>
    <t>Sampath Bank Current Account - 013410002609</t>
  </si>
  <si>
    <t xml:space="preserve">PAYE Tax </t>
  </si>
  <si>
    <t>LOFC Loan 25Mn</t>
  </si>
  <si>
    <t>LOFC Loan 15Mn</t>
  </si>
  <si>
    <t>Peoples Bank Loan 22.5Mn</t>
  </si>
  <si>
    <t>HNB- FCBU Account (906010003031)</t>
  </si>
  <si>
    <t>Commercial Bank (1500028940)</t>
  </si>
  <si>
    <t>HNB-Secondary Account (3010482594)</t>
  </si>
  <si>
    <t>BOC - Offshore US$ Current Account (74752243)</t>
  </si>
  <si>
    <t>BOC - Offshore US$ Savings Account (74983118)</t>
  </si>
  <si>
    <t xml:space="preserve">People's Bank- US$ Current Account </t>
  </si>
  <si>
    <t>People's Bank - LKR Current Account (359100140012461)</t>
  </si>
  <si>
    <t>Peoples Bank - LKR Savings Account (359200120012461)</t>
  </si>
  <si>
    <t>Festival and Medical Advance</t>
  </si>
  <si>
    <t>Trade Payables</t>
  </si>
  <si>
    <t>Statutory Payables</t>
  </si>
  <si>
    <t>Income Tax Payable</t>
  </si>
  <si>
    <t>Inventories Written - off</t>
  </si>
  <si>
    <t>1630000 · Bank Current and Cash Accounts:1630091 · BOC - Fixed Deposit - 7171</t>
  </si>
  <si>
    <t>2200000 · Other Current Liabilities:2202000 · Directors Current Accounts:2203050 · Charitha Samarasinghe Current A</t>
  </si>
  <si>
    <t>2200000 · Other Current Liabilities:2203030 · CIS INTERNATIONAL HOLDINGS CORP</t>
  </si>
  <si>
    <t>5100000 · Cost of Sales:5100200 · Closing Stock:5100240 · Styroform &amp; Corrugated project</t>
  </si>
  <si>
    <t>5100000 · Cost of Sales:5100200 · Closing Stock:5100300 · Live rock</t>
  </si>
  <si>
    <t>Computer Software - Amortize</t>
  </si>
  <si>
    <t>Shor-Term Investment in Fixed Deposit</t>
  </si>
  <si>
    <t>BOC Amax Facility</t>
  </si>
  <si>
    <t>Teknowledge Shared Services (Pvt) Ltd</t>
  </si>
  <si>
    <t>Investment in Subsidiary</t>
  </si>
  <si>
    <t>2015</t>
  </si>
  <si>
    <t xml:space="preserve">STATEMENT OF FINANCIAL POSITION </t>
  </si>
  <si>
    <t xml:space="preserve">STATEMENT OF CASH FLOWS  </t>
  </si>
  <si>
    <t xml:space="preserve">FOR THE  YEAR ENDED 31 DECEMBER </t>
  </si>
  <si>
    <t xml:space="preserve">NOTES TO THE FINANCIAL STATEMENTS FOR THE  YEAR ENDED </t>
  </si>
  <si>
    <t>1630000 · Bank Current and Cash Accounts</t>
  </si>
  <si>
    <t>1630000 · Bank Current and Cash Accounts:1630092 · BOC -  Wadduwa Current AC -</t>
  </si>
  <si>
    <t>1630000 · Bank Current and Cash Accounts:1630116 · Peoples bank - Offshore - Curre</t>
  </si>
  <si>
    <t>1630000 · Bank Current and Cash Accounts:1630120 · Nations Trust Bank - Current A/</t>
  </si>
  <si>
    <t>1630000 · Bank Current and Cash Accounts:1630121 · Nations Trsut Bk - Saving A/C</t>
  </si>
  <si>
    <t>1630000 · Bank Current and Cash Accounts:1631000 · Petty Cash Floats &amp; Advances:1631040 · Maldives Export Center</t>
  </si>
  <si>
    <t>1630000 · Bank Current and Cash Accounts:1631000 · Petty Cash Floats &amp; Advances:1631050 · Staff meals expenses Flout</t>
  </si>
  <si>
    <t>1630000 · Bank Current and Cash Accounts:1631000 · Petty Cash Floats &amp; Advances:1631060 · Fish Purchasing Float Wadduwa</t>
  </si>
  <si>
    <t>1630000 · Bank Current and Cash Accounts:1631000 · Petty Cash Floats &amp; Advances:1631112 · Dry Goods float - HO purchasing</t>
  </si>
  <si>
    <t>1630000 · Bank Current and Cash Accounts:1631000 · Petty Cash Floats &amp; Advances:1631113 · Dry Good Horana - HO Purchases</t>
  </si>
  <si>
    <t>1630000 · Bank Current and Cash Accounts:1631000 · Petty Cash Floats &amp; Advances:1632060 · Fish Purchase – Horana farm</t>
  </si>
  <si>
    <t>1600000 · Other Current Assets Accounts:1601000 · Advances:1601030 · Genaral Advances:1601130 · Horana Farm Advance</t>
  </si>
  <si>
    <t>1600000 · Other Current Assets Accounts:1601000 · Advances:1601030 · Genaral Advances:1601140 · Head Office Advance</t>
  </si>
  <si>
    <t>1600000 · Other Current Assets Accounts:1601000 · Advances:1601030 · Genaral Advances:1601150 · Wadduwa Farm Advance</t>
  </si>
  <si>
    <t>1600000 · Other Current Assets Accounts:1601000 · Advances:1601060 · Petty Cash Advances:1632030 · Advances to Maldives Export Ctr</t>
  </si>
  <si>
    <t>1600000 · Other Current Assets Accounts:1603000 · Refundable Deposits</t>
  </si>
  <si>
    <t>1600000 · Other Current Assets Accounts:1603000 · Refundable Deposits:1603060 · Kloudip</t>
  </si>
  <si>
    <t>1600000 · Other Current Assets Accounts:1606050 · TFI - UK Ltd.</t>
  </si>
  <si>
    <t>1600000 · Other Current Assets Accounts:1606060 · TFM - Tropical Fish Maldives</t>
  </si>
  <si>
    <t>1000000 · Non Current Assets:1100000 · Property, Plant &amp; Equipment:1111000 · Land and Buildings:1111025 · Cost - Land at Wadduwa - 6</t>
  </si>
  <si>
    <t>1000000 · Non Current Assets:1100000 · Property, Plant &amp; Equipment:1112000 · Motor Vehicles:1112160 · Cost - Mahindra Cab LC-4972</t>
  </si>
  <si>
    <t>1000000 · Non Current Assets:1100000 · Property, Plant &amp; Equipment:1114000 · Office Equipments</t>
  </si>
  <si>
    <t>2600000 · Accounts Payable 2</t>
  </si>
  <si>
    <t>2700000 · Bill discounting facility - BOC</t>
  </si>
  <si>
    <t>Amount due in one year:2201051 · LOFC Loan Rs.25Mn</t>
  </si>
  <si>
    <t>Amount due in one year:2201054 · LOFC Loan Rs. 5Mn</t>
  </si>
  <si>
    <t>Amount due in one year:2201056 · NDB Leasing-Susuki Swift KF6766</t>
  </si>
  <si>
    <t>Amount due in one year:2201058 · PB Loan Rs. 25Mn Nawala Land</t>
  </si>
  <si>
    <t>Amount due in one year:5501057 · NDB Leasing-ToyotaPickUpLK-0050</t>
  </si>
  <si>
    <t>2200000 · Other Current Liabilities:2200085 · Gratutity Payable</t>
  </si>
  <si>
    <t>2200000 · Other Current Liabilities:2200095 · Annual Bonus Payable</t>
  </si>
  <si>
    <t>2200000 · Other Current Liabilities:2201000 · Short Term Browwings:2201080 · Loan from Mr.Chanaka</t>
  </si>
  <si>
    <t>2200000 · Other Current Liabilities:2201000 · Short Term Browwings:2201095 · Loan from - Rasika Wickramasing</t>
  </si>
  <si>
    <t>2203060 · Maldives Current Liability A/c</t>
  </si>
  <si>
    <t>2203070 · Siam Tropical Fish Co.,Ltd</t>
  </si>
  <si>
    <t>2000000 · Long Term Liabilities:2000001 · LOFC Long Term Loan - 10 Mn Loa</t>
  </si>
  <si>
    <t>2000000 · Long Term Liabilities:2000004 · LOFC Long Term Loan - 2M</t>
  </si>
  <si>
    <t>2000000 · Long Term Liabilities:2000013 · LOFC New Loan Rs.5 mn</t>
  </si>
  <si>
    <t>3000000 · Equity Accounts:3001000 · Retained Earnings</t>
  </si>
  <si>
    <t>3000000 · Equity Accounts:3002000 · Current Earnings</t>
  </si>
  <si>
    <t>4000000 · Sales Income</t>
  </si>
  <si>
    <t>5000 · Cost of Goods Sold</t>
  </si>
  <si>
    <t>5100000 · Cost of Sales</t>
  </si>
  <si>
    <t>5100000 · Cost of Sales:5101000 · Live Fish, Dry Goods &amp; Packing</t>
  </si>
  <si>
    <t>5100000 · Cost of Sales:5103000 · Freight &amp; Handling Charges:5103012 · Export Freight - Cartoon</t>
  </si>
  <si>
    <t>5100000 · Cost of Sales:5103000 · Freight &amp; Handling Charges:5103040 · Freight Charges - Maldives Expt</t>
  </si>
  <si>
    <t>5100000 · Cost of Sales:5106000 · Styrofom Box Project</t>
  </si>
  <si>
    <t>5100000 · Cost of Sales:5106000 · Styrofom Box Project:5106003 · Handling &amp; Documentation Charge</t>
  </si>
  <si>
    <t>5100000 · Cost of Sales:5106000 · Styrofom Box Project:5106005 · Packing Materials</t>
  </si>
  <si>
    <t>5000000 · Expenses:5200000 · Wagawatta Farm Expenses</t>
  </si>
  <si>
    <t>5000000 · Expenses:5200000 · Wagawatta Farm Expenses:5201000 · Indirect Expenses:5201050 · Farm Hotel &amp; Lodging Expenses</t>
  </si>
  <si>
    <t>5000000 · Expenses:5200000 · Wagawatta Farm Expenses:5202000 · Payroll Expenses:5202040 · Farm Mgt. Other Allowances</t>
  </si>
  <si>
    <t>5000000 · Expenses:5200000 · Wagawatta Farm Expenses:5202000 · Payroll Expenses:5202090 · Farm mgt OT 1.5/hr</t>
  </si>
  <si>
    <t>5000000 · Expenses:5200000 · Wagawatta Farm Expenses:5203000 · Farm Communication Expenses:5203090 · Horana Farm Leased Line</t>
  </si>
  <si>
    <t>5000000 · Expenses:5200000 · Wagawatta Farm Expenses:5204000 · Farm Vehicle Expenses:5204100 · Horana farm Taxi vehicle fuel</t>
  </si>
  <si>
    <t>5000000 · Expenses:5200000 · Wagawatta Farm Expenses:5205000 · Other Farm Overheads:5205020 · Entertainment Expenses</t>
  </si>
  <si>
    <t>5000000 · Expenses:5200000 · Wagawatta Farm Expenses:5206000 · Finance &amp; Other Charges:5206050 · Debit Tax Expenses</t>
  </si>
  <si>
    <t>5000000 · Expenses:5210000 · Wadduwa Farm Expenses</t>
  </si>
  <si>
    <t>5000000 · Expenses:5210000 · Wadduwa Farm Expenses:5211000 · Wadduwa Administration Expense:5211041 · Meals &amp; Refreshment - Wadduwa</t>
  </si>
  <si>
    <t>5000000 · Expenses:5210000 · Wadduwa Farm Expenses:5211000 · Wadduwa Administration Expense:5211061 · Donation &amp; Subscription</t>
  </si>
  <si>
    <t>5000000 · Expenses:5210000 · Wadduwa Farm Expenses:5211000 · Wadduwa Administration Expense:5211071 · Accomadation Charges</t>
  </si>
  <si>
    <t>5000000 · Expenses:5210000 · Wadduwa Farm Expenses:5211000 · Wadduwa Administration Expense:5211081 · Fuel &amp; Oils</t>
  </si>
  <si>
    <t>5000000 · Expenses:5210000 · Wadduwa Farm Expenses:5211000 · Wadduwa Administration Expense:5211090 · Local &amp; Foreign Traveling Exp.</t>
  </si>
  <si>
    <t>5000000 · Expenses:5210000 · Wadduwa Farm Expenses:5214000 · Wadduwa Vehicle Expenses</t>
  </si>
  <si>
    <t>5000000 · Expenses:5210000 · Wadduwa Farm Expenses:5215000 · Wadduwa Overheads:5215060 · Security Expenses - Wadduwa</t>
  </si>
  <si>
    <t>5000000 · Expenses:5220000 · Madala Site Expenses:5222000 · Madala Staff Salaries</t>
  </si>
  <si>
    <t>5000000 · Expenses:5240000 · Horana 2 Rented Farm - Ingiriya</t>
  </si>
  <si>
    <t>5000000 · Expenses:5240000 · Horana 2 Rented Farm - Ingiriya:5241000 · Ingiriya Farm Administration:5241050 · Mobils and Broadbands Bills</t>
  </si>
  <si>
    <t>5000000 · Expenses:5270000 · Maldives Export Center (MEC):5271000 · MEC - Adminstration Cost</t>
  </si>
  <si>
    <t>5000000 · Expenses:5270000 · Maldives Export Center (MEC):5271000 · MEC - Adminstration Cost:5271001 · Hotel &amp; Accomadation</t>
  </si>
  <si>
    <t>5000000 · Expenses:5270000 · Maldives Export Center (MEC):5272000 · MEC- Staff Salary</t>
  </si>
  <si>
    <t>5000000 · Expenses:5270000 · Maldives Export Center (MEC):5273000 · MEC - Communicaton Expenses</t>
  </si>
  <si>
    <t>5000000 · Expenses:5270000 · Maldives Export Center (MEC):5274000 · MEC - Vehicle Expenses</t>
  </si>
  <si>
    <t>5000000 · Expenses:5300000 · Head Office Expenses:5301000 · Payroll Expenses:5301010 · Staff Salaries - Head Office</t>
  </si>
  <si>
    <t>5000000 · Expenses:5300000 · Head Office Expenses:5301000 · Payroll Expenses:5301085 · Gratutity Expenses</t>
  </si>
  <si>
    <t>5000000 · Expenses:5300000 · Head Office Expenses:5301000 · Payroll Expenses:5301095 · Annual Bonus</t>
  </si>
  <si>
    <t>5000000 · Expenses:5300000 · Head Office Expenses:5302000 · Direct Administration:5302140 · H/O Security Charges</t>
  </si>
  <si>
    <t>5000000 · Expenses:5300000 · Head Office Expenses:5302000 · Direct Administration:5302930 · Head Office Shifting Expenses</t>
  </si>
  <si>
    <t>5000000 · Expenses:5300000 · Head Office Expenses:5302000 · Direct Administration:5302935 · Exhibition &amp; Trade fairs</t>
  </si>
  <si>
    <t>5000000 · Expenses:5300000 · Head Office Expenses:5303000 · Communication Expenses:5303090 · SLT - Buddhika - 0332245246</t>
  </si>
  <si>
    <t>5000000 · Expenses:5300000 · Head Office Expenses:5304000 · Utility Expenses:5304060 · Janitorial services</t>
  </si>
  <si>
    <t>5000000 · Expenses:5300000 · Head Office Expenses:5305000 · Travelling &amp; Transport:5305010 · Vehicle Hire/Lease</t>
  </si>
  <si>
    <t>5000000 · Expenses:5300000 · Head Office Expenses:5305000 · Travelling &amp; Transport:5305050 · Motor Bike Expenses - H/O</t>
  </si>
  <si>
    <t>5000000 · Expenses:5300000 · Head Office Expenses:5305000 · Travelling &amp; Transport:5305090 · Fuel Expenses</t>
  </si>
  <si>
    <t>5000000 · Expenses:5300000 · Head Office Expenses:5305000 · Travelling &amp; Transport:5305090 · Fuel Expenses:5305091 · Fuel Bike  UQ 3572</t>
  </si>
  <si>
    <t>5000000 · Expenses:5300000 · Head Office Expenses:5305000 · Travelling &amp; Transport:5305090 · Fuel Expenses:5305092 · Fuel for JR 5522</t>
  </si>
  <si>
    <t>5000000 · Expenses:5300000 · Head Office Expenses:5305000 · Travelling &amp; Transport:5305090 · Fuel Expenses:5305093 · Fuel KN 9583</t>
  </si>
  <si>
    <t>4200000 · Other Income Accounts:4200040 · Interest Income</t>
  </si>
  <si>
    <t>4200000 · Other Income Accounts:4200050 · Profit / (Loss) on Disposals</t>
  </si>
  <si>
    <t>4200000 · Other Income Accounts:4200070 · Discount from Vendors</t>
  </si>
  <si>
    <t>4200000 · Other Income Accounts:4200100 · Extra Ordinary Income</t>
  </si>
  <si>
    <t>Client 31/12/2015</t>
  </si>
  <si>
    <t>Final (Linked)</t>
  </si>
  <si>
    <t>Adjustments</t>
  </si>
  <si>
    <t>Favorable Balances</t>
  </si>
  <si>
    <t>Cash in Hand</t>
  </si>
  <si>
    <t>Unfavorable Balances</t>
  </si>
  <si>
    <t>Cash and Cash Equivalents for the Purpose of Cash Flow Statement</t>
  </si>
  <si>
    <t>5306030 · Computers &amp; Accessories-Depreci</t>
  </si>
  <si>
    <t>5306040 · Office Equipments-Depreciations</t>
  </si>
  <si>
    <t>5306050 · Furniture &amp; Fittings-Depreciati</t>
  </si>
  <si>
    <t>5230040 · Depriciations - Agri/ Construct</t>
  </si>
  <si>
    <t>5225100 · Ponds @ Madala - Depreciation</t>
  </si>
  <si>
    <t>5306020 · Motor Vehicles - Depreciations</t>
  </si>
  <si>
    <t>5215100 · Depreciations - Buildings @ Wad</t>
  </si>
  <si>
    <t>5215110 · Depriciations - Wadduwa Equipme</t>
  </si>
  <si>
    <t>5205080 · Depreciations - Buildings</t>
  </si>
  <si>
    <t>5205100 · Depreciations - Fram Equipments</t>
  </si>
  <si>
    <t>5205090 · Depreciations - Motor Vehicles</t>
  </si>
  <si>
    <t>Tropical Fish International - UK Ltd.</t>
  </si>
  <si>
    <t>Advance Payments from Customers</t>
  </si>
  <si>
    <t>Other Payables and Accrued Expenses</t>
  </si>
  <si>
    <t>(Note 22.1)</t>
  </si>
  <si>
    <t>Expenses Recognized in Profit or Loss</t>
  </si>
  <si>
    <t>Payments made during the Year</t>
  </si>
  <si>
    <t xml:space="preserve">These assumptions are developed by the company is based on the management's best estimates of variables used to measure the retirement benefits obligation. Discount rate is determined on the basis of market rates of long-term Government Bond.   </t>
  </si>
  <si>
    <t>The principal  assumptions used are as follows.</t>
  </si>
  <si>
    <t>Discount Rate [%]</t>
  </si>
  <si>
    <t>Future Salary Increases - Salary [%]</t>
  </si>
  <si>
    <t>Staff Turnover Factor  [%]</t>
  </si>
  <si>
    <t>Retirement Age [Yrs]</t>
  </si>
  <si>
    <t>1000000 · Non Current Assets:1300000 · Investment - Long Term:130020 · Impairement Provision</t>
  </si>
  <si>
    <t>1600000 · Other Current Assets Accounts:1606070 · CIS Maldives</t>
  </si>
  <si>
    <t>Amount due in one year:2201053 · LOFC Loan Rs. 10Mn 1</t>
  </si>
  <si>
    <t>LOFC Loan 10Mn</t>
  </si>
  <si>
    <t>LOFC Loan 5Mn</t>
  </si>
  <si>
    <t>LOFC Loan 2Mn</t>
  </si>
  <si>
    <t>Net Cash Flow from Financing Activities</t>
  </si>
  <si>
    <t>Profit Before Taxation</t>
  </si>
  <si>
    <t>Profit  from Disposal of Property, Plant and Equipment</t>
  </si>
  <si>
    <t>CIS International - Maldives</t>
  </si>
  <si>
    <t>Profit for the Year</t>
  </si>
  <si>
    <t>Cash Generated from / (used in) Operations</t>
  </si>
  <si>
    <t>Net Cash Flow from / (used in) Operating Activities</t>
  </si>
  <si>
    <t>Administrative Expenses Cont.…</t>
  </si>
  <si>
    <t>Statutory Receivables</t>
  </si>
  <si>
    <t>WIP Open bal Diff. Wadduwa Project</t>
  </si>
  <si>
    <t>Trade and Other Receivables Cont.…</t>
  </si>
  <si>
    <t>Notes to the Financial Statements on Pages 6 to 18 form an integral Part of the Financial Statements.</t>
  </si>
  <si>
    <t>Purchase - Coral Rock Laying and Harvesting</t>
  </si>
  <si>
    <t xml:space="preserve">W/P Reference </t>
  </si>
  <si>
    <t>Client :</t>
  </si>
  <si>
    <t>Prepared : ……………………………..</t>
  </si>
  <si>
    <t>Date:</t>
  </si>
  <si>
    <t>Period :</t>
  </si>
  <si>
    <t>Reviewed : ……………………………</t>
  </si>
  <si>
    <t>Lead Schedule - ……………………….</t>
  </si>
  <si>
    <t>W/P Ref.</t>
  </si>
  <si>
    <t>A/c No</t>
  </si>
  <si>
    <t>Description</t>
  </si>
  <si>
    <t xml:space="preserve">Current Year Balance </t>
  </si>
  <si>
    <t>Prior Year Balance</t>
  </si>
  <si>
    <t>Variance ( Rs.)</t>
  </si>
  <si>
    <t>%</t>
  </si>
  <si>
    <t>Notes</t>
  </si>
  <si>
    <t>5102009</t>
  </si>
  <si>
    <t>Coral Rock Purchasing</t>
  </si>
  <si>
    <t>5102010</t>
  </si>
  <si>
    <t>Coral Rock Laying &amp; Harvesting</t>
  </si>
  <si>
    <t>5102011</t>
  </si>
  <si>
    <t>Casual Labour Expenses</t>
  </si>
  <si>
    <t>5102012</t>
  </si>
  <si>
    <t>Farm Lorry Fuel Expenses</t>
  </si>
  <si>
    <t>5102013</t>
  </si>
  <si>
    <t>Transpotation Expenses</t>
  </si>
  <si>
    <t>5102014</t>
  </si>
  <si>
    <t>5102015</t>
  </si>
  <si>
    <t>Farm Professional Expenses</t>
  </si>
  <si>
    <t>5102016</t>
  </si>
  <si>
    <t>Postage , Printing ,Stationery</t>
  </si>
  <si>
    <t>5102017</t>
  </si>
  <si>
    <t>Packing Material</t>
  </si>
  <si>
    <t>5102018</t>
  </si>
  <si>
    <t>Monthly Fees - Live Care Taking</t>
  </si>
  <si>
    <t>5102019</t>
  </si>
  <si>
    <t>Permit Charges - Live Rock</t>
  </si>
  <si>
    <t>5102020</t>
  </si>
  <si>
    <t>Cardboard Cartoon Boxes</t>
  </si>
  <si>
    <t>Cost of Goods Sold</t>
  </si>
  <si>
    <t>Live Fish</t>
  </si>
  <si>
    <t>Dried Goods &amp; Salt</t>
  </si>
  <si>
    <t>Live Fish, Dry Goods &amp; Packing</t>
  </si>
  <si>
    <t>5101010</t>
  </si>
  <si>
    <t>Live Fish Purchases</t>
  </si>
  <si>
    <t>5101011</t>
  </si>
  <si>
    <t>Live Aquatic Plants Purchases</t>
  </si>
  <si>
    <t>5101020</t>
  </si>
  <si>
    <t>Dried Goods Purchases</t>
  </si>
  <si>
    <t>5101030</t>
  </si>
  <si>
    <t>Salt Purchases</t>
  </si>
  <si>
    <t>5101040</t>
  </si>
  <si>
    <t>Packing Materials</t>
  </si>
  <si>
    <t>Equipments Purchasing</t>
  </si>
  <si>
    <t>Styrofom Box Project</t>
  </si>
  <si>
    <t>Handling &amp; Documentation Charge</t>
  </si>
  <si>
    <t>Styroform &amp; Corrugated project</t>
  </si>
  <si>
    <t>Live rock</t>
  </si>
  <si>
    <t>Gratuity Paid</t>
  </si>
  <si>
    <t>Amount due in one year:2201053 · LOFC Loan Rs. 10Mn</t>
  </si>
  <si>
    <t>Net proceeds from Long Term Lones</t>
  </si>
  <si>
    <t>Net proceeds from Short Term Lones</t>
  </si>
  <si>
    <t>Tax Paid</t>
  </si>
  <si>
    <t>2016</t>
  </si>
  <si>
    <t>NOTES TO THE FINANCIAL STATEMENTS FOR THE  YEAR ENDED 31 DECEMBER 2016</t>
  </si>
  <si>
    <t>Investment</t>
  </si>
  <si>
    <t>Dec 31, 16</t>
  </si>
  <si>
    <t>Checking/Savings</t>
  </si>
  <si>
    <t>1630010 · HNB HO 003010401331 A/C</t>
  </si>
  <si>
    <t>1630020 · HNB FCBU (US$) Account</t>
  </si>
  <si>
    <t>1630030 · Commercial Bank</t>
  </si>
  <si>
    <t>1630060 · BOC - Nugegoda-LKR Current A/c</t>
  </si>
  <si>
    <t>1630070 · BOC - Offshore US$ Current A/c</t>
  </si>
  <si>
    <t>1630080 · BOC - Offshore US$ Savings A/c</t>
  </si>
  <si>
    <t>1630091 · BOC - Fixed Deposit - 7171</t>
  </si>
  <si>
    <t>1630092 · BOC -  Wadduwa Current AC -</t>
  </si>
  <si>
    <t>1630100 · People's Bank-Piliyandala  NRFC</t>
  </si>
  <si>
    <t>1630110 · People's Bank - Piliyandala-LKR</t>
  </si>
  <si>
    <t>1630115 · Peoples Bank - LKR Savings A/c-</t>
  </si>
  <si>
    <t>1630116 · Peoples bank - Offshore - Curre</t>
  </si>
  <si>
    <t>1630118 · Sampath Bank AC-013410002609</t>
  </si>
  <si>
    <t>1630120 · Nations Trust Bank - Current A/</t>
  </si>
  <si>
    <t>1630121 · Nations Trsut Bk - Saving A/C</t>
  </si>
  <si>
    <t>1630122 · NTB-Fixed diposit</t>
  </si>
  <si>
    <t>1630123 · DFCC Bank PLC</t>
  </si>
  <si>
    <t>1630124 · NTB - Call Deposits</t>
  </si>
  <si>
    <t>1630199 · Bank Errors Adjustment Account</t>
  </si>
  <si>
    <t>1631000 · Petty Cash Floats &amp; Advances</t>
  </si>
  <si>
    <t>1631010 · General Float - Head Office</t>
  </si>
  <si>
    <t>1631020 · Petty Cash Float -Diyatha Uyana</t>
  </si>
  <si>
    <t>1631030 · Diyatha Uyana Sales Receipt A/c</t>
  </si>
  <si>
    <t>1631050 · Staff meals expenses Flout</t>
  </si>
  <si>
    <t>1631060 · Fish Purchasing Float Wadduwa</t>
  </si>
  <si>
    <t>1631100 · General Float - Wagawatta Farm</t>
  </si>
  <si>
    <t>1631110 · Dry Goods Float -Wagawatta Farm</t>
  </si>
  <si>
    <t>1631111 · Dry Goods Float - Diyatha Uyana</t>
  </si>
  <si>
    <t>1631112 · Dry Goods float - HO purchasing</t>
  </si>
  <si>
    <t>1631113 · Dry Good Horana - HO Purchases</t>
  </si>
  <si>
    <t>1631400 · General Float - Wadduwa Farm</t>
  </si>
  <si>
    <t>1631410 · Dry Goods Float - Wadduwa Farm</t>
  </si>
  <si>
    <t>1631500 · Project Float - Madala@Ingiriya</t>
  </si>
  <si>
    <t>1632000 · Advances for Fish Purchases</t>
  </si>
  <si>
    <t>1632010 · Advances for Live Rocks</t>
  </si>
  <si>
    <t>1632040 · Advance Horana 200 tank project</t>
  </si>
  <si>
    <t>1632060 · Fish Purchase – Horana farm</t>
  </si>
  <si>
    <t>1632070 · Petty Cash - Katunayaka project</t>
  </si>
  <si>
    <t>Total 1631000 · Petty Cash Floats &amp; Advances</t>
  </si>
  <si>
    <t>1630000 · Bank Current and Cash Accounts - Other</t>
  </si>
  <si>
    <t>Total 1630000 · Bank Current and Cash Accounts</t>
  </si>
  <si>
    <t>Total Checking/Savings</t>
  </si>
  <si>
    <t>Accounts Receivable</t>
  </si>
  <si>
    <t>Total Accounts Receivable</t>
  </si>
  <si>
    <t>Other Current Assets</t>
  </si>
  <si>
    <t>1600000 · Other Current Assets Accounts</t>
  </si>
  <si>
    <t>1130 · Inventory Asset -Opening</t>
  </si>
  <si>
    <t>1600010 · Live Fish Inventory</t>
  </si>
  <si>
    <t>1600020 · Dried Goods Inventory</t>
  </si>
  <si>
    <t>1600040 · Live Rocks Inventory</t>
  </si>
  <si>
    <t>1600070 · Equipments Inventory</t>
  </si>
  <si>
    <t>1601000 · Advances</t>
  </si>
  <si>
    <t>1601010 · Salary Advances</t>
  </si>
  <si>
    <t>1601020 · Festival Advances</t>
  </si>
  <si>
    <t>1601030 · Genaral Advances</t>
  </si>
  <si>
    <t>1601130 · Horana Farm Advance</t>
  </si>
  <si>
    <t>1601140 · Head Office Advance</t>
  </si>
  <si>
    <t>1601150 · Wadduwa Farm Advance</t>
  </si>
  <si>
    <t>1601030 · Genaral Advances - Other</t>
  </si>
  <si>
    <t>Total 1601030 · Genaral Advances</t>
  </si>
  <si>
    <t>1601040 · Fixed Assets</t>
  </si>
  <si>
    <t>1601060 · Petty Cash Advances</t>
  </si>
  <si>
    <t>1632030 · Advances to Maldives Export Ctr</t>
  </si>
  <si>
    <t>1601060 · Petty Cash Advances - Other</t>
  </si>
  <si>
    <t>Total 1601060 · Petty Cash Advances</t>
  </si>
  <si>
    <t>1601070 · Fuel Advance</t>
  </si>
  <si>
    <t>1601000 · Advances - Other</t>
  </si>
  <si>
    <t>Total 1601000 · Advances</t>
  </si>
  <si>
    <t>1602000 · Staff Loans</t>
  </si>
  <si>
    <t>1602010 · Insurance Claims - Medical</t>
  </si>
  <si>
    <t>1602020 · Other Loan</t>
  </si>
  <si>
    <t>1603000 · Refundable Deposits</t>
  </si>
  <si>
    <t>1603010 · Rent Deposit - Head Office</t>
  </si>
  <si>
    <t>1603020 · Sim Deposit - Mobile Phones</t>
  </si>
  <si>
    <t>1603030 · Electricity Deposit</t>
  </si>
  <si>
    <t>1603040 · Vehicle Hiring</t>
  </si>
  <si>
    <t>1603050 · Diyatha Uyana</t>
  </si>
  <si>
    <t>1603060 · Kloudip</t>
  </si>
  <si>
    <t>1603900 · Sundries</t>
  </si>
  <si>
    <t>1603000 · Refundable Deposits - Other</t>
  </si>
  <si>
    <t>Total 1603000 · Refundable Deposits</t>
  </si>
  <si>
    <t>1604000 · VAT Receivable</t>
  </si>
  <si>
    <t>1604010 · ESC Receivable</t>
  </si>
  <si>
    <t>1605000 · Prepayments</t>
  </si>
  <si>
    <t>1605010 · Insurance</t>
  </si>
  <si>
    <t>1605030 · Leases</t>
  </si>
  <si>
    <t>1605040 · Subscriptions</t>
  </si>
  <si>
    <t>Total 1605000 · Prepayments</t>
  </si>
  <si>
    <t>1606000 · CIS International (Pvt) Ltd</t>
  </si>
  <si>
    <t>1606010 · Teknowledge Shared Services (Pv</t>
  </si>
  <si>
    <t>1606020 · Siam Tropical Fish</t>
  </si>
  <si>
    <t>1606040 · Colombo Tropical Fish Internati</t>
  </si>
  <si>
    <t>1606050 · TFI - UK Ltd.</t>
  </si>
  <si>
    <t>1606060 · TFM - Tropical Fish Maldives</t>
  </si>
  <si>
    <t>1606070 · CIS Maldives</t>
  </si>
  <si>
    <t>Total 1600000 · Other Current Assets Accounts</t>
  </si>
  <si>
    <t>1800000 · Interest income receivable</t>
  </si>
  <si>
    <t>Total Other Current Assets</t>
  </si>
  <si>
    <t>Fixed Assets</t>
  </si>
  <si>
    <t>1100000 · Property, Plant &amp; Equipment</t>
  </si>
  <si>
    <t>1111000 · Land and Buildings</t>
  </si>
  <si>
    <t>Cost @ Wadduwa Land -06</t>
  </si>
  <si>
    <t>1111010 · Cost - Land at Wagawatta,Horana</t>
  </si>
  <si>
    <t>1111020 · Cost - Land at Wadduwa - 1</t>
  </si>
  <si>
    <t>1111021 · Cost - Land at Wadduwa - 2</t>
  </si>
  <si>
    <t>1111023 · Cost - Land @ Wadduwa (4)</t>
  </si>
  <si>
    <t>1111024 · Cost Land @ Wadduwa - 5</t>
  </si>
  <si>
    <t>1111025 · Cost - Land at Wadduwa - 6</t>
  </si>
  <si>
    <t>1111050 · Cost - Land at Ingiriya - 1</t>
  </si>
  <si>
    <t>1111051 · Cost - Land @ Ingiriya - 2</t>
  </si>
  <si>
    <t>1111052 · Cost @ Nawala Land</t>
  </si>
  <si>
    <t>1111100 · Cost - Office Building</t>
  </si>
  <si>
    <t>1111110 · Cost - Quarters</t>
  </si>
  <si>
    <t>1111120 · Cost - Packing Area 1 &amp; 2</t>
  </si>
  <si>
    <t>1111130 · Condition,Breading,Sales &amp; Livi</t>
  </si>
  <si>
    <t>1111140 · Cost - Fish Tanks</t>
  </si>
  <si>
    <t>1111150 · Cost - Anemone Fish Tanks</t>
  </si>
  <si>
    <t>1111200 · Cost - Buildings @ Wadduwa</t>
  </si>
  <si>
    <t>1111220 · Cost - Fish Tanks @ Wadduwa</t>
  </si>
  <si>
    <t>1111310 · Cost - Madala Ponds</t>
  </si>
  <si>
    <t>1111900 · Acc. Dep.- Buildings</t>
  </si>
  <si>
    <t>1111910 · Horana farm Buildings</t>
  </si>
  <si>
    <t>Total 1111000 · Land and Buildings</t>
  </si>
  <si>
    <t>1112000 · Motor Vehicles</t>
  </si>
  <si>
    <t>1112010 · Cost - Mortor Vehicle - Other</t>
  </si>
  <si>
    <t>1112050 · Cost - Double Cab</t>
  </si>
  <si>
    <t>1112100 · Cost - Lorry LE-6012 Lease Hold</t>
  </si>
  <si>
    <t>1112120 · Cost - Truck PP 9611 (CTF)</t>
  </si>
  <si>
    <t>1112140 · Cost - Toyota Pick-Up LK-0500</t>
  </si>
  <si>
    <t>1112150 · Cost - Susuki Swift WP KF-6766</t>
  </si>
  <si>
    <t>1112160 · Cost - Mahindra Cab LC-4972</t>
  </si>
  <si>
    <t>1112500 · Cost - Motor Bikes</t>
  </si>
  <si>
    <t>1112900 · Acc. Dep.- Motor Vehicles</t>
  </si>
  <si>
    <t>Total 1112000 · Motor Vehicles</t>
  </si>
  <si>
    <t>1113000 · Computers and Accessories</t>
  </si>
  <si>
    <t>1113010 · Cost - Computers &amp; Accessories</t>
  </si>
  <si>
    <t>1113020 · Cost - Safty Camera System</t>
  </si>
  <si>
    <t>1113030 · Cost - Access Conrol System</t>
  </si>
  <si>
    <t>1113500 · Cost - Software &amp; Programs</t>
  </si>
  <si>
    <t>1113900 · Acc. Dep.- Computers &amp; Access.</t>
  </si>
  <si>
    <t>1113000 · Computers and Accessories - Other</t>
  </si>
  <si>
    <t>Total 1113000 · Computers and Accessories</t>
  </si>
  <si>
    <t>1114000 · Office Equipments</t>
  </si>
  <si>
    <t>1114010 · Cost - Office Equipment</t>
  </si>
  <si>
    <t>1114900 · Acc. Dep.- Office Equipments</t>
  </si>
  <si>
    <t>1114000 · Office Equipments - Other</t>
  </si>
  <si>
    <t>Total 1114000 · Office Equipments</t>
  </si>
  <si>
    <t>1115000 · Furniture &amp; Fittings</t>
  </si>
  <si>
    <t>1115010 · Cost - Furniture &amp; Fittings</t>
  </si>
  <si>
    <t>1115900 · Acc. Dep.- Furniture &amp; Fittings</t>
  </si>
  <si>
    <t>1115000 · Furniture &amp; Fittings - Other</t>
  </si>
  <si>
    <t>Total 1115000 · Furniture &amp; Fittings</t>
  </si>
  <si>
    <t>1116000 · Farm Equipments</t>
  </si>
  <si>
    <t>1116010 · Cost - Fram Equipments</t>
  </si>
  <si>
    <t>1116020 · Cost - Generator Lease Hold</t>
  </si>
  <si>
    <t>1116030 · Cost - Farm Motor and Blowers</t>
  </si>
  <si>
    <t>1116900 · Acc. Dep.- Fram Equipments</t>
  </si>
  <si>
    <t>Total 1116000 · Farm Equipments</t>
  </si>
  <si>
    <t>1117000 · Wadduwa Equipments</t>
  </si>
  <si>
    <t>1116040 · Cost - Wadduwa Equipments</t>
  </si>
  <si>
    <t>1117020 · Cost - Wadduwa Furniture &amp; Fitt</t>
  </si>
  <si>
    <t>1117050 · Cost -Wadduwa Solar pv Equipmen</t>
  </si>
  <si>
    <t>1117900 · Acc. Dep.- Wadduwa Equipments</t>
  </si>
  <si>
    <t>1117920 · Acc Dep-Wadduwa Solar Equipment</t>
  </si>
  <si>
    <t>Total 1117000 · Wadduwa Equipments</t>
  </si>
  <si>
    <t>Total 1100000 · Property, Plant &amp; Equipment</t>
  </si>
  <si>
    <t>1120000 · Work In Progress</t>
  </si>
  <si>
    <t>1120010 · Cost - Wadduwa Land (WIP)</t>
  </si>
  <si>
    <t>1120030 · Cost - Ingiriya Project (WIP)</t>
  </si>
  <si>
    <t>1120040 · Cost - Diyatha Uyana Project</t>
  </si>
  <si>
    <t>1120050 · Cost - Kalpitiya Project - WIP</t>
  </si>
  <si>
    <t>1120060 · Cost-Horana Adjoining Land(WIP)</t>
  </si>
  <si>
    <t>1120070 · Cost - Trinco Project</t>
  </si>
  <si>
    <t>1120080 · Cost - Wadduwa Building (WIP)</t>
  </si>
  <si>
    <t>1120090 · Cost - Horana 200 tank project</t>
  </si>
  <si>
    <t>1120091 · Cost-Horana 400 tank project</t>
  </si>
  <si>
    <t>1120095 · Free Zone Project -Katunayake</t>
  </si>
  <si>
    <t>1120000 · Work In Progress - Other</t>
  </si>
  <si>
    <t>Total 1120000 · Work In Progress</t>
  </si>
  <si>
    <t>1300000 · Investment - Long Term</t>
  </si>
  <si>
    <t>1300010 · Aquisition of CTF</t>
  </si>
  <si>
    <t>130020 · Impairement Provision</t>
  </si>
  <si>
    <t>Total 1300000 · Investment - Long Term</t>
  </si>
  <si>
    <t>1000000 · Non Current Assets - Other</t>
  </si>
  <si>
    <t>Total 1000000 · Non Current Assets</t>
  </si>
  <si>
    <t>Total Fixed Assets</t>
  </si>
  <si>
    <t>Other Assets</t>
  </si>
  <si>
    <t>bolgoda land current A/c</t>
  </si>
  <si>
    <t>1500000 · Development Projects</t>
  </si>
  <si>
    <t>1500011 · Project Free trade Zone Katunay</t>
  </si>
  <si>
    <t>Total 1500000 · Development Projects</t>
  </si>
  <si>
    <t>Total Other Assets</t>
  </si>
  <si>
    <t>TOTAL ASSETS</t>
  </si>
  <si>
    <t>LIABILITIES &amp; EQUITY</t>
  </si>
  <si>
    <t>Liabilities</t>
  </si>
  <si>
    <t>Accounts Payable</t>
  </si>
  <si>
    <t>Total Accounts Payable</t>
  </si>
  <si>
    <t>2400000 · Credit Cards</t>
  </si>
  <si>
    <t>2400010 · C.I. Sam 5179-6400-1008-4108</t>
  </si>
  <si>
    <t>2400020 · H.K.V. Sam 5179-6400-1008-4157</t>
  </si>
  <si>
    <t>Total 2400000 · Credit Cards</t>
  </si>
  <si>
    <t>Total Credit Cards</t>
  </si>
  <si>
    <t>Other Current Liabilities</t>
  </si>
  <si>
    <t>2100000 · Payroll Liabilities</t>
  </si>
  <si>
    <t>2100010 · Salary Control Account</t>
  </si>
  <si>
    <t>2100020 · PAYE Tax Payable</t>
  </si>
  <si>
    <t>2100030 · Stamp Duty Payable</t>
  </si>
  <si>
    <t>2100040 · EPF Payable</t>
  </si>
  <si>
    <t>2100050 · ETF Payable</t>
  </si>
  <si>
    <t>2100060 · Retirement Benifits Obligations</t>
  </si>
  <si>
    <t>Total 2100000 · Payroll Liabilities</t>
  </si>
  <si>
    <t>2200000 · Other Current Liabilities</t>
  </si>
  <si>
    <t>2200010 · Intercompany Loan CISSL</t>
  </si>
  <si>
    <t>2200020 · WHT Payable</t>
  </si>
  <si>
    <t>2200050 · Audit Fees Payable</t>
  </si>
  <si>
    <t>2200095 · Annual Bonus Payable</t>
  </si>
  <si>
    <t>2201000 · Short Term Browwings</t>
  </si>
  <si>
    <t>220001 · Short term Ln 1M- Mercantile In</t>
  </si>
  <si>
    <t>2201070 · BOC AMAX Facility for CIS A/c</t>
  </si>
  <si>
    <t>Total 2201000 · Short Term Browwings</t>
  </si>
  <si>
    <t>2202000 · Directors Current Accounts</t>
  </si>
  <si>
    <t>2203040 · Mr. Samarasinghe - Temp Loan</t>
  </si>
  <si>
    <t>2203050 · Charitha Samarasinghe Current A</t>
  </si>
  <si>
    <t>2202000 · Directors Current Accounts - Other</t>
  </si>
  <si>
    <t>Total 2202000 · Directors Current Accounts</t>
  </si>
  <si>
    <t>2203010 · CIS INTERNATIONAL HOLDINGS</t>
  </si>
  <si>
    <t>2203020 · Orient Logistics (Pvt) Ltd</t>
  </si>
  <si>
    <t>2203030 · CIS INTERNATIONAL HOLDINGS CORP</t>
  </si>
  <si>
    <t>Total 2200000 · Other Current Liabilities</t>
  </si>
  <si>
    <t>Total Other Current Liabilities</t>
  </si>
  <si>
    <t>Long Term Liabilities</t>
  </si>
  <si>
    <t>2000000 · Long Term Liabilities</t>
  </si>
  <si>
    <t>2000002 · LOFC F4-12-0828DI - 25 Mn LTL</t>
  </si>
  <si>
    <t>2000003 · LOFC F4-12-0830DI - 15 Mn LTL</t>
  </si>
  <si>
    <t>2000005 · LOLC F5-12-0547DI  1.85Mn car l</t>
  </si>
  <si>
    <t>2000013 · LOFC F5-10-0906DI  Rs.5 mn LTL</t>
  </si>
  <si>
    <t>2000016 · LOFC  F6-08-4991BJ  2 Mn</t>
  </si>
  <si>
    <t>2000017 · F6-08-256BJ - 5Mn speed draft</t>
  </si>
  <si>
    <t>2000091 · Mercantile Investment -Lk 0500</t>
  </si>
  <si>
    <t>2000092 · Interest In Suspence -Lk0500</t>
  </si>
  <si>
    <t>2000093 · Mercantile Investment-WPKF 6766</t>
  </si>
  <si>
    <t>2000094 · Interest In Suspence -WPKF 6766</t>
  </si>
  <si>
    <t>2000100 · Peoples Bank Loan - Nawala Land</t>
  </si>
  <si>
    <t>Total 2000000 · Long Term Liabilities</t>
  </si>
  <si>
    <t>Total Long Term Liabilities</t>
  </si>
  <si>
    <t>Total Liabilities</t>
  </si>
  <si>
    <t>3000010 · Stated Capital</t>
  </si>
  <si>
    <t>3001000 · Retained Earnings</t>
  </si>
  <si>
    <t>3002000 · Current Earnings</t>
  </si>
  <si>
    <t>3004000 · Revaluation Surplus - F / A</t>
  </si>
  <si>
    <t>Total 3000000 · Equity Accounts</t>
  </si>
  <si>
    <t>Net Income</t>
  </si>
  <si>
    <t>TOTAL LIABILITIES &amp; EQUITY</t>
  </si>
  <si>
    <t>Jan - Dec 16</t>
  </si>
  <si>
    <t>Ordinary Income/Expense</t>
  </si>
  <si>
    <t>Income</t>
  </si>
  <si>
    <t>4000010 · Tropical Fish Sales</t>
  </si>
  <si>
    <t>4000020 · Live Rocks (Coral) Sales</t>
  </si>
  <si>
    <t>4000040 · Cartoon + Styrofoam Combination</t>
  </si>
  <si>
    <t>4000050 · Commi.for sale of use Generator</t>
  </si>
  <si>
    <t>4000110 · Packing Income - Reimbusable</t>
  </si>
  <si>
    <t>4000120 · Freight Income - Reimbursable</t>
  </si>
  <si>
    <t>4000130 · Documentation &amp; Handling Income</t>
  </si>
  <si>
    <t>4001000 · Diyatha Uyana - Sales Outlet</t>
  </si>
  <si>
    <t>4001010 · Live Fish Sales</t>
  </si>
  <si>
    <t>4001060 · Live Fish Purchases</t>
  </si>
  <si>
    <t>4001130 · Tools, Equip &amp; Maintanance</t>
  </si>
  <si>
    <t>Total 4001000 · Diyatha Uyana - Sales Outlet</t>
  </si>
  <si>
    <t>4000000 · Sales Income - Other</t>
  </si>
  <si>
    <t>Total 4000000 · Sales Income</t>
  </si>
  <si>
    <t>Total Income</t>
  </si>
  <si>
    <t>5100200 · Closing Stock</t>
  </si>
  <si>
    <t>5100220 · Live Fish</t>
  </si>
  <si>
    <t>5100230 · Equipments</t>
  </si>
  <si>
    <t>Total 5100200 · Closing Stock</t>
  </si>
  <si>
    <t>5101000 · Live Fish, Dry Goods &amp; Packing</t>
  </si>
  <si>
    <t>5101010 · Live Fish Purchases</t>
  </si>
  <si>
    <t>5101020 · Dried Goods Purchases</t>
  </si>
  <si>
    <t>5101030 · Salt Purchases</t>
  </si>
  <si>
    <t>5101040 · Packing Materials</t>
  </si>
  <si>
    <t>Total 5101000 · Live Fish, Dry Goods &amp; Packing</t>
  </si>
  <si>
    <t>5102000 · Project Costs (Coral, Cartoon)</t>
  </si>
  <si>
    <t>5102009 · Coral Rock Purchasing</t>
  </si>
  <si>
    <t>5102010 · Coral Rock Laying &amp; Harvesting</t>
  </si>
  <si>
    <t>5102011 · Casual Labour Expenses</t>
  </si>
  <si>
    <t>5102012 · Farm Lorry Fuel Expenses</t>
  </si>
  <si>
    <t>5102013 · Transpotation Expenses</t>
  </si>
  <si>
    <t>5102014 · Staff Welfare</t>
  </si>
  <si>
    <t>5102016 · Postage , Printing ,Stationery</t>
  </si>
  <si>
    <t>5102017 · Packing Material</t>
  </si>
  <si>
    <t>5102018 · Monthly Fees - Live Care Taking</t>
  </si>
  <si>
    <t>5102019 · Permit Charges - Live Rock</t>
  </si>
  <si>
    <t>5102020 · Cardboard Cartoon Boxes</t>
  </si>
  <si>
    <t>Total 5102000 · Project Costs (Coral, Cartoon)</t>
  </si>
  <si>
    <t>5103000 · Freight &amp; Handling Charges</t>
  </si>
  <si>
    <t>5103010 · Export Freight  - Live Fish</t>
  </si>
  <si>
    <t>5103011 · Export Freight - Live Rock</t>
  </si>
  <si>
    <t>5103012 · Export Freight - Cartoon</t>
  </si>
  <si>
    <t>5103020 · Handling &amp; Documentation Charge</t>
  </si>
  <si>
    <t>5103030 · Imports Freight Charges</t>
  </si>
  <si>
    <t>5103040 · Freight Charges - Maldives Expt</t>
  </si>
  <si>
    <t>5103050 · Other  freight and Handling</t>
  </si>
  <si>
    <t>Total 5103000 · Freight &amp; Handling Charges</t>
  </si>
  <si>
    <t>5104000 · Direct Labour</t>
  </si>
  <si>
    <t>5104010 · Wages</t>
  </si>
  <si>
    <t>5104020 · Labour EPF</t>
  </si>
  <si>
    <t>5104030 · Labour ETF</t>
  </si>
  <si>
    <t>5104040 · Farm Labour Allowance</t>
  </si>
  <si>
    <t>5104050 · Farm Labour OT @ 1.5/hr</t>
  </si>
  <si>
    <t>5104060 · Farm Labour OT @ 2/hr</t>
  </si>
  <si>
    <t>5104070 · Annual Bonus</t>
  </si>
  <si>
    <t>Total 5104000 · Direct Labour</t>
  </si>
  <si>
    <t>5105000 · Direct Farm Overheads</t>
  </si>
  <si>
    <t>5105010 · Sea Water Pumping/ Transport</t>
  </si>
  <si>
    <t>5105070 · Accommodation &amp; Meals</t>
  </si>
  <si>
    <t>Total 5105000 · Direct Farm Overheads</t>
  </si>
  <si>
    <t>5106000 · Styrofom Box Project</t>
  </si>
  <si>
    <t>5106003 · Handling &amp; Documentation Charge</t>
  </si>
  <si>
    <t>5106004 · Direct Labour</t>
  </si>
  <si>
    <t>5106005 · Packing Materials</t>
  </si>
  <si>
    <t>5106006 · Production</t>
  </si>
  <si>
    <t>5106008 · Labour Charges</t>
  </si>
  <si>
    <t>5106009 · Materials</t>
  </si>
  <si>
    <t>Total 5106006 · Production</t>
  </si>
  <si>
    <t>5106000 · Styrofom Box Project - Other</t>
  </si>
  <si>
    <t>Total 5106000 · Styrofom Box Project</t>
  </si>
  <si>
    <t>5100000 · Cost of Sales - Other</t>
  </si>
  <si>
    <t>Total 5100000 · Cost of Sales</t>
  </si>
  <si>
    <t>Total COGS</t>
  </si>
  <si>
    <t>Expense</t>
  </si>
  <si>
    <t>5000000 · Expenses</t>
  </si>
  <si>
    <t>5200000 · Wagawatta Farm Expenses</t>
  </si>
  <si>
    <t>5201000 · Indirect Expenses</t>
  </si>
  <si>
    <t>5201010 · Farm Generator Expenses</t>
  </si>
  <si>
    <t>5201020 · Farm Electricity Expenses</t>
  </si>
  <si>
    <t>5201030 · Farm Casual Labour Expenses</t>
  </si>
  <si>
    <t>5201040 · Farm Staff Welfare</t>
  </si>
  <si>
    <t>5201041 · Drinking Water  - SL Farm</t>
  </si>
  <si>
    <t>5201050 · Farm Hotel &amp; Lodging Expenses</t>
  </si>
  <si>
    <t>5201052 · Foods &amp; Beverages</t>
  </si>
  <si>
    <t>Total 5201050 · Farm Hotel &amp; Lodging Expenses</t>
  </si>
  <si>
    <t>5201060 · Horana farm meals &amp; refreshment</t>
  </si>
  <si>
    <t>5201070 · Pest Control Expenses</t>
  </si>
  <si>
    <t>5201080 · Transpotation Expenses</t>
  </si>
  <si>
    <t>5201090 · Farm Insurance Expenses</t>
  </si>
  <si>
    <t>5201091 · Life &amp; General lFram Insurances</t>
  </si>
  <si>
    <t>5201092 · Vehicle Insurances</t>
  </si>
  <si>
    <t>Total 5201090 · Farm Insurance Expenses</t>
  </si>
  <si>
    <t>5201100 · Farm Professional Expenses</t>
  </si>
  <si>
    <t>5201000 · Indirect Expenses - Other</t>
  </si>
  <si>
    <t>Total 5201000 · Indirect Expenses</t>
  </si>
  <si>
    <t>5202000 · Payroll Expenses</t>
  </si>
  <si>
    <t>5202010 · Farm Management Salary</t>
  </si>
  <si>
    <t>5202020 · Farm Management EPF</t>
  </si>
  <si>
    <t>5202030 · Farm Management ETF</t>
  </si>
  <si>
    <t>5202040 · Farm Mgt. Other Allowances</t>
  </si>
  <si>
    <t>5202050 · Farm Mgt. Car &amp; Fuel  Allowance</t>
  </si>
  <si>
    <t>5202060 · Farm Mgt. Performance Bonus</t>
  </si>
  <si>
    <t>5202096 · Annual Bonus</t>
  </si>
  <si>
    <t>Total 5202000 · Payroll Expenses</t>
  </si>
  <si>
    <t>5203000 · Farm Communication Expenses</t>
  </si>
  <si>
    <t>5203020 · Farm Land Line No.034-3448849</t>
  </si>
  <si>
    <t>5203030 · Farm Land Line No.034-2255690</t>
  </si>
  <si>
    <t>5203040 · Farm BroadBand Charges</t>
  </si>
  <si>
    <t>5203050 · Farm wifi line No. 0342255590</t>
  </si>
  <si>
    <t>5203060 · Farm Mobile Charges</t>
  </si>
  <si>
    <t>5203090 · Horana Farm Leased Line</t>
  </si>
  <si>
    <t>Total 5203000 · Farm Communication Expenses</t>
  </si>
  <si>
    <t>5204000 · Farm Vehicle Expenses</t>
  </si>
  <si>
    <t>5204010 · Vehicle Repair &amp; Maintanance</t>
  </si>
  <si>
    <t>5204020 · Vehicle Registration &amp; Renewal</t>
  </si>
  <si>
    <t>5204030 · Tyres Replacement &amp; Repair</t>
  </si>
  <si>
    <t>5204040 · Farm Vehicle Services Expenses</t>
  </si>
  <si>
    <t>5204050 · Farm Bikes Fuel Expenses</t>
  </si>
  <si>
    <t>5204070 · Farm Lorry Fuel Expenses</t>
  </si>
  <si>
    <t>5204090 · Farm Cab Fuel Expenses</t>
  </si>
  <si>
    <t>5204100 · Horana farm Taxi vehicle fuel</t>
  </si>
  <si>
    <t>Total 5204000 · Farm Vehicle Expenses</t>
  </si>
  <si>
    <t>5205000 · Other Farm Overheads</t>
  </si>
  <si>
    <t>5205010 · Maintenance - Farm Equipments</t>
  </si>
  <si>
    <t>5205030 · Farm Tools Expenses</t>
  </si>
  <si>
    <t>5205040 · General Repair &amp; Maintanance</t>
  </si>
  <si>
    <t>5205050 · Postage,Printing &amp; Stationeries</t>
  </si>
  <si>
    <t>5205060 · Security Expenses</t>
  </si>
  <si>
    <t>5205070 · Supplier Visit Expenses</t>
  </si>
  <si>
    <t>5205110 · Farm hire expenses</t>
  </si>
  <si>
    <t>5205130 · Expenses for Horana 400 Tank pr</t>
  </si>
  <si>
    <t>5205990 · Miscellaneous Expenses</t>
  </si>
  <si>
    <t>5205000 · Other Farm Overheads - Other</t>
  </si>
  <si>
    <t>Total 5205000 · Other Farm Overheads</t>
  </si>
  <si>
    <t>5206000 · Finance &amp; Other Charges</t>
  </si>
  <si>
    <t>5206010 · Long Term Loan Interests</t>
  </si>
  <si>
    <t>5206020 · Short Term Loan Interests</t>
  </si>
  <si>
    <t>5206040 · Bank Charges</t>
  </si>
  <si>
    <t>5206080 · Exhibition &amp; Business Promotion</t>
  </si>
  <si>
    <t>5206100 · Surcharges &amp; Panalties</t>
  </si>
  <si>
    <t>5206110 · Taxes and Levyies</t>
  </si>
  <si>
    <t>5206000 · Finance &amp; Other Charges - Other</t>
  </si>
  <si>
    <t>Total 5206000 · Finance &amp; Other Charges</t>
  </si>
  <si>
    <t>Total 5200000 · Wagawatta Farm Expenses</t>
  </si>
  <si>
    <t>5210000 · Wadduwa Farm Expenses</t>
  </si>
  <si>
    <t>5211000 · Wadduwa Administration Expense</t>
  </si>
  <si>
    <t>5211010 · Generator Expense - Wadduwa</t>
  </si>
  <si>
    <t>5211011 · Water Moter Hiring &amp; Fuel Cost</t>
  </si>
  <si>
    <t>5211020 · Electricity Expenses</t>
  </si>
  <si>
    <t>5211030 · Casual Labour Exp. Wadduwa</t>
  </si>
  <si>
    <t>5211040 · Staff Welfare - Wadduwa</t>
  </si>
  <si>
    <t>5211041 · Meals &amp; Refreshment - Wadduwa</t>
  </si>
  <si>
    <t>5211050 · Water Charges - Wadduwa</t>
  </si>
  <si>
    <t>5211051 · Drinking Water Bottles</t>
  </si>
  <si>
    <t>5211060 · Professional Fees - Wadduwa</t>
  </si>
  <si>
    <t>5211061 · Donation &amp; Subscription</t>
  </si>
  <si>
    <t>5211070 · Insurance Expenses - General</t>
  </si>
  <si>
    <t>5211071 · Accomadation Charges</t>
  </si>
  <si>
    <t>5211080 · Transportation Expenses</t>
  </si>
  <si>
    <t>5211081 · Fuel &amp; Oils</t>
  </si>
  <si>
    <t>5211000 · Wadduwa Administration Expense - Other</t>
  </si>
  <si>
    <t>Total 5211000 · Wadduwa Administration Expense</t>
  </si>
  <si>
    <t>5212000 · Wadduwa Salary Expenses</t>
  </si>
  <si>
    <t>5212010 · Management Salary - Wadduwa</t>
  </si>
  <si>
    <t>5212020 · Management EPF - Wadduwa</t>
  </si>
  <si>
    <t>5212030 · Management ETF - Wadduwa</t>
  </si>
  <si>
    <t>5212040 · Allowances - Wadduwa</t>
  </si>
  <si>
    <t>5212090 · Annual Bonus</t>
  </si>
  <si>
    <t>5212000 · Wadduwa Salary Expenses - Other</t>
  </si>
  <si>
    <t>Total 5212000 · Wadduwa Salary Expenses</t>
  </si>
  <si>
    <t>5213000 · Communication Expenses - Wadduw</t>
  </si>
  <si>
    <t>5213010 · Mobile Bills - Wadduwa</t>
  </si>
  <si>
    <t>5213020 · Broadband Bills - Wadduwa</t>
  </si>
  <si>
    <t>5213030 · Wadduwa Land Line No.0382285480</t>
  </si>
  <si>
    <t>5213040 · Waduwa 4G LTE Office</t>
  </si>
  <si>
    <t>Total 5213000 · Communication Expenses - Wadduw</t>
  </si>
  <si>
    <t>5214000 · Wadduwa Vehicle Expenses</t>
  </si>
  <si>
    <t>5214020 · Tyres Replacement &amp; Repairs-Wad</t>
  </si>
  <si>
    <t>5214030 · Vehicle Services - Wadduwa</t>
  </si>
  <si>
    <t>5214050 · Vehicle Insurance, Licen &amp; Renw</t>
  </si>
  <si>
    <t>5214060 · Fuel for Lorry - LE 6012</t>
  </si>
  <si>
    <t>Total 5214000 · Wadduwa Vehicle Expenses</t>
  </si>
  <si>
    <t>5215000 · Wadduwa Overheads</t>
  </si>
  <si>
    <t>5215030 · Tools &amp; Accessories</t>
  </si>
  <si>
    <t>5215040 · General Repair &amp; Maintanance</t>
  </si>
  <si>
    <t>5215050 · Postage, Printing &amp; Stationery</t>
  </si>
  <si>
    <t>5215060 · Security Expenses - Wadduwa</t>
  </si>
  <si>
    <t>5215070 · Office Rent - Wadduwa</t>
  </si>
  <si>
    <t>5215120 · Depriciation -Wadduwa Solar Equ</t>
  </si>
  <si>
    <t>Total 5215000 · Wadduwa Overheads</t>
  </si>
  <si>
    <t>5216000 · Finance &amp; Others</t>
  </si>
  <si>
    <t>5216010 · Sundry Expenses</t>
  </si>
  <si>
    <t>5216020 · Taxes ,Rate &amp; Levies @ Wadduwa</t>
  </si>
  <si>
    <t>5216030 · Bank Charges @ Wadduwa</t>
  </si>
  <si>
    <t>Total 5216000 · Finance &amp; Others</t>
  </si>
  <si>
    <t>5210000 · Wadduwa Farm Expenses - Other</t>
  </si>
  <si>
    <t>Total 5210000 · Wadduwa Farm Expenses</t>
  </si>
  <si>
    <t>5220000 · Madala Site Expenses</t>
  </si>
  <si>
    <t>5221000 · Madala Administration Expense</t>
  </si>
  <si>
    <t>5221020 · Water Pumping for Ponds -Madala</t>
  </si>
  <si>
    <t>5221040 · Staff Welfare - Madala</t>
  </si>
  <si>
    <t>5221050 · Mobils Bills - Madala</t>
  </si>
  <si>
    <t>5221060 · Broadband  Bills - Madala</t>
  </si>
  <si>
    <t>5221070 · Ponds cultur project Expenses</t>
  </si>
  <si>
    <t>Total 5221000 · Madala Administration Expense</t>
  </si>
  <si>
    <t>5225000 · Madala Oveheads</t>
  </si>
  <si>
    <t>5225040 · General Repair &amp; Maintanace-Mad</t>
  </si>
  <si>
    <t>5225060 · Security Expenses-Madala</t>
  </si>
  <si>
    <t>Total 5225000 · Madala Oveheads</t>
  </si>
  <si>
    <t>Total 5220000 · Madala Site Expenses</t>
  </si>
  <si>
    <t>5240000 · Horana 2 Rented Farm - Ingiriya</t>
  </si>
  <si>
    <t>5241000 · Ingiriya Farm Administration</t>
  </si>
  <si>
    <t>5241030 · Security Charges</t>
  </si>
  <si>
    <t>5241040 · Staff Welfare</t>
  </si>
  <si>
    <t>5241041 · meals &amp; refreshment</t>
  </si>
  <si>
    <t>5241040 · Staff Welfare - Other</t>
  </si>
  <si>
    <t>Total 5241040 · Staff Welfare</t>
  </si>
  <si>
    <t>5241050 · Mobils and Broadbands Bills</t>
  </si>
  <si>
    <t>Total 5241000 · Ingiriya Farm Administration</t>
  </si>
  <si>
    <t>5242000 · Horana 2 Farm Salary Expenses</t>
  </si>
  <si>
    <t>5242010 · Management Salary-Horana 2 Farm</t>
  </si>
  <si>
    <t>5242020 · Management EPF - Horana 2</t>
  </si>
  <si>
    <t>5242030 · Management ETF - Horana 2</t>
  </si>
  <si>
    <t>5242040 · Annual Bonus</t>
  </si>
  <si>
    <t>Total 5242000 · Horana 2 Farm Salary Expenses</t>
  </si>
  <si>
    <t>5245000 · Ingiriya Farm Overheads</t>
  </si>
  <si>
    <t>5245030 · Travelling charges</t>
  </si>
  <si>
    <t>5245040 · General Repair &amp; Maintanance</t>
  </si>
  <si>
    <t>5245070 · Farm Rent - Horana 2</t>
  </si>
  <si>
    <t>Total 5245000 · Ingiriya Farm Overheads</t>
  </si>
  <si>
    <t>Total 5240000 · Horana 2 Rented Farm - Ingiriya</t>
  </si>
  <si>
    <t>5250000 · Construction Machinery Expenses</t>
  </si>
  <si>
    <t>5230010 · Rent - Agri-Equipment Yard</t>
  </si>
  <si>
    <t>5230020 · Electricity Expenses - Agri-Equ</t>
  </si>
  <si>
    <t>5230060 · Security Expenses - Agri-Equip</t>
  </si>
  <si>
    <t>Total 5250000 · Construction Machinery Expenses</t>
  </si>
  <si>
    <t>5260000 · Generator Warehouse Expenses</t>
  </si>
  <si>
    <t>5260010 · Rent – Generator Warehouse</t>
  </si>
  <si>
    <t>Total 5260000 · Generator Warehouse Expenses</t>
  </si>
  <si>
    <t>5300000 · Head Office Expenses</t>
  </si>
  <si>
    <t>5301000 · Payroll Expenses</t>
  </si>
  <si>
    <t>5301010 · Staff Salaries - Head Office</t>
  </si>
  <si>
    <t>5301040 · Other Allowances</t>
  </si>
  <si>
    <t>5301050 · EPF - Head Office Staff</t>
  </si>
  <si>
    <t>5301060 · ETF - Head Office Staff</t>
  </si>
  <si>
    <t>5301080 · Director Fee</t>
  </si>
  <si>
    <t>5301095 · Annual Bonus</t>
  </si>
  <si>
    <t>5301100 · IT Consultancy fee</t>
  </si>
  <si>
    <t>Total 5301000 · Payroll Expenses</t>
  </si>
  <si>
    <t>5302000 · Direct Administration</t>
  </si>
  <si>
    <t>5302010 · Audit Fees</t>
  </si>
  <si>
    <t>5302020 · Professional Fees</t>
  </si>
  <si>
    <t>5302030 · Staff Welfare</t>
  </si>
  <si>
    <t>5302040 · Insurance Expenses</t>
  </si>
  <si>
    <t>5302041 · Insurance Exp. - Life &amp; General</t>
  </si>
  <si>
    <t>5302042 · Insurance Exp. - Vehicles</t>
  </si>
  <si>
    <t>5302040 · Insurance Expenses - Other</t>
  </si>
  <si>
    <t>Total 5302040 · Insurance Expenses</t>
  </si>
  <si>
    <t>5302050 · Staff Recruitment &amp; Training</t>
  </si>
  <si>
    <t>5302060 · BOI Annual Fees</t>
  </si>
  <si>
    <t>5302070 · Dues &amp; Subscriptions</t>
  </si>
  <si>
    <t>5302080 · Postage,Printing &amp; Stationeries</t>
  </si>
  <si>
    <t>5302090 · Computer Equipment Maintenance</t>
  </si>
  <si>
    <t>5302100 · General Repairs &amp; Maintenance</t>
  </si>
  <si>
    <t>5302110 · Rates and Taxes</t>
  </si>
  <si>
    <t>5302130 · Fuel for Generator</t>
  </si>
  <si>
    <t>5302935 · Exhibition &amp; Trade fairs</t>
  </si>
  <si>
    <t>5302990 · Miscellaneous Expenses</t>
  </si>
  <si>
    <t>Total 5302000 · Direct Administration</t>
  </si>
  <si>
    <t>5303000 · Communication Expenses</t>
  </si>
  <si>
    <t>5303010 · Land Line No.011-2873980</t>
  </si>
  <si>
    <t>5303020 · Leased Line Charges</t>
  </si>
  <si>
    <t>5303030 · Mobile Bills</t>
  </si>
  <si>
    <t>5303040 · Broadband Bills</t>
  </si>
  <si>
    <t>5303050 · VPN Charges</t>
  </si>
  <si>
    <t>5303080 · ADSL Line 0112075525</t>
  </si>
  <si>
    <t>5303090 · SLT - Buddhika - 0332245246</t>
  </si>
  <si>
    <t>5303000 · Communication Expenses - Other</t>
  </si>
  <si>
    <t>Total 5303000 · Communication Expenses</t>
  </si>
  <si>
    <t>5304000 · Utility Expenses</t>
  </si>
  <si>
    <t>5304010 · Water Bottles - Drinking</t>
  </si>
  <si>
    <t>5304020 · Water Charges</t>
  </si>
  <si>
    <t>5304030 · Rent - Head Office</t>
  </si>
  <si>
    <t>5304040 · Electricity Head Office</t>
  </si>
  <si>
    <t>5304060 · Janitorial services</t>
  </si>
  <si>
    <t>Total 5304000 · Utility Expenses</t>
  </si>
  <si>
    <t>5305000 · Travelling &amp; Transport</t>
  </si>
  <si>
    <t>5305010 · Vehicle Hire/Lease</t>
  </si>
  <si>
    <t>5305030 · Vehicle Maintenance Expenses</t>
  </si>
  <si>
    <t>5305040 · Foreign Travelling</t>
  </si>
  <si>
    <t>5305050 · Motor Bike Expenses - H/O</t>
  </si>
  <si>
    <t>5305060 · Travelling Charges</t>
  </si>
  <si>
    <t>5305070 · Vehicle License and Renewals</t>
  </si>
  <si>
    <t>5305080 · Fuel for van</t>
  </si>
  <si>
    <t>5305090 · Fuel Expenses</t>
  </si>
  <si>
    <t>5305091 · Fuel Bike  UQ 3572</t>
  </si>
  <si>
    <t>5305092 · Fuel for JR 5522</t>
  </si>
  <si>
    <t>5305093 · Fuel KN 9583</t>
  </si>
  <si>
    <t>5305094 · Fuel BAD-4978</t>
  </si>
  <si>
    <t>5305095 · Fuel bike UQ-3540</t>
  </si>
  <si>
    <t>5305090 · Fuel Expenses - Other</t>
  </si>
  <si>
    <t>Total 5305090 · Fuel Expenses</t>
  </si>
  <si>
    <t>5305000 · Travelling &amp; Transport - Other</t>
  </si>
  <si>
    <t>Total 5305000 · Travelling &amp; Transport</t>
  </si>
  <si>
    <t>5306000 · Depreciation Expenses</t>
  </si>
  <si>
    <t>Total 5306000 · Depreciation Expenses</t>
  </si>
  <si>
    <t>5307000 · Selling &amp; Distribution Expenses</t>
  </si>
  <si>
    <t>5307010 · Advertisment Expenses</t>
  </si>
  <si>
    <t>Total 5307000 · Selling &amp; Distribution Expenses</t>
  </si>
  <si>
    <t>5308000 · Finance &amp; Other Charges</t>
  </si>
  <si>
    <t>5308020 · Bank Charges</t>
  </si>
  <si>
    <t>5308030 · Interest Expense - Overdraft</t>
  </si>
  <si>
    <t>5308040 · Loan Interests Expenses</t>
  </si>
  <si>
    <t>5308050 · Lease Interests Expenses</t>
  </si>
  <si>
    <t>5308060 · Exchange Gain / (Loss)</t>
  </si>
  <si>
    <t>5308080 · CSR Projects</t>
  </si>
  <si>
    <t>5308110 · Entertainment Expenses</t>
  </si>
  <si>
    <t>5309100 · Surcharges &amp; Panalties</t>
  </si>
  <si>
    <t>5309110 · Bill Disc-up front Interest</t>
  </si>
  <si>
    <t>5309120 · Bill Discou. Over Due  Interest</t>
  </si>
  <si>
    <t>5308000 · Finance &amp; Other Charges - Other</t>
  </si>
  <si>
    <t>Total 5308000 · Finance &amp; Other Charges</t>
  </si>
  <si>
    <t>5300000 · Head Office Expenses - Other</t>
  </si>
  <si>
    <t>Total 5300000 · Head Office Expenses</t>
  </si>
  <si>
    <t>Total 5000000 · Expenses</t>
  </si>
  <si>
    <t>5218000 · Free Zone Project - Katunayake</t>
  </si>
  <si>
    <t>Total Expense</t>
  </si>
  <si>
    <t>Net Ordinary Income</t>
  </si>
  <si>
    <t>Other Income/Expense</t>
  </si>
  <si>
    <t>4200000 · Other Income Accounts</t>
  </si>
  <si>
    <t>4200010 · Sales of Discards</t>
  </si>
  <si>
    <t>4200020 · Sales of Produce</t>
  </si>
  <si>
    <t>4200040 · Interest Income</t>
  </si>
  <si>
    <t>4200050 · Profit / (Loss) on Disposals</t>
  </si>
  <si>
    <t>4200070 · Discount from Vendors</t>
  </si>
  <si>
    <t>420080 · Other Sundry Income</t>
  </si>
  <si>
    <t>420090 · Account payable write off</t>
  </si>
  <si>
    <t>Total 4200000 · Other Income Accounts</t>
  </si>
  <si>
    <t>Total Other Income</t>
  </si>
  <si>
    <t>Other Expense</t>
  </si>
  <si>
    <t>Total Other Expense</t>
  </si>
  <si>
    <t>Net Other Income</t>
  </si>
  <si>
    <t>1607010 · Receivable - Niluka</t>
  </si>
  <si>
    <t>People's Bank - LKR Current Account (359100140012461) - Piliyandala</t>
  </si>
  <si>
    <t xml:space="preserve"> Peoples Bank - LKR Savings A/c-</t>
  </si>
  <si>
    <t>BOC - Wadduwa</t>
  </si>
  <si>
    <t>People's Bank - Piliyandala-LKR</t>
  </si>
  <si>
    <t xml:space="preserve">Nation Trust Bank </t>
  </si>
  <si>
    <t>Short-term investment in Fixed deposit</t>
  </si>
  <si>
    <t>BOC - Fixed Deposit - 7171</t>
  </si>
  <si>
    <t>NTB-Fixed diposit</t>
  </si>
  <si>
    <t>NTB - Call Deposits</t>
  </si>
  <si>
    <t>HNB Head Office Account (3010401331)</t>
  </si>
  <si>
    <t>BOC - Nugegoda LKR Current Account (72965431)</t>
  </si>
  <si>
    <t>Nation Trust Bank (100360000389)</t>
  </si>
  <si>
    <t>Bank error &amp; adjustments</t>
  </si>
  <si>
    <t>HNB-Secondary Account (3010482594) SL farm</t>
  </si>
  <si>
    <t>DFCC Bank PLC</t>
  </si>
  <si>
    <t>Repayable</t>
  </si>
  <si>
    <t>Within</t>
  </si>
  <si>
    <t>After</t>
  </si>
  <si>
    <t>1 Year</t>
  </si>
  <si>
    <t>1-5 Years</t>
  </si>
  <si>
    <t>5 year</t>
  </si>
  <si>
    <t>1 year</t>
  </si>
  <si>
    <t>31 Dece. 2016</t>
  </si>
  <si>
    <t>31.Dec 2015</t>
  </si>
  <si>
    <t>Lease Creditors</t>
  </si>
  <si>
    <t>Interest in Suspense</t>
  </si>
  <si>
    <t>Net Liability</t>
  </si>
  <si>
    <t>Susuki Car KF 6766</t>
  </si>
  <si>
    <t>Total Liability</t>
  </si>
  <si>
    <t>31 Dece. 2015</t>
  </si>
  <si>
    <t>BOC - Nugegoda-LKR Current A/c</t>
  </si>
  <si>
    <t>Nations Trsut Bk - Saving A/C</t>
  </si>
  <si>
    <t>Bank Errors Adjustment Account</t>
  </si>
  <si>
    <t>(Note 16.1)</t>
  </si>
  <si>
    <t>(Note 16.2)</t>
  </si>
  <si>
    <t>(Note 16.3)</t>
  </si>
  <si>
    <t>Festival /Salary and Medical Advance</t>
  </si>
  <si>
    <t>Staff Loans/ Insurance Claims - Medical</t>
  </si>
  <si>
    <t>Pre- Subscriptions</t>
  </si>
  <si>
    <t>Tropical Fish Maldives</t>
  </si>
  <si>
    <t xml:space="preserve"> Interest income receivable</t>
  </si>
  <si>
    <t>WHT Payable</t>
  </si>
  <si>
    <t>CIS International Holdings</t>
  </si>
  <si>
    <t>Mercantile Investment  Loan- 1Mn</t>
  </si>
  <si>
    <t>Accommodation &amp; Meals</t>
  </si>
  <si>
    <t xml:space="preserve">Travelling and Transportation </t>
  </si>
  <si>
    <t>Interest Income</t>
  </si>
  <si>
    <t>Sundry Income</t>
  </si>
  <si>
    <t>OK</t>
  </si>
  <si>
    <t>Commi.for sale of use Generator</t>
  </si>
  <si>
    <t>OI</t>
  </si>
  <si>
    <t>ok</t>
  </si>
  <si>
    <t>Annual Bonus</t>
  </si>
  <si>
    <t>Accounts payable w/off</t>
  </si>
  <si>
    <t>(Note 18)</t>
  </si>
  <si>
    <t>Net movement in investment</t>
  </si>
  <si>
    <t>removed Term loan deposits</t>
  </si>
  <si>
    <t>Mar 31, 18</t>
  </si>
  <si>
    <t>1630126 · SLS Bank Savings A/C</t>
  </si>
  <si>
    <t>1640000 · Cash Floats &amp; Advances - 2018</t>
  </si>
  <si>
    <t>1640010 · Fish Purchasing Float Wadduwa</t>
  </si>
  <si>
    <t>1640020 · Fish Purchasing Float Horana</t>
  </si>
  <si>
    <t>1640040 · Dry Good Float Horana</t>
  </si>
  <si>
    <t>1640050 · General Advance Wadduwa</t>
  </si>
  <si>
    <t>1640060 · General Advance Horana</t>
  </si>
  <si>
    <t>1640061 · Live Rock Advance Wadduwa Farm</t>
  </si>
  <si>
    <t>Total 1640000 · Cash Floats &amp; Advances - 2018</t>
  </si>
  <si>
    <t>Advance clear Account</t>
  </si>
  <si>
    <t>1600060 · Cardboard Cartoon Boxes Invento</t>
  </si>
  <si>
    <t>1601160 · Free zone -Katunayake Advances</t>
  </si>
  <si>
    <t>1603070 · Rent Deposit Horana 2 Ingiriya</t>
  </si>
  <si>
    <t>1605050 · Rent Head office</t>
  </si>
  <si>
    <t>1606025 · Teknowledge Labs (Private) Ltd</t>
  </si>
  <si>
    <t>1606080 · Technology Labs (Pvt) Ltd.</t>
  </si>
  <si>
    <t>1607000 · Disposal of Fixed Assets</t>
  </si>
  <si>
    <t>1111053 · Bolgoda Land 2-(Rosa)</t>
  </si>
  <si>
    <t>1112020 · Cost -JMC Double Wheel Crew Cab</t>
  </si>
  <si>
    <t>1117000 · Wadduwa Equipments - Other</t>
  </si>
  <si>
    <t>1100000 · Property, Plant &amp; Equipment - Other</t>
  </si>
  <si>
    <t>1120092 · Lightning and Surge protection</t>
  </si>
  <si>
    <t>1120097 · Horana Farm Improvement</t>
  </si>
  <si>
    <t>1120098 · Madala Farm Re Build project</t>
  </si>
  <si>
    <t>1300000 · Investment - Long Term - Other</t>
  </si>
  <si>
    <t>2200081 · Advance - Tender Deposit - Bolg</t>
  </si>
  <si>
    <t>2200085 · Gratutity Payable</t>
  </si>
  <si>
    <t>2201080 · Loan from Mr. Shannaka</t>
  </si>
  <si>
    <t>2201098 · Donation Cash Horana People</t>
  </si>
  <si>
    <t>2201099 · Short term Loan - Others</t>
  </si>
  <si>
    <t>2203031 · Supreme Orchid Export (Pvt) Ltd</t>
  </si>
  <si>
    <t>2200098 · Dialog Axiata Plc 1M</t>
  </si>
  <si>
    <t>2203032 · CIS INTERNATIONAL DISTRIBUTERS</t>
  </si>
  <si>
    <t>2000005 · LOLC F5-12-0547DI 1.85Mn verosa</t>
  </si>
  <si>
    <t>2000014 · LOFC 5 Mn  F7-03-3360BJ</t>
  </si>
  <si>
    <t>2000015 · LOFC F7-06-003BJH  -10 Mn LTL</t>
  </si>
  <si>
    <t>2000017 · F6-08-2568BJ 5Mn speed draft</t>
  </si>
  <si>
    <t>2000101 · Mercerntile Inv.&amp; Fin Loan 10Mn</t>
  </si>
  <si>
    <t>2000102 · Soft Logic Finance-Rs.5Mn</t>
  </si>
  <si>
    <t>2000103 · LB Finance Rs.5.88 Mn Loan</t>
  </si>
  <si>
    <t>2000104 · Mercantile Investment JMCJX1041</t>
  </si>
  <si>
    <t>2000105 · Interest in suspense JMCJX1041</t>
  </si>
  <si>
    <t>2000106 · Imminent Technologies Rs.30 Mn</t>
  </si>
  <si>
    <t>2000107 · Imminent Tec  Interest in Suspe</t>
  </si>
  <si>
    <t>2000108 · F7-09-001BJH 20mn loan</t>
  </si>
  <si>
    <t>2000109 · Interest in Suspense Soft Logic</t>
  </si>
  <si>
    <t>2000110 · Interest in suspense LB Finance</t>
  </si>
  <si>
    <t>Jan - Mar 18</t>
  </si>
  <si>
    <t>5101011 · Live Aquatic Plants Purchases</t>
  </si>
  <si>
    <t>5200000 · Wagawatta Farm Expenses - Other</t>
  </si>
  <si>
    <t>5214000 · Wadduwa Vehicle Expenses - Other</t>
  </si>
  <si>
    <t>5302140 · H/O Security Charges</t>
  </si>
  <si>
    <t>5302991 · Legal Fees</t>
  </si>
  <si>
    <t>Common cost - Travellng</t>
  </si>
  <si>
    <t>5305097 · Fuel KF-6766</t>
  </si>
  <si>
    <t>5305100 · Running Expenses</t>
  </si>
  <si>
    <t>5218004 · Meals &amp; Refreshment</t>
  </si>
  <si>
    <t>5218005 · Water Cost</t>
  </si>
  <si>
    <t>5218008 · Transport and Travelling Cost</t>
  </si>
  <si>
    <t>5218011 · General repairing &amp; Maintanance</t>
  </si>
  <si>
    <t>5218015 · Sundry Exp.</t>
  </si>
  <si>
    <t>5218016 · Storage/Rent Expenses A/c</t>
  </si>
  <si>
    <t>Total 5218000 · Free Zone Project - Katunayake</t>
  </si>
  <si>
    <t>4200030 · Exchange Gain or Loss</t>
  </si>
  <si>
    <t xml:space="preserve">Bank </t>
  </si>
  <si>
    <t>AS AT 31 MARCH</t>
  </si>
  <si>
    <t>FOR THE YEAR ENDED  31ST MARCH 2018 (3 Months)</t>
  </si>
  <si>
    <t>Farm Labour Allowance</t>
  </si>
  <si>
    <t>Farm Labour OT @ 1.5/hr</t>
  </si>
  <si>
    <t>Farm Labour OT @ 2/hr</t>
  </si>
  <si>
    <t>Drinking Water</t>
  </si>
  <si>
    <t>Exchange Loss</t>
  </si>
  <si>
    <t>Cardboard Cartoon Boxes Invento</t>
  </si>
  <si>
    <t>Equipments Inventory</t>
  </si>
  <si>
    <t>Advances to Maldives Export Ctr</t>
  </si>
  <si>
    <t xml:space="preserve">Fuel Advance </t>
  </si>
  <si>
    <t>Kloudip</t>
  </si>
  <si>
    <t xml:space="preserve"> Teknowledge Labs (Private) Ltd</t>
  </si>
  <si>
    <t xml:space="preserve"> Technology Labs (Pvt) Ltd.</t>
  </si>
  <si>
    <t>Loan from Mr. Shannaka</t>
  </si>
  <si>
    <t>Short term Loan - Others</t>
  </si>
  <si>
    <t>Bill discounting facility - BOC</t>
  </si>
  <si>
    <t>Long Term Loan - Settlement Fall Due  More Than One Year</t>
  </si>
  <si>
    <t xml:space="preserve"> LOFC F4-12-0828DI - 25 Mn LTL</t>
  </si>
  <si>
    <t>LOFC F4-12-0830DI - 15 Mn LTL</t>
  </si>
  <si>
    <t>LOLC F5-12-0547DI 1.85Mn verosa</t>
  </si>
  <si>
    <t>LOFC F5-10-0906DI  Rs.5 mn LTL</t>
  </si>
  <si>
    <t>LOFC 5 Mn  F7-03-3360BJ</t>
  </si>
  <si>
    <t xml:space="preserve"> LOFC F7-06-003BJH  -10 Mn LTL</t>
  </si>
  <si>
    <t xml:space="preserve"> LOFC  F6-08-4991BJ  2 Mn</t>
  </si>
  <si>
    <t>F6-08-2568BJ 5Mn speed draft</t>
  </si>
  <si>
    <t xml:space="preserve"> Mercantile Investment -Lk 0500</t>
  </si>
  <si>
    <t xml:space="preserve"> Interest In Suspence -Lk0500</t>
  </si>
  <si>
    <t>Mercantile Investment-WPKF 6766</t>
  </si>
  <si>
    <t xml:space="preserve"> Interest In Suspence -WPKF 6766</t>
  </si>
  <si>
    <t>Peoples Bank Loan - Nawala Land</t>
  </si>
  <si>
    <t>Mercerntile Inv.&amp; Fin Loan 10Mn</t>
  </si>
  <si>
    <t xml:space="preserve"> Soft Logic Finance-Rs.5Mn</t>
  </si>
  <si>
    <t xml:space="preserve"> LB Finance Rs.5.88 Mn Loan</t>
  </si>
  <si>
    <t>Mercantile Investment JMCJX1041</t>
  </si>
  <si>
    <t>Interest in suspense JMCJX1041</t>
  </si>
  <si>
    <t xml:space="preserve"> Imminent Technologies Rs.30 Mn</t>
  </si>
  <si>
    <t xml:space="preserve"> Imminent Tec  Interest in Suspe</t>
  </si>
  <si>
    <t>F7-09-001BJH 20mn loan</t>
  </si>
  <si>
    <t>Interest in Suspense Soft Logic</t>
  </si>
  <si>
    <t>Interest in suspense LB Finance</t>
  </si>
  <si>
    <t xml:space="preserve"> Intercompany Loan CISSL</t>
  </si>
  <si>
    <t>Gratutity Payable</t>
  </si>
  <si>
    <t>CIS INTERNATIONAL DISTRIBUTERS</t>
  </si>
  <si>
    <t>Supreme Orchid Export (Pvt) Ltd</t>
  </si>
  <si>
    <t>CIS INTERNATIONAL HOLDINGS CORP</t>
  </si>
  <si>
    <t>Page 1</t>
  </si>
  <si>
    <t>Page2</t>
  </si>
  <si>
    <t>page 4</t>
  </si>
  <si>
    <t>page 5</t>
  </si>
  <si>
    <t>page 6</t>
  </si>
  <si>
    <t>page 3</t>
  </si>
  <si>
    <t xml:space="preserve">Cost </t>
  </si>
  <si>
    <t>Land</t>
  </si>
  <si>
    <t>Buildings</t>
  </si>
  <si>
    <t>Motor Vehicles</t>
  </si>
  <si>
    <t>Computers and Accessories</t>
  </si>
  <si>
    <t>Farm Equipment</t>
  </si>
  <si>
    <t>Wadduwa Equipment</t>
  </si>
  <si>
    <t>Office Equipment</t>
  </si>
  <si>
    <t>Agricultural Equipment</t>
  </si>
  <si>
    <t>Furniture and Fittings</t>
  </si>
  <si>
    <t>Leased Motor Vehicles</t>
  </si>
  <si>
    <t>Balance as at 01 January 2014</t>
  </si>
  <si>
    <t>Additions</t>
  </si>
  <si>
    <t>Disposals</t>
  </si>
  <si>
    <t>Transfers out</t>
  </si>
  <si>
    <t xml:space="preserve">Transfers in </t>
  </si>
  <si>
    <t>Transfer from Leased Asset</t>
  </si>
  <si>
    <t>Charge for the Year</t>
  </si>
  <si>
    <t>Transfers in</t>
  </si>
  <si>
    <t>Net Carrying Value</t>
  </si>
  <si>
    <t>Agriculture Equipment</t>
  </si>
  <si>
    <t>Work In Progress</t>
  </si>
  <si>
    <t>Figures in brackets Indicate deductions.</t>
  </si>
  <si>
    <t>Notes to the Financial Statements continued</t>
  </si>
  <si>
    <t xml:space="preserve">Page </t>
  </si>
  <si>
    <t>NOTES TO THE FINANCIAL STATEMENTS FOR THE YEAR ENDED 31 ST MARCH 2018</t>
  </si>
  <si>
    <t>Balance as at 1st January 2018</t>
  </si>
  <si>
    <t>Balance as at 31 March 2018</t>
  </si>
  <si>
    <t>Jan 1, 18</t>
  </si>
  <si>
    <t>Dir Cur A/c - Indrani Wimalasen</t>
  </si>
  <si>
    <t>1630000 · Bank Current and Cash Accounts:1630010 · HNB HO 003010401331 A/C</t>
  </si>
  <si>
    <t>1630000 · Bank Current and Cash Accounts:1630100 · People's Bank-Piliyandala  NRFC</t>
  </si>
  <si>
    <t>1630000 · Bank Current and Cash Accounts:1630122 · NTB-Fixed diposit</t>
  </si>
  <si>
    <t>1630000 · Bank Current and Cash Accounts:1630123 · DFCC Bank PLC</t>
  </si>
  <si>
    <t>1630000 · Bank Current and Cash Accounts:1630124 · NTB - Call Deposits</t>
  </si>
  <si>
    <t>1630000 · Bank Current and Cash Accounts:1630125 · Fixed Deposit -  BOC 80724765</t>
  </si>
  <si>
    <t>1630000 · Bank Current and Cash Accounts:1630126 · SLS Bank Savings A/C</t>
  </si>
  <si>
    <t>1630000 · Bank Current and Cash Accounts:1631000 · Petty Cash Floats &amp; Advances:1632040 · Advance Horana 200 tank project</t>
  </si>
  <si>
    <t>1630000 · Bank Current and Cash Accounts:1631000 · Petty Cash Floats &amp; Advances:1632070 · Petty Cash - Katunayaka project</t>
  </si>
  <si>
    <t>1630000 · Bank Current and Cash Accounts:1631000 · Petty Cash Floats &amp; Advances:1632095 · Cash in Transist/Safe</t>
  </si>
  <si>
    <t>1630000 · Bank Current and Cash Accounts:1640000 · Cash Floats &amp; Advances - 2018:1640010 · Fish Purchasing Float Wadduwa</t>
  </si>
  <si>
    <t>1630000 · Bank Current and Cash Accounts:1640000 · Cash Floats &amp; Advances - 2018:1640020 · Fish Purchasing Float Horana</t>
  </si>
  <si>
    <t>1630000 · Bank Current and Cash Accounts:1640000 · Cash Floats &amp; Advances - 2018:1640030 · Dry Good  Float Wadduwa</t>
  </si>
  <si>
    <t>1630000 · Bank Current and Cash Accounts:1640000 · Cash Floats &amp; Advances - 2018:1640040 · Dry Good Float Horana</t>
  </si>
  <si>
    <t>1630000 · Bank Current and Cash Accounts:1640000 · Cash Floats &amp; Advances - 2018:1640050 · General Advance Wadduwa</t>
  </si>
  <si>
    <t>1630000 · Bank Current and Cash Accounts:1640000 · Cash Floats &amp; Advances - 2018:1640060 · General Advance Horana</t>
  </si>
  <si>
    <t>1630000 · Bank Current and Cash Accounts:1640000 · Cash Floats &amp; Advances - 2018:1640061 · Live Rock Advance Wadduwa Farm</t>
  </si>
  <si>
    <t>1600000 · Other Current Assets Accounts:1130 · Inventory Asset -Opening</t>
  </si>
  <si>
    <t>1600000 · Other Current Assets Accounts:1601000 · Advances:1601025 · Import - Air Lanka charges</t>
  </si>
  <si>
    <t>1600000 · Other Current Assets Accounts:1601000 · Advances:1601030 · Genaral Advances:1601160 · Free zone -Katunayake Advances</t>
  </si>
  <si>
    <t>1600000 · Other Current Assets Accounts:1601000 · Advances:1601035 · Sales Advance</t>
  </si>
  <si>
    <t>1600000 · Other Current Assets Accounts:1603000 · Refundable Deposits:1603070 · Rent Deposit Horana 2 Ingiriya</t>
  </si>
  <si>
    <t>1600000 · Other Current Assets Accounts:1605000 · Prepayments:1605040 · Subscriptions</t>
  </si>
  <si>
    <t>1600000 · Other Current Assets Accounts:1605000 · Prepayments:1605050 · Rent Head office</t>
  </si>
  <si>
    <t>1600000 · Other Current Assets Accounts:1606025 · Teknowledge Labs (Private) Ltd</t>
  </si>
  <si>
    <t>1600000 · Other Current Assets Accounts:1606080 · Technology Labs (Pvt) Ltd.</t>
  </si>
  <si>
    <t>1000000 · Non Current Assets:1100000 · Property, Plant &amp; Equipment</t>
  </si>
  <si>
    <t>1000000 · Non Current Assets:1100000 · Property, Plant &amp; Equipment:1111000 · Land and Buildings</t>
  </si>
  <si>
    <t>1000000 · Non Current Assets:1100000 · Property, Plant &amp; Equipment:1111000 · Land and Buildings:1111053 · Bolgoda Land 2-(Rosa)</t>
  </si>
  <si>
    <t>1000000 · Non Current Assets:1100000 · Property, Plant &amp; Equipment:1111000 · Land and Buildings:1111910 · Horana farm Buildings</t>
  </si>
  <si>
    <t>1000000 · Non Current Assets:1100000 · Property, Plant &amp; Equipment:1112000 · Motor Vehicles:1112020 · Cost -JMC Double Wheel Crew Cab</t>
  </si>
  <si>
    <t>1000000 · Non Current Assets:1100000 · Property, Plant &amp; Equipment:1113000 · Computers and Accessories</t>
  </si>
  <si>
    <t>1000000 · Non Current Assets:1100000 · Property, Plant &amp; Equipment:1117000 · Wadduwa Equipments</t>
  </si>
  <si>
    <t>1000000 · Non Current Assets:1100000 · Property, Plant &amp; Equipment:1117000 · Wadduwa Equipments:1117050 · Cost -Wadduwa Solar pv Equipmen</t>
  </si>
  <si>
    <t>1000000 · Non Current Assets:1100000 · Property, Plant &amp; Equipment:1117000 · Wadduwa Equipments:1117920 · Acc Dep-Wadduwa Solar Equipment</t>
  </si>
  <si>
    <t>1000000 · Non Current Assets:1120000 · Work In Progress:1120090 · Cost - Horana 200 tank project</t>
  </si>
  <si>
    <t>1000000 · Non Current Assets:1120000 · Work In Progress:1120091 · Cost-Horana 400 tank project</t>
  </si>
  <si>
    <t>1000000 · Non Current Assets:1120000 · Work In Progress:1120092 · Lightning and Surge protection</t>
  </si>
  <si>
    <t>1000000 · Non Current Assets:1120000 · Work In Progress:1120095 · Free Zone Project -Katunayake</t>
  </si>
  <si>
    <t>1000000 · Non Current Assets:1120000 · Work In Progress:1120097 · Horana Farm Improvement</t>
  </si>
  <si>
    <t>1000000 · Non Current Assets:1120000 · Work In Progress:1120098 · Madala Farm Re Build project</t>
  </si>
  <si>
    <t>1000000 · Non Current Assets:1300000 · Investment - Long Term</t>
  </si>
  <si>
    <t>1500000 · Development Projects:1500011 · Project Free trade Zone Katunay</t>
  </si>
  <si>
    <t>2200000 · Other Current Liabilities:2200040 · Income Tax Payable</t>
  </si>
  <si>
    <t>2200000 · Other Current Liabilities:2200081 · Advance - Tender Deposit - Bolg</t>
  </si>
  <si>
    <t>2200000 · Other Current Liabilities:2201000 · Short Term Browwings</t>
  </si>
  <si>
    <t>2200000 · Other Current Liabilities:2201000 · Short Term Browwings:220001 · Short term Ln 1M- Mercantile In</t>
  </si>
  <si>
    <t>2200000 · Other Current Liabilities:2201000 · Short Term Browwings:2201040 · LOFC- F1-02-1503DI  1Mn STL</t>
  </si>
  <si>
    <t>2200000 · Other Current Liabilities:2201000 · Short Term Browwings:2201050 · LOFC -F1-07-0532 Revolving 5Mn</t>
  </si>
  <si>
    <t>2200000 · Other Current Liabilities:2201000 · Short Term Browwings:2201080 · Loan from Mr. Shannaka</t>
  </si>
  <si>
    <t>2200000 · Other Current Liabilities:2201000 · Short Term Browwings:2201098 · Donation Cash Horana People</t>
  </si>
  <si>
    <t>2200000 · Other Current Liabilities:2201000 · Short Term Browwings:2201099 · Short term Loan - Others</t>
  </si>
  <si>
    <t>2200000 · Other Current Liabilities:2201097 · Suspense A/c</t>
  </si>
  <si>
    <t>2200000 · Other Current Liabilities:2203031 · Supreme Orchid Export (Pvt) Ltd</t>
  </si>
  <si>
    <t>2000000 · Long Term Liabilities:2000001 · LOFC F5-01-0786DI - 10 Mn LTL</t>
  </si>
  <si>
    <t>2000000 · Long Term Liabilities:2000002 · LOFC F4-12-0828DI - 25 Mn LTL</t>
  </si>
  <si>
    <t>2000000 · Long Term Liabilities:2000003 · LOFC F4-12-0830DI - 15 Mn LTL</t>
  </si>
  <si>
    <t>2000000 · Long Term Liabilities:2000005 · LOLC F5-12-0547DI 1.85Mn verosa</t>
  </si>
  <si>
    <t>2000000 · Long Term Liabilities:2000013 · LOFC F5-10-0906DI  Rs.5 mn LTL</t>
  </si>
  <si>
    <t>2000000 · Long Term Liabilities:2000014 · LOFC 5 Mn  F7-03-3360BJ</t>
  </si>
  <si>
    <t>2000000 · Long Term Liabilities:2000015 · LOFC F7-06-003BJH  -10 Mn LTL</t>
  </si>
  <si>
    <t>2000000 · Long Term Liabilities:2000016 · LOFC  F6-08-4991BJ  2 Mn</t>
  </si>
  <si>
    <t>2000000 · Long Term Liabilities:2000017 · F6-08-2568BJ 5Mn speed draft</t>
  </si>
  <si>
    <t>2000000 · Long Term Liabilities:2000091 · Mercantile Investment -Lk 0500</t>
  </si>
  <si>
    <t>2000000 · Long Term Liabilities:2000092 · Interest In Suspence -Lk0500</t>
  </si>
  <si>
    <t>2000000 · Long Term Liabilities:2000093 · Mercantile Investment-WPKF 6766</t>
  </si>
  <si>
    <t>2000000 · Long Term Liabilities:2000094 · Interest In Suspence -WPKF 6766</t>
  </si>
  <si>
    <t>2000000 · Long Term Liabilities:2000101 · Mercerntile Inv.&amp; Fin Loan 10Mn</t>
  </si>
  <si>
    <t>2000000 · Long Term Liabilities:2000102 · Soft Logic Finance-Rs.5Mn</t>
  </si>
  <si>
    <t>2000000 · Long Term Liabilities:2000103 · LB Finance Rs.5.88 Mn Loan</t>
  </si>
  <si>
    <t>2000000 · Long Term Liabilities:2000104 · Mercantile Investment JMCJX1041</t>
  </si>
  <si>
    <t>2000000 · Long Term Liabilities:2000105 · Interest in suspense JMCJX1041</t>
  </si>
  <si>
    <t>2000000 · Long Term Liabilities:2000106 · Imminent Technologies Rs.30 Mn</t>
  </si>
  <si>
    <t>2000000 · Long Term Liabilities:2000107 · Imminent Tec  Interest in Suspe</t>
  </si>
  <si>
    <t>2000000 · Long Term Liabilities:2000108 · F7-09-001BJH 20mn loan</t>
  </si>
  <si>
    <t>2000000 · Long Term Liabilities:2000109 · Interest in Suspense Soft Logic</t>
  </si>
  <si>
    <t>2000000 · Long Term Liabilities:2000110 · Interest in suspense LB Finance</t>
  </si>
  <si>
    <t>3000000 · Equity Accounts:3009000 · Opening Bal Equity</t>
  </si>
  <si>
    <t>5100000 · Cost of Sales:5103000 · Freight &amp; Handling Charges:5103050 · Other  freight and Handling</t>
  </si>
  <si>
    <t>5000000 · Expenses:5200000 · Wagawatta Farm Expenses:5203000 · Farm Communication Expenses:5203050 · Farm wifi line No. 0342255590</t>
  </si>
  <si>
    <t>5000000 · Expenses:5210000 · Wadduwa Farm Expenses:5211000 · Wadduwa Administration Expense:5211011 · Water Moter Hiring &amp; Fuel Cost</t>
  </si>
  <si>
    <t>5000000 · Expenses:5300000 · Head Office Expenses:5301000 · Payroll Expenses:5301050 · EPF - Head Office Staff</t>
  </si>
  <si>
    <t>5000000 · Expenses:5300000 · Head Office Expenses:5301000 · Payroll Expenses:5301060 · ETF - Head Office Staff</t>
  </si>
  <si>
    <t>5000000 · Expenses:5300000 · Head Office Expenses:5302000 · Direct Administration:5302991 · Legal Fees</t>
  </si>
  <si>
    <t>5000000 · Expenses:5300000 · Head Office Expenses:5305000 · Travelling &amp; Transport</t>
  </si>
  <si>
    <t>5000000 · Expenses:5300000 · Head Office Expenses:5305000 · Travelling &amp; Transport:Common cost - Travellng</t>
  </si>
  <si>
    <t>5000000 · Expenses:5300000 · Head Office Expenses:5305000 · Travelling &amp; Transport:5305090 · Fuel Expenses:5305094 · Fuel BAD-4978</t>
  </si>
  <si>
    <t>5000000 · Expenses:5300000 · Head Office Expenses:5305000 · Travelling &amp; Transport:5305090 · Fuel Expenses:5305097 · Fuel KF-6766</t>
  </si>
  <si>
    <t>5000000 · Expenses:5300000 · Head Office Expenses:5305000 · Travelling &amp; Transport:5305100 · Running Expenses</t>
  </si>
  <si>
    <t>5000000 · Expenses:5300000 · Head Office Expenses:5308000 · Finance &amp; Other Charges:5309120 · Bill Discou. Over Due  Interest</t>
  </si>
  <si>
    <t>5218000 · Free Zone Project - Katunayake:5218004 · Meals &amp; Refreshment</t>
  </si>
  <si>
    <t>5218000 · Free Zone Project - Katunayake:5218005 · Water Cost</t>
  </si>
  <si>
    <t>5218000 · Free Zone Project - Katunayake:5218008 · Transport and Travelling Cost</t>
  </si>
  <si>
    <t>5218000 · Free Zone Project - Katunayake:5218011 · General repairing &amp; Maintanance</t>
  </si>
  <si>
    <t>5218000 · Free Zone Project - Katunayake:5218015 · Sundry Exp.</t>
  </si>
  <si>
    <t>5218000 · Free Zone Project - Katunayake:5218016 · Storage/Rent Expenses A/c</t>
  </si>
  <si>
    <t>TOTAL</t>
  </si>
  <si>
    <t xml:space="preserve"> </t>
  </si>
  <si>
    <t xml:space="preserve">Charge for the 3 Months </t>
  </si>
  <si>
    <t>(Note 11)</t>
  </si>
  <si>
    <t>Mar 18</t>
  </si>
  <si>
    <t>Feb 18</t>
  </si>
  <si>
    <t>Jan 18</t>
  </si>
  <si>
    <t>M</t>
  </si>
  <si>
    <t>Buil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</si>
</sst>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5" formatCode="&quot;$&quot;#,##0_);\(&quot;$&quot;#,##0\)"/>
    <numFmt numFmtId="41" formatCode="_(* #,##0_);_(* \(#,##0\);_(* &quot;-&quot;_);_(@_)"/>
    <numFmt numFmtId="43" formatCode="_(* #,##0.00_);_(* \(#,##0.00\);_(* &quot;-&quot;??_);_(@_)"/>
    <numFmt numFmtId="164" formatCode="_(* #,##0.0_);_(* \(#,##0.0\);_(* &quot;-&quot;??_);_(@_)"/>
    <numFmt numFmtId="165" formatCode="_(* #,##0_);_(* \(#,##0\);_(* &quot;-&quot;??_);_(@_)"/>
    <numFmt numFmtId="166" formatCode="dd\ mmmm\ yyyy"/>
    <numFmt numFmtId="167" formatCode="_-* #,##0_-;\-* #,##0_-;_-* &quot;-&quot;??_-;_-@_-"/>
    <numFmt numFmtId="168" formatCode="#,##0.00;\-#,##0.00"/>
    <numFmt numFmtId="169" formatCode="#,##0\ ;&quot; (&quot;#,##0\);&quot; -&quot;#\ ;@\ "/>
    <numFmt numFmtId="170" formatCode="#,##0;\-#,##0"/>
  </numFmts>
  <fonts count="66"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b/>
      <sz val="10"/>
      <name val="Times New Roman"/>
      <family val="1"/>
    </font>
    <font>
      <sz val="10"/>
      <name val="Times New Roman"/>
      <family val="1"/>
    </font>
    <font>
      <b/>
      <i/>
      <sz val="8"/>
      <name val="Times New Roman"/>
      <family val="1"/>
    </font>
    <font>
      <b/>
      <i/>
      <sz val="10"/>
      <name val="Times New Roman"/>
      <family val="1"/>
    </font>
    <font>
      <b/>
      <sz val="8"/>
      <name val="Times New Roman"/>
      <family val="1"/>
    </font>
    <font>
      <i/>
      <sz val="10"/>
      <name val="Times New Roman"/>
      <family val="1"/>
    </font>
    <font>
      <sz val="8"/>
      <name val="Times New Roman"/>
      <family val="1"/>
    </font>
    <font>
      <sz val="10"/>
      <name val="Arial"/>
      <family val="2"/>
    </font>
    <font>
      <sz val="10"/>
      <name val="Tahoma"/>
      <family val="2"/>
    </font>
    <font>
      <sz val="11"/>
      <name val="Tahoma"/>
      <family val="2"/>
    </font>
    <font>
      <b/>
      <u/>
      <sz val="10"/>
      <name val="Times New Roman"/>
      <family val="1"/>
    </font>
    <font>
      <sz val="8"/>
      <name val="Arial"/>
      <family val="2"/>
    </font>
    <font>
      <b/>
      <sz val="10"/>
      <color indexed="8"/>
      <name val="Times New Roman"/>
      <family val="1"/>
    </font>
    <font>
      <sz val="10"/>
      <color indexed="8"/>
      <name val="Times New Roman"/>
      <family val="1"/>
    </font>
    <font>
      <sz val="8"/>
      <name val="Arial"/>
      <family val="2"/>
    </font>
    <font>
      <b/>
      <i/>
      <sz val="10"/>
      <color indexed="8"/>
      <name val="Times New Roman"/>
      <family val="1"/>
    </font>
    <font>
      <i/>
      <sz val="10"/>
      <color indexed="8"/>
      <name val="Times New Roman"/>
      <family val="1"/>
    </font>
    <font>
      <sz val="10"/>
      <color indexed="8"/>
      <name val="Arial"/>
      <family val="2"/>
    </font>
    <font>
      <b/>
      <sz val="8"/>
      <name val="Arial"/>
      <family val="2"/>
    </font>
    <font>
      <b/>
      <sz val="9"/>
      <name val="Arial"/>
      <family val="2"/>
    </font>
    <font>
      <b/>
      <sz val="12"/>
      <name val="Arial"/>
      <family val="2"/>
    </font>
    <font>
      <sz val="8"/>
      <color rgb="FF000000"/>
      <name val="Arial"/>
      <family val="2"/>
    </font>
    <font>
      <b/>
      <sz val="8"/>
      <color rgb="FF000000"/>
      <name val="Arial"/>
      <family val="2"/>
    </font>
    <font>
      <sz val="8"/>
      <color rgb="FFFF0000"/>
      <name val="Arial"/>
      <family val="2"/>
    </font>
    <font>
      <sz val="10"/>
      <color theme="1"/>
      <name val="Times New Roman"/>
      <family val="1"/>
    </font>
    <font>
      <b/>
      <sz val="8"/>
      <color theme="1"/>
      <name val="Times New Roman"/>
      <family val="1"/>
    </font>
    <font>
      <b/>
      <i/>
      <sz val="8"/>
      <color theme="1"/>
      <name val="Times New Roman"/>
      <family val="1"/>
    </font>
    <font>
      <b/>
      <sz val="10"/>
      <color theme="1"/>
      <name val="Times New Roman"/>
      <family val="1"/>
    </font>
    <font>
      <sz val="10"/>
      <color theme="1"/>
      <name val="Arial"/>
      <family val="2"/>
    </font>
    <font>
      <sz val="11"/>
      <color theme="1"/>
      <name val="Tahoma"/>
      <family val="2"/>
    </font>
    <font>
      <b/>
      <sz val="8"/>
      <color rgb="FFFF0000"/>
      <name val="Arial"/>
      <family val="2"/>
    </font>
    <font>
      <sz val="10"/>
      <color rgb="FFFF0000"/>
      <name val="Arial"/>
      <family val="2"/>
    </font>
    <font>
      <sz val="10"/>
      <color theme="9" tint="-0.249977111117893"/>
      <name val="Arial"/>
      <family val="2"/>
    </font>
    <font>
      <b/>
      <sz val="8"/>
      <color theme="9" tint="-0.249977111117893"/>
      <name val="Arial"/>
      <family val="2"/>
    </font>
    <font>
      <sz val="11"/>
      <color indexed="8"/>
      <name val="Calibri"/>
      <family val="2"/>
    </font>
    <font>
      <sz val="10"/>
      <name val="Helv"/>
    </font>
    <font>
      <sz val="10"/>
      <color indexed="8"/>
      <name val="MS Sans Serif"/>
      <family val="2"/>
    </font>
    <font>
      <b/>
      <sz val="10"/>
      <name val="Calibri"/>
      <family val="2"/>
      <scheme val="minor"/>
    </font>
    <font>
      <sz val="10"/>
      <color rgb="FFFF0000"/>
      <name val="Times New Roman"/>
      <family val="1"/>
    </font>
    <font>
      <b/>
      <sz val="10"/>
      <name val="Arial"/>
      <family val="2"/>
    </font>
    <font>
      <sz val="10"/>
      <name val="Calibri"/>
      <family val="2"/>
      <scheme val="minor"/>
    </font>
    <font>
      <sz val="10"/>
      <color rgb="FFFF0000"/>
      <name val="Calibri"/>
      <family val="2"/>
      <scheme val="minor"/>
    </font>
    <font>
      <sz val="12"/>
      <name val="Calibri"/>
      <family val="2"/>
      <scheme val="minor"/>
    </font>
    <font>
      <b/>
      <sz val="12"/>
      <name val="Calibri"/>
      <family val="2"/>
      <scheme val="minor"/>
    </font>
    <font>
      <sz val="10"/>
      <color theme="9"/>
      <name val="Times New Roman"/>
      <family val="1"/>
    </font>
    <font>
      <b/>
      <i/>
      <sz val="12"/>
      <name val="Times New Roman"/>
      <family val="1"/>
    </font>
    <font>
      <b/>
      <sz val="10"/>
      <color rgb="FF000000"/>
      <name val="Times New Roman"/>
      <family val="1"/>
    </font>
    <font>
      <b/>
      <sz val="12"/>
      <name val="Times New Roman"/>
      <family val="1"/>
    </font>
    <font>
      <sz val="12"/>
      <name val="Times New Roman"/>
      <family val="1"/>
    </font>
    <font>
      <u/>
      <sz val="10"/>
      <name val="Times New Roman"/>
      <family val="1"/>
    </font>
    <font>
      <b/>
      <sz val="10"/>
      <name val="Times New Roman"/>
      <family val="1"/>
    </font>
    <font>
      <sz val="10"/>
      <name val="Times New Roman"/>
      <family val="1"/>
    </font>
    <font>
      <b/>
      <sz val="8"/>
      <name val="Times New Roman"/>
      <family val="1"/>
    </font>
    <font>
      <b/>
      <i/>
      <sz val="8"/>
      <name val="Times New Roman"/>
      <family val="1"/>
    </font>
    <font>
      <b/>
      <u/>
      <sz val="10"/>
      <name val="Times New Roman"/>
      <family val="1"/>
    </font>
    <font>
      <b/>
      <sz val="10"/>
      <color rgb="FFFF0000"/>
      <name val="Times New Roman"/>
      <family val="1"/>
    </font>
    <font>
      <sz val="10"/>
      <color rgb="FF000000"/>
      <name val="Times New Roman"/>
      <family val="1"/>
    </font>
    <font>
      <sz val="10"/>
      <color theme="0" tint="-0.34998626667073579"/>
      <name val="Times New Roman"/>
      <family val="1"/>
    </font>
  </fonts>
  <fills count="24">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rgb="FF92D050"/>
        <bgColor indexed="64"/>
      </patternFill>
    </fill>
    <fill>
      <patternFill patternType="solid">
        <fgColor rgb="FF00B050"/>
        <bgColor indexed="64"/>
      </patternFill>
    </fill>
    <fill>
      <patternFill patternType="solid">
        <fgColor theme="8" tint="0.39997558519241921"/>
        <bgColor indexed="64"/>
      </patternFill>
    </fill>
    <fill>
      <patternFill patternType="solid">
        <fgColor theme="7" tint="-0.249977111117893"/>
        <bgColor indexed="64"/>
      </patternFill>
    </fill>
    <fill>
      <patternFill patternType="solid">
        <fgColor theme="9"/>
        <bgColor indexed="64"/>
      </patternFill>
    </fill>
    <fill>
      <patternFill patternType="solid">
        <fgColor theme="1" tint="0.499984740745262"/>
        <bgColor indexed="64"/>
      </patternFill>
    </fill>
    <fill>
      <patternFill patternType="solid">
        <fgColor theme="1" tint="0.34998626667073579"/>
        <bgColor indexed="64"/>
      </patternFill>
    </fill>
    <fill>
      <patternFill patternType="solid">
        <fgColor theme="9" tint="-0.249977111117893"/>
        <bgColor indexed="64"/>
      </patternFill>
    </fill>
    <fill>
      <patternFill patternType="solid">
        <fgColor theme="8"/>
        <bgColor indexed="64"/>
      </patternFill>
    </fill>
    <fill>
      <patternFill patternType="solid">
        <fgColor rgb="FF00B0F0"/>
        <bgColor indexed="64"/>
      </patternFill>
    </fill>
    <fill>
      <patternFill patternType="solid">
        <fgColor theme="0"/>
        <bgColor indexed="64"/>
      </patternFill>
    </fill>
    <fill>
      <patternFill patternType="solid">
        <fgColor theme="0" tint="-0.249977111117893"/>
        <bgColor indexed="64"/>
      </patternFill>
    </fill>
    <fill>
      <patternFill patternType="solid">
        <fgColor theme="4" tint="0.79998168889431442"/>
        <bgColor indexed="64"/>
      </patternFill>
    </fill>
    <fill>
      <patternFill patternType="solid">
        <fgColor theme="5" tint="0.39997558519241921"/>
        <bgColor indexed="64"/>
      </patternFill>
    </fill>
    <fill>
      <patternFill patternType="solid">
        <fgColor theme="9" tint="0.59999389629810485"/>
        <bgColor indexed="64"/>
      </patternFill>
    </fill>
    <fill>
      <patternFill patternType="solid">
        <fgColor theme="7" tint="0.39997558519241921"/>
        <bgColor indexed="64"/>
      </patternFill>
    </fill>
    <fill>
      <patternFill patternType="solid">
        <fgColor theme="5" tint="0.59999389629810485"/>
        <bgColor indexed="64"/>
      </patternFill>
    </fill>
    <fill>
      <patternFill patternType="solid">
        <fgColor theme="3" tint="0.79998168889431442"/>
        <bgColor indexed="64"/>
      </patternFill>
    </fill>
    <fill>
      <patternFill patternType="solid">
        <fgColor theme="9" tint="0.79998168889431442"/>
        <bgColor indexed="64"/>
      </patternFill>
    </fill>
    <fill>
      <patternFill patternType="solid">
        <fgColor theme="2" tint="-9.9978637043366805E-2"/>
        <bgColor indexed="64"/>
      </patternFill>
    </fill>
  </fills>
  <borders count="38">
    <border>
      <left/>
      <right/>
      <top/>
      <bottom/>
      <diagonal/>
    </border>
    <border>
      <left/>
      <right/>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right/>
      <top style="thin">
        <color indexed="64"/>
      </top>
      <bottom/>
      <diagonal/>
    </border>
    <border>
      <left/>
      <right/>
      <top/>
      <bottom style="double">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bottom style="double">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bottom style="thick">
        <color indexed="64"/>
      </bottom>
      <diagonal/>
    </border>
    <border>
      <left/>
      <right/>
      <top/>
      <bottom style="medium">
        <color indexed="64"/>
      </bottom>
      <diagonal/>
    </border>
    <border>
      <left/>
      <right/>
      <top style="medium">
        <color indexed="64"/>
      </top>
      <bottom style="medium">
        <color indexed="64"/>
      </bottom>
      <diagonal/>
    </border>
    <border>
      <left/>
      <right/>
      <top style="medium">
        <color indexed="64"/>
      </top>
      <bottom/>
      <diagonal/>
    </border>
    <border>
      <left/>
      <right/>
      <top style="medium">
        <color indexed="64"/>
      </top>
      <bottom style="double">
        <color indexed="64"/>
      </bottom>
      <diagonal/>
    </border>
    <border>
      <left/>
      <right/>
      <top style="thick">
        <color indexed="64"/>
      </top>
      <bottom style="thick">
        <color indexed="64"/>
      </bottom>
      <diagonal/>
    </border>
  </borders>
  <cellStyleXfs count="46">
    <xf numFmtId="0" fontId="0" fillId="0" borderId="0"/>
    <xf numFmtId="43" fontId="7" fillId="0" borderId="0" applyFont="0" applyFill="0" applyBorder="0" applyAlignment="0" applyProtection="0"/>
    <xf numFmtId="0" fontId="15" fillId="0" borderId="0"/>
    <xf numFmtId="0" fontId="25" fillId="0" borderId="0"/>
    <xf numFmtId="0" fontId="6" fillId="0" borderId="0"/>
    <xf numFmtId="0" fontId="7" fillId="0" borderId="0"/>
    <xf numFmtId="37" fontId="7" fillId="0" borderId="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42" fillId="0" borderId="0" applyFont="0" applyFill="0" applyBorder="0" applyAlignment="0" applyProtection="0"/>
    <xf numFmtId="43" fontId="42"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167" fontId="7" fillId="0" borderId="0" applyFont="0" applyFill="0" applyBorder="0" applyAlignment="0" applyProtection="0"/>
    <xf numFmtId="5" fontId="7" fillId="0" borderId="0" applyFont="0" applyFill="0" applyBorder="0" applyAlignment="0" applyProtection="0"/>
    <xf numFmtId="43" fontId="42" fillId="0" borderId="0" applyFont="0" applyFill="0" applyBorder="0" applyAlignment="0" applyProtection="0"/>
    <xf numFmtId="43" fontId="42" fillId="0" borderId="0" applyFont="0" applyFill="0" applyBorder="0" applyAlignment="0" applyProtection="0"/>
    <xf numFmtId="43" fontId="7"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7" fillId="0" borderId="0" applyFont="0" applyFill="0" applyBorder="0" applyAlignment="0" applyProtection="0"/>
    <xf numFmtId="43" fontId="6" fillId="0" borderId="0" applyFont="0" applyFill="0" applyBorder="0" applyAlignment="0" applyProtection="0"/>
    <xf numFmtId="0" fontId="43" fillId="0" borderId="0"/>
    <xf numFmtId="0" fontId="43" fillId="0" borderId="0"/>
    <xf numFmtId="0" fontId="7" fillId="0" borderId="0"/>
    <xf numFmtId="0" fontId="44" fillId="0" borderId="0"/>
    <xf numFmtId="0" fontId="7" fillId="0" borderId="0"/>
    <xf numFmtId="0" fontId="43" fillId="0" borderId="0"/>
    <xf numFmtId="0" fontId="6" fillId="0" borderId="0"/>
    <xf numFmtId="0" fontId="6" fillId="0" borderId="0"/>
    <xf numFmtId="37" fontId="7" fillId="0" borderId="0"/>
    <xf numFmtId="0" fontId="6" fillId="0" borderId="0"/>
    <xf numFmtId="0" fontId="7" fillId="0" borderId="0"/>
    <xf numFmtId="0" fontId="6" fillId="0" borderId="0"/>
    <xf numFmtId="0" fontId="7" fillId="0" borderId="0"/>
    <xf numFmtId="0" fontId="6" fillId="0" borderId="0"/>
    <xf numFmtId="0" fontId="6" fillId="0" borderId="0"/>
    <xf numFmtId="9" fontId="7" fillId="0" borderId="0" applyFont="0" applyFill="0" applyBorder="0" applyAlignment="0" applyProtection="0"/>
    <xf numFmtId="9" fontId="7" fillId="0" borderId="0" applyFont="0" applyFill="0" applyBorder="0" applyAlignment="0" applyProtection="0"/>
    <xf numFmtId="0" fontId="7" fillId="0" borderId="0"/>
    <xf numFmtId="0" fontId="5" fillId="0" borderId="0"/>
    <xf numFmtId="0" fontId="4" fillId="0" borderId="0"/>
    <xf numFmtId="43" fontId="4" fillId="0" borderId="0" applyFont="0" applyFill="0" applyBorder="0" applyAlignment="0" applyProtection="0"/>
    <xf numFmtId="0" fontId="2" fillId="0" borderId="0"/>
    <xf numFmtId="0" fontId="1" fillId="0" borderId="0"/>
  </cellStyleXfs>
  <cellXfs count="694">
    <xf numFmtId="0" fontId="0" fillId="0" borderId="0" xfId="0"/>
    <xf numFmtId="0" fontId="9" fillId="0" borderId="0" xfId="0" applyFont="1" applyFill="1" applyBorder="1"/>
    <xf numFmtId="0" fontId="8" fillId="0" borderId="0" xfId="0" applyFont="1" applyFill="1" applyBorder="1"/>
    <xf numFmtId="0" fontId="9" fillId="0" borderId="0" xfId="0" applyFont="1" applyFill="1"/>
    <xf numFmtId="0" fontId="8" fillId="0" borderId="0" xfId="0" applyFont="1" applyFill="1"/>
    <xf numFmtId="0" fontId="11" fillId="0" borderId="0" xfId="0" applyFont="1" applyFill="1" applyBorder="1"/>
    <xf numFmtId="49" fontId="9" fillId="0" borderId="0" xfId="0" applyNumberFormat="1" applyFont="1" applyFill="1" applyBorder="1" applyAlignment="1">
      <alignment vertical="top"/>
    </xf>
    <xf numFmtId="165" fontId="9" fillId="0" borderId="0" xfId="0" applyNumberFormat="1" applyFont="1" applyFill="1"/>
    <xf numFmtId="43" fontId="9" fillId="0" borderId="0" xfId="0" applyNumberFormat="1" applyFont="1" applyFill="1"/>
    <xf numFmtId="0" fontId="8" fillId="0" borderId="0" xfId="0" applyFont="1" applyFill="1" applyAlignment="1"/>
    <xf numFmtId="43" fontId="9" fillId="0" borderId="0" xfId="1" applyFont="1" applyFill="1"/>
    <xf numFmtId="43" fontId="12" fillId="0" borderId="0" xfId="1" applyFont="1" applyFill="1" applyAlignment="1">
      <alignment horizontal="right"/>
    </xf>
    <xf numFmtId="43" fontId="8" fillId="0" borderId="0" xfId="1" applyFont="1" applyFill="1"/>
    <xf numFmtId="43" fontId="9" fillId="0" borderId="1" xfId="1" applyFont="1" applyFill="1" applyBorder="1"/>
    <xf numFmtId="43" fontId="8" fillId="0" borderId="0" xfId="1" applyFont="1" applyFill="1" applyBorder="1"/>
    <xf numFmtId="43" fontId="9" fillId="0" borderId="0" xfId="1" applyFont="1" applyFill="1" applyBorder="1"/>
    <xf numFmtId="43" fontId="12" fillId="0" borderId="0" xfId="1" applyFont="1" applyFill="1"/>
    <xf numFmtId="43" fontId="8" fillId="0" borderId="0" xfId="1" applyFont="1" applyFill="1" applyAlignment="1">
      <alignment horizontal="right"/>
    </xf>
    <xf numFmtId="0" fontId="9" fillId="0" borderId="0" xfId="0" applyFont="1" applyFill="1" applyAlignment="1">
      <alignment horizontal="left"/>
    </xf>
    <xf numFmtId="0" fontId="8" fillId="0" borderId="0" xfId="0" quotePrefix="1" applyFont="1" applyFill="1" applyAlignment="1">
      <alignment horizontal="left"/>
    </xf>
    <xf numFmtId="43" fontId="8" fillId="0" borderId="0" xfId="0" applyNumberFormat="1" applyFont="1" applyFill="1"/>
    <xf numFmtId="43" fontId="9" fillId="0" borderId="0" xfId="0" applyNumberFormat="1" applyFont="1" applyFill="1" applyBorder="1"/>
    <xf numFmtId="43" fontId="8" fillId="0" borderId="0" xfId="0" applyNumberFormat="1" applyFont="1" applyFill="1" applyBorder="1"/>
    <xf numFmtId="165" fontId="8" fillId="0" borderId="0" xfId="1" applyNumberFormat="1" applyFont="1" applyFill="1" applyBorder="1"/>
    <xf numFmtId="165" fontId="9" fillId="0" borderId="0" xfId="1" applyNumberFormat="1" applyFont="1" applyFill="1" applyBorder="1"/>
    <xf numFmtId="0" fontId="11" fillId="0" borderId="0" xfId="0" applyFont="1" applyFill="1"/>
    <xf numFmtId="0" fontId="8" fillId="0" borderId="0" xfId="0" applyFont="1" applyFill="1" applyAlignment="1">
      <alignment horizontal="center"/>
    </xf>
    <xf numFmtId="43" fontId="12" fillId="0" borderId="0" xfId="0" quotePrefix="1" applyNumberFormat="1" applyFont="1" applyFill="1" applyAlignment="1">
      <alignment horizontal="justify"/>
    </xf>
    <xf numFmtId="0" fontId="9" fillId="0" borderId="1" xfId="0" applyFont="1" applyFill="1" applyBorder="1"/>
    <xf numFmtId="165" fontId="9" fillId="0" borderId="0" xfId="1" applyNumberFormat="1" applyFont="1" applyFill="1"/>
    <xf numFmtId="0" fontId="8" fillId="0" borderId="0" xfId="0" applyFont="1" applyFill="1" applyAlignment="1">
      <alignment horizontal="left"/>
    </xf>
    <xf numFmtId="43" fontId="8" fillId="0" borderId="0" xfId="1" applyFont="1" applyFill="1" applyBorder="1" applyAlignment="1">
      <alignment horizontal="center"/>
    </xf>
    <xf numFmtId="43" fontId="12" fillId="0" borderId="0" xfId="0" quotePrefix="1" applyNumberFormat="1" applyFont="1" applyFill="1" applyAlignment="1"/>
    <xf numFmtId="165" fontId="9" fillId="0" borderId="0" xfId="0" applyNumberFormat="1" applyFont="1" applyFill="1" applyBorder="1"/>
    <xf numFmtId="165" fontId="8" fillId="0" borderId="0" xfId="0" applyNumberFormat="1" applyFont="1" applyFill="1" applyBorder="1"/>
    <xf numFmtId="0" fontId="14" fillId="0" borderId="0" xfId="0" applyFont="1" applyFill="1"/>
    <xf numFmtId="165" fontId="12" fillId="0" borderId="0" xfId="1" applyNumberFormat="1" applyFont="1" applyFill="1" applyAlignment="1">
      <alignment horizontal="right"/>
    </xf>
    <xf numFmtId="165" fontId="9" fillId="0" borderId="1" xfId="1" applyNumberFormat="1" applyFont="1" applyFill="1" applyBorder="1"/>
    <xf numFmtId="0" fontId="12" fillId="0" borderId="0" xfId="0" applyFont="1" applyFill="1"/>
    <xf numFmtId="165" fontId="8" fillId="0" borderId="0" xfId="1" applyNumberFormat="1" applyFont="1" applyFill="1"/>
    <xf numFmtId="0" fontId="12" fillId="0" borderId="0" xfId="0" applyFont="1" applyFill="1" applyAlignment="1">
      <alignment horizontal="left"/>
    </xf>
    <xf numFmtId="165" fontId="8" fillId="0" borderId="2" xfId="1" applyNumberFormat="1" applyFont="1" applyFill="1" applyBorder="1"/>
    <xf numFmtId="165" fontId="8" fillId="0" borderId="3" xfId="1" applyNumberFormat="1" applyFont="1" applyFill="1" applyBorder="1"/>
    <xf numFmtId="0" fontId="11" fillId="0" borderId="0" xfId="0" applyFont="1" applyFill="1" applyAlignment="1">
      <alignment horizontal="left"/>
    </xf>
    <xf numFmtId="0" fontId="8" fillId="0" borderId="0" xfId="0" applyFont="1"/>
    <xf numFmtId="0" fontId="12" fillId="0" borderId="0" xfId="0" applyFont="1" applyFill="1" applyAlignment="1">
      <alignment horizontal="center"/>
    </xf>
    <xf numFmtId="0" fontId="9" fillId="0" borderId="0" xfId="0" applyFont="1" applyFill="1" applyAlignment="1"/>
    <xf numFmtId="0" fontId="16" fillId="0" borderId="0" xfId="0" applyFont="1" applyAlignment="1">
      <alignment horizontal="left" indent="4"/>
    </xf>
    <xf numFmtId="0" fontId="9" fillId="0" borderId="0" xfId="0" quotePrefix="1" applyFont="1" applyFill="1" applyBorder="1" applyAlignment="1">
      <alignment horizontal="left"/>
    </xf>
    <xf numFmtId="0" fontId="9" fillId="0" borderId="0" xfId="0" applyFont="1" applyFill="1" applyBorder="1" applyAlignment="1">
      <alignment horizontal="left"/>
    </xf>
    <xf numFmtId="0" fontId="12" fillId="0" borderId="0" xfId="0" applyFont="1" applyFill="1" applyAlignment="1">
      <alignment horizontal="right"/>
    </xf>
    <xf numFmtId="0" fontId="10" fillId="0" borderId="0" xfId="0" applyFont="1" applyFill="1"/>
    <xf numFmtId="0" fontId="8" fillId="0" borderId="0" xfId="0" applyFont="1" applyFill="1" applyBorder="1" applyAlignment="1">
      <alignment horizontal="left"/>
    </xf>
    <xf numFmtId="43" fontId="9" fillId="0" borderId="0" xfId="1" applyFont="1" applyFill="1" applyAlignment="1"/>
    <xf numFmtId="0" fontId="17" fillId="0" borderId="0" xfId="0" applyFont="1" applyAlignment="1">
      <alignment horizontal="justify"/>
    </xf>
    <xf numFmtId="43" fontId="13" fillId="0" borderId="0" xfId="1" applyFont="1" applyFill="1"/>
    <xf numFmtId="43" fontId="0" fillId="0" borderId="0" xfId="0" applyNumberFormat="1"/>
    <xf numFmtId="165" fontId="8" fillId="0" borderId="0" xfId="1" applyNumberFormat="1" applyFont="1" applyFill="1" applyAlignment="1">
      <alignment horizontal="right"/>
    </xf>
    <xf numFmtId="49" fontId="9" fillId="0" borderId="0" xfId="0" applyNumberFormat="1" applyFont="1" applyFill="1"/>
    <xf numFmtId="43" fontId="9" fillId="0" borderId="4" xfId="1" applyFont="1" applyFill="1" applyBorder="1"/>
    <xf numFmtId="0" fontId="9" fillId="0" borderId="4" xfId="0" applyFont="1" applyFill="1" applyBorder="1"/>
    <xf numFmtId="2" fontId="9" fillId="0" borderId="0" xfId="0" applyNumberFormat="1" applyFont="1"/>
    <xf numFmtId="0" fontId="23" fillId="0" borderId="0" xfId="3" applyFont="1" applyBorder="1" applyAlignment="1" applyProtection="1">
      <alignment horizontal="left" vertical="top"/>
      <protection locked="0"/>
    </xf>
    <xf numFmtId="0" fontId="8" fillId="0" borderId="1" xfId="0" applyFont="1" applyFill="1" applyBorder="1" applyAlignment="1">
      <alignment horizontal="left"/>
    </xf>
    <xf numFmtId="165" fontId="8" fillId="0" borderId="3" xfId="0" applyNumberFormat="1" applyFont="1" applyFill="1" applyBorder="1"/>
    <xf numFmtId="165" fontId="8" fillId="0" borderId="5" xfId="1" applyNumberFormat="1" applyFont="1" applyFill="1" applyBorder="1"/>
    <xf numFmtId="165" fontId="9" fillId="0" borderId="0" xfId="1" applyNumberFormat="1" applyFont="1"/>
    <xf numFmtId="0" fontId="9" fillId="0" borderId="0" xfId="0" applyFont="1" applyBorder="1"/>
    <xf numFmtId="49" fontId="30" fillId="0" borderId="0" xfId="0" applyNumberFormat="1" applyFont="1" applyFill="1"/>
    <xf numFmtId="43" fontId="9" fillId="0" borderId="0" xfId="1" applyFont="1" applyFill="1" applyAlignment="1">
      <alignment horizontal="right"/>
    </xf>
    <xf numFmtId="0" fontId="32" fillId="0" borderId="0" xfId="0" applyFont="1" applyFill="1"/>
    <xf numFmtId="0" fontId="9" fillId="0" borderId="0" xfId="0" applyFont="1" applyFill="1" applyAlignment="1">
      <alignment horizontal="right"/>
    </xf>
    <xf numFmtId="0" fontId="9" fillId="0" borderId="0" xfId="0" applyFont="1" applyFill="1" applyBorder="1" applyAlignment="1">
      <alignment horizontal="right"/>
    </xf>
    <xf numFmtId="0" fontId="8" fillId="0" borderId="0" xfId="0" applyFont="1" applyFill="1" applyBorder="1" applyAlignment="1">
      <alignment horizontal="right"/>
    </xf>
    <xf numFmtId="0" fontId="33" fillId="0" borderId="0" xfId="0" applyFont="1" applyFill="1" applyAlignment="1">
      <alignment horizontal="right"/>
    </xf>
    <xf numFmtId="43" fontId="32" fillId="0" borderId="0" xfId="1" applyFont="1" applyFill="1" applyBorder="1"/>
    <xf numFmtId="0" fontId="34" fillId="0" borderId="0" xfId="0" applyFont="1" applyFill="1"/>
    <xf numFmtId="43" fontId="32" fillId="0" borderId="0" xfId="1" applyFont="1" applyFill="1"/>
    <xf numFmtId="165" fontId="32" fillId="0" borderId="0" xfId="1" applyNumberFormat="1" applyFont="1" applyFill="1"/>
    <xf numFmtId="165" fontId="35" fillId="0" borderId="0" xfId="1" applyNumberFormat="1" applyFont="1" applyFill="1" applyBorder="1"/>
    <xf numFmtId="165" fontId="32" fillId="0" borderId="0" xfId="1" applyNumberFormat="1" applyFont="1" applyFill="1" applyBorder="1"/>
    <xf numFmtId="43" fontId="35" fillId="0" borderId="0" xfId="1" applyFont="1" applyFill="1"/>
    <xf numFmtId="165" fontId="35" fillId="0" borderId="0" xfId="1" applyNumberFormat="1" applyFont="1" applyFill="1"/>
    <xf numFmtId="165" fontId="35" fillId="0" borderId="2" xfId="1" applyNumberFormat="1" applyFont="1" applyFill="1" applyBorder="1"/>
    <xf numFmtId="165" fontId="35" fillId="0" borderId="3" xfId="1" applyNumberFormat="1" applyFont="1" applyFill="1" applyBorder="1"/>
    <xf numFmtId="43" fontId="33" fillId="0" borderId="0" xfId="1" applyFont="1" applyFill="1"/>
    <xf numFmtId="0" fontId="36" fillId="0" borderId="0" xfId="0" applyFont="1"/>
    <xf numFmtId="0" fontId="37" fillId="0" borderId="0" xfId="0" applyFont="1" applyAlignment="1">
      <alignment horizontal="justify"/>
    </xf>
    <xf numFmtId="164" fontId="9" fillId="0" borderId="0" xfId="0" applyNumberFormat="1" applyFont="1" applyFill="1"/>
    <xf numFmtId="0" fontId="32" fillId="0" borderId="0" xfId="0" applyFont="1" applyFill="1" applyAlignment="1">
      <alignment horizontal="left"/>
    </xf>
    <xf numFmtId="43" fontId="11" fillId="0" borderId="0" xfId="1" applyFont="1" applyFill="1" applyBorder="1" applyAlignment="1">
      <alignment horizontal="left"/>
    </xf>
    <xf numFmtId="43" fontId="9" fillId="0" borderId="0" xfId="0" applyNumberFormat="1" applyFont="1" applyFill="1" applyBorder="1" applyAlignment="1">
      <alignment horizontal="left"/>
    </xf>
    <xf numFmtId="43" fontId="9" fillId="0" borderId="0" xfId="1" applyFont="1" applyFill="1" applyBorder="1" applyAlignment="1">
      <alignment horizontal="left"/>
    </xf>
    <xf numFmtId="43" fontId="8" fillId="0" borderId="0" xfId="0" applyNumberFormat="1" applyFont="1" applyFill="1" applyBorder="1" applyAlignment="1">
      <alignment horizontal="left"/>
    </xf>
    <xf numFmtId="43" fontId="9" fillId="0" borderId="0" xfId="0" quotePrefix="1" applyNumberFormat="1" applyFont="1" applyFill="1" applyBorder="1" applyAlignment="1">
      <alignment horizontal="left"/>
    </xf>
    <xf numFmtId="164" fontId="33" fillId="3" borderId="0" xfId="0" quotePrefix="1" applyNumberFormat="1" applyFont="1" applyFill="1" applyAlignment="1">
      <alignment horizontal="justify"/>
    </xf>
    <xf numFmtId="165" fontId="8" fillId="0" borderId="0" xfId="0" applyNumberFormat="1" applyFont="1" applyFill="1"/>
    <xf numFmtId="164" fontId="32" fillId="0" borderId="0" xfId="1" applyNumberFormat="1" applyFont="1" applyFill="1"/>
    <xf numFmtId="0" fontId="11" fillId="0" borderId="0" xfId="0" applyFont="1"/>
    <xf numFmtId="165" fontId="8" fillId="0" borderId="3" xfId="1" applyNumberFormat="1" applyFont="1" applyBorder="1"/>
    <xf numFmtId="0" fontId="21" fillId="0" borderId="0" xfId="0" applyFont="1" applyFill="1"/>
    <xf numFmtId="0" fontId="11" fillId="0" borderId="0" xfId="0" applyFont="1" applyFill="1" applyBorder="1" applyAlignment="1"/>
    <xf numFmtId="0" fontId="11" fillId="0" borderId="0" xfId="0" applyFont="1" applyFill="1" applyBorder="1" applyAlignment="1">
      <alignment horizontal="center"/>
    </xf>
    <xf numFmtId="43" fontId="11" fillId="0" borderId="0" xfId="1" applyFont="1" applyFill="1" applyBorder="1" applyAlignment="1">
      <alignment horizontal="center"/>
    </xf>
    <xf numFmtId="165" fontId="8" fillId="0" borderId="0" xfId="1" applyNumberFormat="1" applyFont="1" applyFill="1" applyBorder="1" applyAlignment="1">
      <alignment horizontal="center"/>
    </xf>
    <xf numFmtId="0" fontId="8" fillId="0" borderId="0" xfId="0" applyFont="1" applyFill="1" applyBorder="1" applyAlignment="1">
      <alignment horizontal="center"/>
    </xf>
    <xf numFmtId="0" fontId="11" fillId="0" borderId="0" xfId="1" applyNumberFormat="1" applyFont="1" applyFill="1" applyBorder="1" applyAlignment="1">
      <alignment horizontal="center"/>
    </xf>
    <xf numFmtId="0" fontId="8" fillId="0" borderId="0" xfId="0" applyFont="1" applyAlignment="1">
      <alignment horizontal="left"/>
    </xf>
    <xf numFmtId="0" fontId="9" fillId="2" borderId="0" xfId="0" applyFont="1" applyFill="1"/>
    <xf numFmtId="0" fontId="8" fillId="0" borderId="1" xfId="0" applyFont="1" applyFill="1" applyBorder="1" applyAlignment="1"/>
    <xf numFmtId="165" fontId="9" fillId="0" borderId="4" xfId="1" applyNumberFormat="1" applyFont="1" applyFill="1" applyBorder="1"/>
    <xf numFmtId="165" fontId="8" fillId="0" borderId="0" xfId="0" applyNumberFormat="1" applyFont="1" applyFill="1" applyAlignment="1">
      <alignment horizontal="center"/>
    </xf>
    <xf numFmtId="165" fontId="8" fillId="0" borderId="2" xfId="0" applyNumberFormat="1" applyFont="1" applyFill="1" applyBorder="1"/>
    <xf numFmtId="2" fontId="9" fillId="0" borderId="0" xfId="0" applyNumberFormat="1" applyFont="1" applyFill="1"/>
    <xf numFmtId="165" fontId="9" fillId="0" borderId="0" xfId="1" applyNumberFormat="1" applyFont="1" applyFill="1" applyBorder="1" applyAlignment="1">
      <alignment horizontal="center"/>
    </xf>
    <xf numFmtId="165" fontId="8" fillId="0" borderId="4" xfId="1" applyNumberFormat="1" applyFont="1" applyFill="1" applyBorder="1"/>
    <xf numFmtId="165" fontId="35" fillId="0" borderId="4" xfId="1" applyNumberFormat="1" applyFont="1" applyFill="1" applyBorder="1"/>
    <xf numFmtId="0" fontId="36" fillId="0" borderId="0" xfId="0" applyFont="1" applyFill="1"/>
    <xf numFmtId="0" fontId="15" fillId="0" borderId="0" xfId="0" applyFont="1" applyFill="1"/>
    <xf numFmtId="0" fontId="39" fillId="0" borderId="0" xfId="0" applyFont="1" applyFill="1"/>
    <xf numFmtId="43" fontId="39" fillId="0" borderId="0" xfId="1" applyFont="1" applyFill="1"/>
    <xf numFmtId="164" fontId="33" fillId="0" borderId="0" xfId="0" quotePrefix="1" applyNumberFormat="1" applyFont="1" applyFill="1" applyAlignment="1">
      <alignment horizontal="justify"/>
    </xf>
    <xf numFmtId="0" fontId="37" fillId="0" borderId="0" xfId="0" applyFont="1" applyFill="1" applyAlignment="1">
      <alignment horizontal="justify"/>
    </xf>
    <xf numFmtId="0" fontId="8" fillId="0" borderId="4" xfId="0" applyFont="1" applyFill="1" applyBorder="1" applyAlignment="1">
      <alignment horizontal="right"/>
    </xf>
    <xf numFmtId="165" fontId="35" fillId="0" borderId="0" xfId="0" applyNumberFormat="1" applyFont="1" applyFill="1" applyBorder="1"/>
    <xf numFmtId="165" fontId="9" fillId="0" borderId="4" xfId="0" applyNumberFormat="1" applyFont="1" applyFill="1" applyBorder="1"/>
    <xf numFmtId="0" fontId="12" fillId="0" borderId="0" xfId="0" applyFont="1" applyFill="1" applyBorder="1" applyAlignment="1">
      <alignment horizontal="center"/>
    </xf>
    <xf numFmtId="0" fontId="11" fillId="0" borderId="0" xfId="0" applyFont="1" applyFill="1" applyBorder="1" applyAlignment="1">
      <alignment horizontal="left"/>
    </xf>
    <xf numFmtId="0" fontId="8" fillId="0" borderId="4" xfId="0" applyFont="1" applyFill="1" applyBorder="1"/>
    <xf numFmtId="0" fontId="9" fillId="0" borderId="0" xfId="0" quotePrefix="1" applyFont="1" applyFill="1" applyAlignment="1">
      <alignment horizontal="left"/>
    </xf>
    <xf numFmtId="165" fontId="11" fillId="0" borderId="0" xfId="1" applyNumberFormat="1" applyFont="1" applyFill="1" applyBorder="1"/>
    <xf numFmtId="165" fontId="9" fillId="0" borderId="0" xfId="1" applyNumberFormat="1" applyFont="1" applyBorder="1"/>
    <xf numFmtId="165" fontId="8" fillId="0" borderId="3" xfId="1" applyNumberFormat="1" applyFont="1" applyFill="1" applyBorder="1" applyAlignment="1">
      <alignment horizontal="center"/>
    </xf>
    <xf numFmtId="165" fontId="11" fillId="0" borderId="0" xfId="1" applyNumberFormat="1" applyFont="1" applyFill="1" applyBorder="1" applyAlignment="1">
      <alignment horizontal="center"/>
    </xf>
    <xf numFmtId="43" fontId="8" fillId="0" borderId="4" xfId="1" applyFont="1" applyFill="1" applyBorder="1"/>
    <xf numFmtId="49" fontId="9" fillId="0" borderId="0" xfId="0" applyNumberFormat="1" applyFont="1" applyFill="1" applyAlignment="1">
      <alignment horizontal="left"/>
    </xf>
    <xf numFmtId="49" fontId="28" fillId="0" borderId="0" xfId="0" applyNumberFormat="1" applyFont="1" applyFill="1"/>
    <xf numFmtId="43" fontId="26" fillId="0" borderId="0" xfId="1" applyFont="1" applyFill="1" applyBorder="1" applyAlignment="1">
      <alignment horizontal="centerContinuous"/>
    </xf>
    <xf numFmtId="43" fontId="15" fillId="0" borderId="0" xfId="1" applyFont="1" applyFill="1" applyBorder="1" applyAlignment="1">
      <alignment horizontal="centerContinuous"/>
    </xf>
    <xf numFmtId="43" fontId="15" fillId="0" borderId="0" xfId="1" applyFont="1" applyFill="1"/>
    <xf numFmtId="49" fontId="26" fillId="0" borderId="0" xfId="0" applyNumberFormat="1" applyFont="1" applyFill="1" applyAlignment="1">
      <alignment horizontal="center"/>
    </xf>
    <xf numFmtId="43" fontId="26" fillId="0" borderId="8" xfId="1" applyFont="1" applyFill="1" applyBorder="1" applyAlignment="1">
      <alignment horizontal="center"/>
    </xf>
    <xf numFmtId="49" fontId="26" fillId="0" borderId="8" xfId="0" applyNumberFormat="1" applyFont="1" applyFill="1" applyBorder="1" applyAlignment="1">
      <alignment horizontal="center"/>
    </xf>
    <xf numFmtId="0" fontId="15" fillId="0" borderId="0" xfId="0" applyFont="1" applyFill="1" applyAlignment="1">
      <alignment horizontal="center"/>
    </xf>
    <xf numFmtId="43" fontId="15" fillId="0" borderId="0" xfId="1" applyFont="1" applyFill="1" applyAlignment="1">
      <alignment horizontal="center"/>
    </xf>
    <xf numFmtId="49" fontId="26" fillId="0" borderId="8" xfId="0" applyNumberFormat="1" applyFont="1" applyFill="1" applyBorder="1"/>
    <xf numFmtId="43" fontId="19" fillId="0" borderId="8" xfId="1" applyFont="1" applyFill="1" applyBorder="1"/>
    <xf numFmtId="43" fontId="19" fillId="0" borderId="9" xfId="1" applyFont="1" applyFill="1" applyBorder="1"/>
    <xf numFmtId="43" fontId="15" fillId="0" borderId="8" xfId="1" applyFont="1" applyFill="1" applyBorder="1"/>
    <xf numFmtId="43" fontId="15" fillId="0" borderId="9" xfId="1" applyFont="1" applyFill="1" applyBorder="1"/>
    <xf numFmtId="43" fontId="15" fillId="0" borderId="0" xfId="0" applyNumberFormat="1" applyFont="1" applyFill="1"/>
    <xf numFmtId="43" fontId="19" fillId="0" borderId="10" xfId="1" applyFont="1" applyFill="1" applyBorder="1"/>
    <xf numFmtId="43" fontId="19" fillId="0" borderId="11" xfId="1" applyFont="1" applyFill="1" applyBorder="1"/>
    <xf numFmtId="43" fontId="15" fillId="0" borderId="10" xfId="1" applyFont="1" applyFill="1" applyBorder="1"/>
    <xf numFmtId="43" fontId="15" fillId="0" borderId="11" xfId="1" applyFont="1" applyFill="1" applyBorder="1"/>
    <xf numFmtId="49" fontId="26" fillId="0" borderId="0" xfId="0" applyNumberFormat="1" applyFont="1" applyFill="1"/>
    <xf numFmtId="0" fontId="26" fillId="0" borderId="0" xfId="0" applyFont="1" applyFill="1"/>
    <xf numFmtId="43" fontId="26" fillId="0" borderId="0" xfId="1" applyFont="1" applyFill="1"/>
    <xf numFmtId="0" fontId="26" fillId="0" borderId="0" xfId="0" applyNumberFormat="1" applyFont="1" applyFill="1"/>
    <xf numFmtId="49" fontId="26" fillId="2" borderId="8" xfId="0" applyNumberFormat="1" applyFont="1" applyFill="1" applyBorder="1"/>
    <xf numFmtId="43" fontId="19" fillId="2" borderId="8" xfId="1" applyFont="1" applyFill="1" applyBorder="1"/>
    <xf numFmtId="43" fontId="19" fillId="2" borderId="9" xfId="1" applyFont="1" applyFill="1" applyBorder="1"/>
    <xf numFmtId="43" fontId="15" fillId="2" borderId="8" xfId="1" applyFont="1" applyFill="1" applyBorder="1"/>
    <xf numFmtId="43" fontId="15" fillId="2" borderId="9" xfId="1" applyFont="1" applyFill="1" applyBorder="1"/>
    <xf numFmtId="0" fontId="15" fillId="2" borderId="0" xfId="0" applyFont="1" applyFill="1"/>
    <xf numFmtId="43" fontId="15" fillId="2" borderId="0" xfId="1" applyFont="1" applyFill="1"/>
    <xf numFmtId="41" fontId="9" fillId="0" borderId="0" xfId="0" applyNumberFormat="1" applyFont="1" applyFill="1"/>
    <xf numFmtId="49" fontId="26" fillId="6" borderId="8" xfId="0" applyNumberFormat="1" applyFont="1" applyFill="1" applyBorder="1"/>
    <xf numFmtId="43" fontId="19" fillId="6" borderId="8" xfId="1" applyFont="1" applyFill="1" applyBorder="1"/>
    <xf numFmtId="43" fontId="19" fillId="6" borderId="9" xfId="1" applyFont="1" applyFill="1" applyBorder="1"/>
    <xf numFmtId="0" fontId="15" fillId="6" borderId="0" xfId="0" applyFont="1" applyFill="1"/>
    <xf numFmtId="43" fontId="15" fillId="6" borderId="0" xfId="1" applyFont="1" applyFill="1"/>
    <xf numFmtId="49" fontId="26" fillId="5" borderId="8" xfId="0" applyNumberFormat="1" applyFont="1" applyFill="1" applyBorder="1"/>
    <xf numFmtId="43" fontId="19" fillId="5" borderId="8" xfId="1" applyFont="1" applyFill="1" applyBorder="1"/>
    <xf numFmtId="43" fontId="19" fillId="5" borderId="9" xfId="1" applyFont="1" applyFill="1" applyBorder="1"/>
    <xf numFmtId="0" fontId="15" fillId="5" borderId="0" xfId="0" applyFont="1" applyFill="1"/>
    <xf numFmtId="43" fontId="15" fillId="5" borderId="0" xfId="1" applyFont="1" applyFill="1"/>
    <xf numFmtId="49" fontId="26" fillId="0" borderId="0" xfId="0" applyNumberFormat="1" applyFont="1" applyFill="1" applyBorder="1"/>
    <xf numFmtId="43" fontId="19" fillId="0" borderId="0" xfId="1" applyFont="1" applyFill="1" applyBorder="1"/>
    <xf numFmtId="37" fontId="15" fillId="0" borderId="0" xfId="0" applyNumberFormat="1" applyFont="1" applyFill="1"/>
    <xf numFmtId="43" fontId="27" fillId="0" borderId="5" xfId="1" applyFont="1" applyFill="1" applyBorder="1"/>
    <xf numFmtId="43" fontId="27" fillId="0" borderId="12" xfId="1" applyFont="1" applyFill="1" applyBorder="1"/>
    <xf numFmtId="43" fontId="27" fillId="0" borderId="5" xfId="0" applyNumberFormat="1" applyFont="1" applyFill="1" applyBorder="1"/>
    <xf numFmtId="43" fontId="15" fillId="2" borderId="0" xfId="0" applyNumberFormat="1" applyFont="1" applyFill="1"/>
    <xf numFmtId="43" fontId="15" fillId="5" borderId="8" xfId="1" applyFont="1" applyFill="1" applyBorder="1"/>
    <xf numFmtId="43" fontId="15" fillId="7" borderId="9" xfId="1" applyFont="1" applyFill="1" applyBorder="1"/>
    <xf numFmtId="43" fontId="15" fillId="7" borderId="8" xfId="1" applyFont="1" applyFill="1" applyBorder="1"/>
    <xf numFmtId="43" fontId="15" fillId="5" borderId="9" xfId="1" applyFont="1" applyFill="1" applyBorder="1"/>
    <xf numFmtId="49" fontId="26" fillId="0" borderId="13" xfId="0" applyNumberFormat="1" applyFont="1" applyFill="1" applyBorder="1"/>
    <xf numFmtId="43" fontId="19" fillId="0" borderId="13" xfId="1" applyFont="1" applyFill="1" applyBorder="1"/>
    <xf numFmtId="43" fontId="19" fillId="0" borderId="14" xfId="1" applyFont="1" applyFill="1" applyBorder="1"/>
    <xf numFmtId="43" fontId="15" fillId="0" borderId="13" xfId="1" applyFont="1" applyFill="1" applyBorder="1"/>
    <xf numFmtId="43" fontId="15" fillId="0" borderId="14" xfId="1" applyFont="1" applyFill="1" applyBorder="1"/>
    <xf numFmtId="49" fontId="26" fillId="0" borderId="15" xfId="0" applyNumberFormat="1" applyFont="1" applyFill="1" applyBorder="1"/>
    <xf numFmtId="43" fontId="19" fillId="0" borderId="16" xfId="1" applyFont="1" applyFill="1" applyBorder="1"/>
    <xf numFmtId="43" fontId="19" fillId="0" borderId="17" xfId="1" applyFont="1" applyFill="1" applyBorder="1"/>
    <xf numFmtId="43" fontId="15" fillId="0" borderId="16" xfId="1" applyFont="1" applyFill="1" applyBorder="1"/>
    <xf numFmtId="43" fontId="15" fillId="0" borderId="17" xfId="1" applyFont="1" applyFill="1" applyBorder="1"/>
    <xf numFmtId="43" fontId="15" fillId="0" borderId="18" xfId="1" applyFont="1" applyFill="1" applyBorder="1"/>
    <xf numFmtId="49" fontId="26" fillId="0" borderId="19" xfId="0" applyNumberFormat="1" applyFont="1" applyFill="1" applyBorder="1"/>
    <xf numFmtId="43" fontId="15" fillId="0" borderId="20" xfId="1" applyFont="1" applyFill="1" applyBorder="1"/>
    <xf numFmtId="49" fontId="26" fillId="0" borderId="21" xfId="0" applyNumberFormat="1" applyFont="1" applyFill="1" applyBorder="1"/>
    <xf numFmtId="43" fontId="19" fillId="0" borderId="22" xfId="1" applyFont="1" applyFill="1" applyBorder="1"/>
    <xf numFmtId="43" fontId="19" fillId="0" borderId="23" xfId="1" applyFont="1" applyFill="1" applyBorder="1"/>
    <xf numFmtId="43" fontId="15" fillId="0" borderId="22" xfId="1" applyFont="1" applyFill="1" applyBorder="1"/>
    <xf numFmtId="43" fontId="15" fillId="0" borderId="23" xfId="1" applyFont="1" applyFill="1" applyBorder="1"/>
    <xf numFmtId="43" fontId="15" fillId="0" borderId="24" xfId="1" applyFont="1" applyFill="1" applyBorder="1"/>
    <xf numFmtId="49" fontId="38" fillId="0" borderId="19" xfId="0" applyNumberFormat="1" applyFont="1" applyFill="1" applyBorder="1"/>
    <xf numFmtId="43" fontId="31" fillId="0" borderId="8" xfId="1" applyFont="1" applyFill="1" applyBorder="1"/>
    <xf numFmtId="43" fontId="31" fillId="0" borderId="9" xfId="1" applyFont="1" applyFill="1" applyBorder="1"/>
    <xf numFmtId="43" fontId="39" fillId="0" borderId="8" xfId="1" applyFont="1" applyFill="1" applyBorder="1"/>
    <xf numFmtId="43" fontId="39" fillId="0" borderId="9" xfId="1" applyFont="1" applyFill="1" applyBorder="1"/>
    <xf numFmtId="43" fontId="39" fillId="0" borderId="0" xfId="0" applyNumberFormat="1" applyFont="1" applyFill="1"/>
    <xf numFmtId="49" fontId="26" fillId="8" borderId="8" xfId="0" applyNumberFormat="1" applyFont="1" applyFill="1" applyBorder="1"/>
    <xf numFmtId="43" fontId="19" fillId="8" borderId="8" xfId="1" applyFont="1" applyFill="1" applyBorder="1"/>
    <xf numFmtId="43" fontId="19" fillId="8" borderId="9" xfId="1" applyFont="1" applyFill="1" applyBorder="1"/>
    <xf numFmtId="43" fontId="15" fillId="8" borderId="8" xfId="1" applyFont="1" applyFill="1" applyBorder="1"/>
    <xf numFmtId="43" fontId="15" fillId="8" borderId="9" xfId="1" applyFont="1" applyFill="1" applyBorder="1"/>
    <xf numFmtId="0" fontId="15" fillId="8" borderId="0" xfId="0" applyFont="1" applyFill="1"/>
    <xf numFmtId="43" fontId="15" fillId="8" borderId="0" xfId="1" applyFont="1" applyFill="1"/>
    <xf numFmtId="43" fontId="15" fillId="8" borderId="0" xfId="0" applyNumberFormat="1" applyFont="1" applyFill="1"/>
    <xf numFmtId="43" fontId="15" fillId="6" borderId="8" xfId="1" applyFont="1" applyFill="1" applyBorder="1"/>
    <xf numFmtId="43" fontId="15" fillId="6" borderId="9" xfId="1" applyFont="1" applyFill="1" applyBorder="1"/>
    <xf numFmtId="0" fontId="40" fillId="0" borderId="0" xfId="0" applyFont="1" applyFill="1"/>
    <xf numFmtId="0" fontId="40" fillId="8" borderId="0" xfId="0" applyFont="1" applyFill="1"/>
    <xf numFmtId="0" fontId="40" fillId="8" borderId="0" xfId="0" applyFont="1" applyFill="1" applyAlignment="1">
      <alignment horizontal="center"/>
    </xf>
    <xf numFmtId="0" fontId="41" fillId="8" borderId="0" xfId="0" applyFont="1" applyFill="1"/>
    <xf numFmtId="0" fontId="15" fillId="9" borderId="0" xfId="0" applyFont="1" applyFill="1"/>
    <xf numFmtId="43" fontId="15" fillId="0" borderId="7" xfId="1" applyFont="1" applyFill="1" applyBorder="1"/>
    <xf numFmtId="43" fontId="15" fillId="0" borderId="0" xfId="1" applyFont="1" applyFill="1" applyBorder="1"/>
    <xf numFmtId="43" fontId="40" fillId="0" borderId="0" xfId="1" applyFont="1" applyFill="1"/>
    <xf numFmtId="0" fontId="15" fillId="9" borderId="0" xfId="0" applyFont="1" applyFill="1" applyAlignment="1">
      <alignment horizontal="center"/>
    </xf>
    <xf numFmtId="49" fontId="30" fillId="9" borderId="0" xfId="0" applyNumberFormat="1" applyFont="1" applyFill="1"/>
    <xf numFmtId="0" fontId="39" fillId="9" borderId="0" xfId="0" applyFont="1" applyFill="1"/>
    <xf numFmtId="0" fontId="26" fillId="9" borderId="0" xfId="0" applyFont="1" applyFill="1"/>
    <xf numFmtId="0" fontId="15" fillId="10" borderId="0" xfId="0" applyFont="1" applyFill="1"/>
    <xf numFmtId="0" fontId="39" fillId="10" borderId="0" xfId="0" applyFont="1" applyFill="1"/>
    <xf numFmtId="49" fontId="30" fillId="8" borderId="0" xfId="0" applyNumberFormat="1" applyFont="1" applyFill="1"/>
    <xf numFmtId="0" fontId="39" fillId="8" borderId="0" xfId="0" applyFont="1" applyFill="1"/>
    <xf numFmtId="43" fontId="39" fillId="8" borderId="0" xfId="1" applyFont="1" applyFill="1"/>
    <xf numFmtId="49" fontId="26" fillId="0" borderId="10" xfId="0" applyNumberFormat="1" applyFont="1" applyFill="1" applyBorder="1"/>
    <xf numFmtId="165" fontId="15" fillId="0" borderId="8" xfId="1" applyNumberFormat="1" applyFont="1" applyFill="1" applyBorder="1"/>
    <xf numFmtId="165" fontId="15" fillId="0" borderId="9" xfId="1" applyNumberFormat="1" applyFont="1" applyFill="1" applyBorder="1"/>
    <xf numFmtId="0" fontId="26" fillId="0" borderId="8" xfId="0" applyNumberFormat="1" applyFont="1" applyFill="1" applyBorder="1"/>
    <xf numFmtId="43" fontId="19" fillId="0" borderId="6" xfId="1" applyFont="1" applyFill="1" applyBorder="1"/>
    <xf numFmtId="43" fontId="19" fillId="0" borderId="25" xfId="1" applyFont="1" applyFill="1" applyBorder="1"/>
    <xf numFmtId="43" fontId="19" fillId="0" borderId="26" xfId="1" applyFont="1" applyFill="1" applyBorder="1"/>
    <xf numFmtId="43" fontId="19" fillId="0" borderId="27" xfId="1" applyFont="1" applyFill="1" applyBorder="1"/>
    <xf numFmtId="43" fontId="15" fillId="2" borderId="15" xfId="1" applyFont="1" applyFill="1" applyBorder="1"/>
    <xf numFmtId="43" fontId="15" fillId="2" borderId="19" xfId="1" applyFont="1" applyFill="1" applyBorder="1"/>
    <xf numFmtId="43" fontId="15" fillId="2" borderId="21" xfId="1" applyFont="1" applyFill="1" applyBorder="1"/>
    <xf numFmtId="43" fontId="15" fillId="2" borderId="10" xfId="1" applyFont="1" applyFill="1" applyBorder="1"/>
    <xf numFmtId="43" fontId="15" fillId="0" borderId="19" xfId="1" applyFont="1" applyFill="1" applyBorder="1"/>
    <xf numFmtId="43" fontId="15" fillId="4" borderId="15" xfId="1" applyFont="1" applyFill="1" applyBorder="1"/>
    <xf numFmtId="43" fontId="15" fillId="4" borderId="18" xfId="1" applyFont="1" applyFill="1" applyBorder="1"/>
    <xf numFmtId="43" fontId="15" fillId="4" borderId="19" xfId="1" applyFont="1" applyFill="1" applyBorder="1"/>
    <xf numFmtId="43" fontId="15" fillId="4" borderId="20" xfId="1" applyFont="1" applyFill="1" applyBorder="1"/>
    <xf numFmtId="43" fontId="15" fillId="4" borderId="21" xfId="1" applyFont="1" applyFill="1" applyBorder="1"/>
    <xf numFmtId="43" fontId="15" fillId="4" borderId="24" xfId="1" applyFont="1" applyFill="1" applyBorder="1"/>
    <xf numFmtId="43" fontId="30" fillId="0" borderId="0" xfId="1" applyFont="1" applyFill="1"/>
    <xf numFmtId="43" fontId="8" fillId="0" borderId="0" xfId="1" applyFont="1" applyFill="1" applyAlignment="1">
      <alignment horizontal="right"/>
    </xf>
    <xf numFmtId="0" fontId="8" fillId="0" borderId="0" xfId="0" quotePrefix="1" applyFont="1" applyFill="1" applyBorder="1" applyAlignment="1">
      <alignment horizontal="center"/>
    </xf>
    <xf numFmtId="0" fontId="8" fillId="0" borderId="0" xfId="0" applyFont="1" applyFill="1" applyBorder="1" applyAlignment="1"/>
    <xf numFmtId="0" fontId="10" fillId="0" borderId="1" xfId="0" quotePrefix="1" applyFont="1" applyFill="1" applyBorder="1" applyAlignment="1"/>
    <xf numFmtId="0" fontId="12" fillId="0" borderId="1" xfId="0" quotePrefix="1" applyFont="1" applyFill="1" applyBorder="1" applyAlignment="1">
      <alignment horizontal="center"/>
    </xf>
    <xf numFmtId="0" fontId="8" fillId="0" borderId="4" xfId="0" applyFont="1" applyFill="1" applyBorder="1" applyAlignment="1">
      <alignment horizontal="left"/>
    </xf>
    <xf numFmtId="43" fontId="32" fillId="0" borderId="4" xfId="1" applyFont="1" applyFill="1" applyBorder="1"/>
    <xf numFmtId="0" fontId="34" fillId="0" borderId="1" xfId="0" applyFont="1" applyFill="1" applyBorder="1" applyAlignment="1"/>
    <xf numFmtId="0" fontId="10" fillId="0" borderId="1" xfId="0" applyFont="1" applyFill="1" applyBorder="1" applyAlignment="1"/>
    <xf numFmtId="0" fontId="20" fillId="0" borderId="0" xfId="3" applyFont="1" applyBorder="1" applyAlignment="1" applyProtection="1">
      <alignment horizontal="left" vertical="top"/>
      <protection locked="0"/>
    </xf>
    <xf numFmtId="0" fontId="20" fillId="0" borderId="0" xfId="3" applyFont="1" applyFill="1" applyBorder="1" applyAlignment="1" applyProtection="1">
      <alignment horizontal="left" vertical="top"/>
      <protection locked="0"/>
    </xf>
    <xf numFmtId="0" fontId="9" fillId="0" borderId="4" xfId="0" applyFont="1" applyFill="1" applyBorder="1" applyAlignment="1">
      <alignment horizontal="right"/>
    </xf>
    <xf numFmtId="165" fontId="11" fillId="0" borderId="4" xfId="1" applyNumberFormat="1" applyFont="1" applyFill="1" applyBorder="1"/>
    <xf numFmtId="0" fontId="11" fillId="0" borderId="0" xfId="0" applyFont="1" applyFill="1" applyProtection="1"/>
    <xf numFmtId="0" fontId="11" fillId="0" borderId="0" xfId="0" applyFont="1" applyFill="1" applyAlignment="1"/>
    <xf numFmtId="0" fontId="45" fillId="0" borderId="8" xfId="0" applyFont="1" applyFill="1" applyBorder="1"/>
    <xf numFmtId="43" fontId="0" fillId="0" borderId="0" xfId="0" applyNumberFormat="1" applyBorder="1"/>
    <xf numFmtId="168" fontId="0" fillId="0" borderId="0" xfId="0" applyNumberFormat="1" applyBorder="1"/>
    <xf numFmtId="0" fontId="47" fillId="0" borderId="0" xfId="0" applyNumberFormat="1" applyFont="1" applyBorder="1"/>
    <xf numFmtId="168" fontId="7" fillId="0" borderId="0" xfId="0" applyNumberFormat="1" applyFont="1" applyBorder="1"/>
    <xf numFmtId="0" fontId="7" fillId="0" borderId="0" xfId="0" applyNumberFormat="1" applyFont="1" applyBorder="1"/>
    <xf numFmtId="168" fontId="47" fillId="0" borderId="0" xfId="0" applyNumberFormat="1" applyFont="1" applyBorder="1"/>
    <xf numFmtId="43" fontId="31" fillId="0" borderId="0" xfId="1" applyFont="1" applyFill="1" applyBorder="1"/>
    <xf numFmtId="43" fontId="47" fillId="0" borderId="0" xfId="0" applyNumberFormat="1" applyFont="1" applyBorder="1"/>
    <xf numFmtId="49" fontId="0" fillId="0" borderId="0" xfId="0" applyNumberFormat="1" applyBorder="1"/>
    <xf numFmtId="168" fontId="29" fillId="0" borderId="0" xfId="5" applyNumberFormat="1" applyFont="1" applyFill="1" applyBorder="1"/>
    <xf numFmtId="165" fontId="8" fillId="0" borderId="0" xfId="1" applyNumberFormat="1" applyFont="1" applyBorder="1"/>
    <xf numFmtId="39" fontId="11" fillId="0" borderId="4" xfId="0" applyNumberFormat="1" applyFont="1" applyFill="1" applyBorder="1" applyAlignment="1"/>
    <xf numFmtId="0" fontId="9" fillId="0" borderId="0" xfId="26" applyFont="1" applyFill="1"/>
    <xf numFmtId="165" fontId="9" fillId="0" borderId="4" xfId="1" applyNumberFormat="1" applyFont="1" applyBorder="1"/>
    <xf numFmtId="0" fontId="11" fillId="0" borderId="4" xfId="0" applyFont="1" applyFill="1" applyBorder="1"/>
    <xf numFmtId="0" fontId="8" fillId="0" borderId="0" xfId="0" applyFont="1" applyBorder="1" applyAlignment="1">
      <alignment horizontal="left"/>
    </xf>
    <xf numFmtId="43" fontId="8" fillId="0" borderId="0" xfId="1" applyFont="1" applyFill="1" applyAlignment="1">
      <alignment horizontal="center"/>
    </xf>
    <xf numFmtId="43" fontId="9" fillId="0" borderId="0" xfId="0" quotePrefix="1" applyNumberFormat="1" applyFont="1" applyFill="1"/>
    <xf numFmtId="49" fontId="45" fillId="0" borderId="8" xfId="4" applyNumberFormat="1" applyFont="1" applyBorder="1"/>
    <xf numFmtId="43" fontId="48" fillId="11" borderId="8" xfId="1" applyFont="1" applyFill="1" applyBorder="1"/>
    <xf numFmtId="0" fontId="9" fillId="0" borderId="0" xfId="0" quotePrefix="1" applyFont="1" applyFill="1"/>
    <xf numFmtId="0" fontId="48" fillId="0" borderId="0" xfId="4" applyFont="1" applyFill="1" applyBorder="1"/>
    <xf numFmtId="43" fontId="45" fillId="0" borderId="10" xfId="1" applyFont="1" applyBorder="1"/>
    <xf numFmtId="43" fontId="48" fillId="0" borderId="8" xfId="1" applyFont="1" applyBorder="1"/>
    <xf numFmtId="43" fontId="48" fillId="2" borderId="8" xfId="1" applyFont="1" applyFill="1" applyBorder="1"/>
    <xf numFmtId="43" fontId="45" fillId="0" borderId="7" xfId="1" applyFont="1" applyBorder="1"/>
    <xf numFmtId="43" fontId="45" fillId="0" borderId="8" xfId="1" applyFont="1" applyBorder="1"/>
    <xf numFmtId="49" fontId="45" fillId="8" borderId="28" xfId="4" applyNumberFormat="1" applyFont="1" applyFill="1" applyBorder="1"/>
    <xf numFmtId="43" fontId="48" fillId="0" borderId="6" xfId="1" applyFont="1" applyFill="1" applyBorder="1"/>
    <xf numFmtId="43" fontId="48" fillId="0" borderId="8" xfId="1" applyFont="1" applyFill="1" applyBorder="1"/>
    <xf numFmtId="49" fontId="45" fillId="8" borderId="29" xfId="4" applyNumberFormat="1" applyFont="1" applyFill="1" applyBorder="1"/>
    <xf numFmtId="43" fontId="48" fillId="13" borderId="8" xfId="1" applyFont="1" applyFill="1" applyBorder="1"/>
    <xf numFmtId="49" fontId="45" fillId="8" borderId="30" xfId="4" applyNumberFormat="1" applyFont="1" applyFill="1" applyBorder="1"/>
    <xf numFmtId="49" fontId="45" fillId="8" borderId="13" xfId="4" applyNumberFormat="1" applyFont="1" applyFill="1" applyBorder="1"/>
    <xf numFmtId="49" fontId="45" fillId="8" borderId="8" xfId="4" applyNumberFormat="1" applyFont="1" applyFill="1" applyBorder="1"/>
    <xf numFmtId="43" fontId="45" fillId="2" borderId="8" xfId="1" applyFont="1" applyFill="1" applyBorder="1"/>
    <xf numFmtId="49" fontId="45" fillId="0" borderId="8" xfId="4" applyNumberFormat="1" applyFont="1" applyFill="1" applyBorder="1"/>
    <xf numFmtId="43" fontId="48" fillId="14" borderId="8" xfId="1" applyFont="1" applyFill="1" applyBorder="1"/>
    <xf numFmtId="49" fontId="45" fillId="11" borderId="8" xfId="4" applyNumberFormat="1" applyFont="1" applyFill="1" applyBorder="1"/>
    <xf numFmtId="43" fontId="48" fillId="5" borderId="8" xfId="1" applyFont="1" applyFill="1" applyBorder="1"/>
    <xf numFmtId="49" fontId="45" fillId="12" borderId="8" xfId="4" applyNumberFormat="1" applyFont="1" applyFill="1" applyBorder="1"/>
    <xf numFmtId="0" fontId="45" fillId="0" borderId="0" xfId="4" applyNumberFormat="1" applyFont="1" applyFill="1"/>
    <xf numFmtId="43" fontId="48" fillId="0" borderId="0" xfId="1" applyFont="1" applyFill="1"/>
    <xf numFmtId="43" fontId="48" fillId="0" borderId="0" xfId="1" applyFont="1" applyFill="1" applyBorder="1"/>
    <xf numFmtId="43" fontId="48" fillId="0" borderId="0" xfId="4" applyNumberFormat="1" applyFont="1" applyFill="1" applyBorder="1"/>
    <xf numFmtId="0" fontId="49" fillId="0" borderId="0" xfId="4" applyFont="1" applyFill="1" applyBorder="1"/>
    <xf numFmtId="0" fontId="0" fillId="0" borderId="0" xfId="0" quotePrefix="1"/>
    <xf numFmtId="43" fontId="0" fillId="0" borderId="0" xfId="0" quotePrefix="1" applyNumberFormat="1"/>
    <xf numFmtId="43" fontId="47" fillId="0" borderId="0" xfId="0" applyNumberFormat="1" applyFont="1"/>
    <xf numFmtId="0" fontId="47" fillId="0" borderId="0" xfId="0" applyFont="1"/>
    <xf numFmtId="43" fontId="7" fillId="0" borderId="0" xfId="0" applyNumberFormat="1" applyFont="1"/>
    <xf numFmtId="0" fontId="47" fillId="0" borderId="0" xfId="0" applyFont="1" applyAlignment="1">
      <alignment horizontal="center"/>
    </xf>
    <xf numFmtId="0" fontId="50" fillId="14" borderId="0" xfId="25" applyFont="1" applyFill="1"/>
    <xf numFmtId="0" fontId="51" fillId="14" borderId="0" xfId="25" applyFont="1" applyFill="1"/>
    <xf numFmtId="0" fontId="51" fillId="14" borderId="31" xfId="25" applyFont="1" applyFill="1" applyBorder="1"/>
    <xf numFmtId="0" fontId="51" fillId="14" borderId="0" xfId="25" applyFont="1" applyFill="1" applyBorder="1"/>
    <xf numFmtId="43" fontId="7" fillId="0" borderId="0" xfId="0" quotePrefix="1" applyNumberFormat="1" applyFont="1"/>
    <xf numFmtId="0" fontId="0" fillId="0" borderId="0" xfId="0" applyNumberFormat="1"/>
    <xf numFmtId="43" fontId="48" fillId="3" borderId="8" xfId="1" applyFont="1" applyFill="1" applyBorder="1"/>
    <xf numFmtId="0" fontId="10" fillId="0" borderId="1" xfId="1" applyNumberFormat="1" applyFont="1" applyFill="1" applyBorder="1" applyAlignment="1">
      <alignment horizontal="right"/>
    </xf>
    <xf numFmtId="43" fontId="45" fillId="0" borderId="6" xfId="1" applyFont="1" applyFill="1" applyBorder="1"/>
    <xf numFmtId="4" fontId="48" fillId="0" borderId="0" xfId="4" applyNumberFormat="1" applyFont="1" applyFill="1" applyBorder="1"/>
    <xf numFmtId="0" fontId="8" fillId="0" borderId="0" xfId="0" applyFont="1" applyFill="1" applyAlignment="1">
      <alignment horizontal="center"/>
    </xf>
    <xf numFmtId="0" fontId="9" fillId="0" borderId="0" xfId="0" applyNumberFormat="1" applyFont="1" applyFill="1" applyBorder="1" applyAlignment="1">
      <alignment horizontal="justify" vertical="center"/>
    </xf>
    <xf numFmtId="0" fontId="9" fillId="2" borderId="0" xfId="0" applyFont="1" applyFill="1" applyBorder="1"/>
    <xf numFmtId="43" fontId="9" fillId="2" borderId="0" xfId="1" applyFont="1" applyFill="1" applyBorder="1"/>
    <xf numFmtId="0" fontId="52" fillId="0" borderId="0" xfId="0" applyFont="1" applyFill="1" applyBorder="1"/>
    <xf numFmtId="165" fontId="10" fillId="0" borderId="0" xfId="1" applyNumberFormat="1" applyFont="1" applyFill="1" applyAlignment="1">
      <alignment horizontal="right"/>
    </xf>
    <xf numFmtId="165" fontId="8" fillId="0" borderId="0" xfId="1" quotePrefix="1" applyNumberFormat="1" applyFont="1" applyFill="1" applyBorder="1" applyAlignment="1">
      <alignment horizontal="center"/>
    </xf>
    <xf numFmtId="165" fontId="10" fillId="0" borderId="1" xfId="1" applyNumberFormat="1" applyFont="1" applyFill="1" applyBorder="1" applyAlignment="1"/>
    <xf numFmtId="165" fontId="14" fillId="0" borderId="0" xfId="1" applyNumberFormat="1" applyFont="1" applyFill="1"/>
    <xf numFmtId="165" fontId="13" fillId="0" borderId="0" xfId="1" applyNumberFormat="1" applyFont="1" applyFill="1"/>
    <xf numFmtId="49" fontId="30" fillId="0" borderId="0" xfId="42" applyNumberFormat="1" applyFont="1" applyAlignment="1">
      <alignment horizontal="center"/>
    </xf>
    <xf numFmtId="43" fontId="30" fillId="0" borderId="32" xfId="43" applyFont="1" applyBorder="1" applyAlignment="1">
      <alignment horizontal="center"/>
    </xf>
    <xf numFmtId="0" fontId="4" fillId="0" borderId="0" xfId="42" applyAlignment="1">
      <alignment horizontal="center"/>
    </xf>
    <xf numFmtId="49" fontId="30" fillId="0" borderId="0" xfId="42" applyNumberFormat="1" applyFont="1"/>
    <xf numFmtId="43" fontId="29" fillId="0" borderId="0" xfId="43" applyFont="1"/>
    <xf numFmtId="0" fontId="4" fillId="0" borderId="0" xfId="42"/>
    <xf numFmtId="43" fontId="29" fillId="0" borderId="33" xfId="43" applyFont="1" applyBorder="1"/>
    <xf numFmtId="43" fontId="29" fillId="0" borderId="0" xfId="43" applyFont="1" applyBorder="1"/>
    <xf numFmtId="43" fontId="29" fillId="0" borderId="34" xfId="43" applyFont="1" applyBorder="1"/>
    <xf numFmtId="43" fontId="29" fillId="0" borderId="35" xfId="43" applyFont="1" applyBorder="1"/>
    <xf numFmtId="43" fontId="30" fillId="0" borderId="36" xfId="43" applyFont="1" applyBorder="1"/>
    <xf numFmtId="0" fontId="30" fillId="0" borderId="0" xfId="42" applyFont="1"/>
    <xf numFmtId="0" fontId="30" fillId="0" borderId="0" xfId="42" applyNumberFormat="1" applyFont="1"/>
    <xf numFmtId="43" fontId="0" fillId="0" borderId="0" xfId="43" applyFont="1"/>
    <xf numFmtId="0" fontId="8" fillId="0" borderId="0" xfId="25" applyFont="1" applyFill="1" applyAlignment="1">
      <alignment horizontal="left"/>
    </xf>
    <xf numFmtId="0" fontId="9" fillId="0" borderId="0" xfId="25" applyFont="1" applyFill="1"/>
    <xf numFmtId="0" fontId="9" fillId="0" borderId="0" xfId="25" applyFont="1" applyFill="1" applyAlignment="1">
      <alignment horizontal="right"/>
    </xf>
    <xf numFmtId="43" fontId="12" fillId="0" borderId="0" xfId="1" applyNumberFormat="1" applyFont="1" applyFill="1" applyAlignment="1">
      <alignment horizontal="right"/>
    </xf>
    <xf numFmtId="0" fontId="9" fillId="0" borderId="0" xfId="25" applyFont="1" applyFill="1" applyBorder="1" applyAlignment="1">
      <alignment horizontal="right"/>
    </xf>
    <xf numFmtId="43" fontId="9" fillId="0" borderId="0" xfId="25" applyNumberFormat="1" applyFont="1" applyFill="1"/>
    <xf numFmtId="0" fontId="8" fillId="0" borderId="1" xfId="25" applyFont="1" applyFill="1" applyBorder="1" applyAlignment="1">
      <alignment horizontal="left"/>
    </xf>
    <xf numFmtId="0" fontId="9" fillId="0" borderId="1" xfId="25" applyFont="1" applyFill="1" applyBorder="1"/>
    <xf numFmtId="0" fontId="9" fillId="0" borderId="1" xfId="25" applyFont="1" applyFill="1" applyBorder="1" applyAlignment="1">
      <alignment horizontal="right"/>
    </xf>
    <xf numFmtId="43" fontId="9" fillId="0" borderId="0" xfId="25" applyNumberFormat="1" applyFont="1" applyFill="1" applyBorder="1"/>
    <xf numFmtId="0" fontId="53" fillId="0" borderId="0" xfId="25" applyFont="1" applyFill="1" applyBorder="1"/>
    <xf numFmtId="0" fontId="9" fillId="0" borderId="0" xfId="25" applyFont="1" applyFill="1" applyBorder="1"/>
    <xf numFmtId="0" fontId="11" fillId="0" borderId="0" xfId="25" applyFont="1" applyFill="1" applyBorder="1" applyAlignment="1">
      <alignment horizontal="left"/>
    </xf>
    <xf numFmtId="0" fontId="8" fillId="0" borderId="0" xfId="25" applyFont="1" applyFill="1" applyBorder="1" applyAlignment="1">
      <alignment horizontal="center"/>
    </xf>
    <xf numFmtId="0" fontId="8" fillId="0" borderId="0" xfId="25" quotePrefix="1" applyFont="1" applyFill="1" applyAlignment="1">
      <alignment horizontal="left"/>
    </xf>
    <xf numFmtId="0" fontId="8" fillId="0" borderId="0" xfId="25" applyFont="1" applyFill="1"/>
    <xf numFmtId="0" fontId="9" fillId="0" borderId="0" xfId="25" quotePrefix="1" applyFont="1" applyFill="1" applyAlignment="1">
      <alignment horizontal="left"/>
    </xf>
    <xf numFmtId="165" fontId="9" fillId="16" borderId="0" xfId="1" applyNumberFormat="1" applyFont="1" applyFill="1" applyBorder="1"/>
    <xf numFmtId="49" fontId="9" fillId="0" borderId="0" xfId="25" applyNumberFormat="1" applyFont="1" applyFill="1"/>
    <xf numFmtId="165" fontId="9" fillId="2" borderId="0" xfId="1" applyNumberFormat="1" applyFont="1" applyFill="1" applyBorder="1"/>
    <xf numFmtId="49" fontId="18" fillId="0" borderId="0" xfId="25" applyNumberFormat="1" applyFont="1" applyFill="1"/>
    <xf numFmtId="165" fontId="8" fillId="16" borderId="3" xfId="1" applyNumberFormat="1" applyFont="1" applyFill="1" applyBorder="1"/>
    <xf numFmtId="0" fontId="9" fillId="0" borderId="0" xfId="25" applyFont="1" applyFill="1" applyAlignment="1">
      <alignment horizontal="left"/>
    </xf>
    <xf numFmtId="165" fontId="9" fillId="16" borderId="0" xfId="1" applyNumberFormat="1" applyFont="1" applyFill="1"/>
    <xf numFmtId="165" fontId="9" fillId="0" borderId="3" xfId="1" applyNumberFormat="1" applyFont="1" applyFill="1" applyBorder="1"/>
    <xf numFmtId="165" fontId="9" fillId="2" borderId="3" xfId="1" applyNumberFormat="1" applyFont="1" applyFill="1" applyBorder="1"/>
    <xf numFmtId="0" fontId="12" fillId="0" borderId="0" xfId="25" applyFont="1" applyFill="1" applyAlignment="1">
      <alignment horizontal="left"/>
    </xf>
    <xf numFmtId="43" fontId="8" fillId="0" borderId="0" xfId="25" applyNumberFormat="1" applyFont="1" applyFill="1" applyBorder="1"/>
    <xf numFmtId="0" fontId="8" fillId="0" borderId="4" xfId="25" applyFont="1" applyFill="1" applyBorder="1" applyAlignment="1">
      <alignment horizontal="center"/>
    </xf>
    <xf numFmtId="0" fontId="9" fillId="0" borderId="0" xfId="25" applyFont="1" applyFill="1" applyBorder="1" applyAlignment="1">
      <alignment horizontal="center"/>
    </xf>
    <xf numFmtId="165" fontId="8" fillId="0" borderId="4" xfId="1" applyNumberFormat="1" applyFont="1" applyFill="1" applyBorder="1" applyAlignment="1">
      <alignment horizontal="center"/>
    </xf>
    <xf numFmtId="43" fontId="8" fillId="0" borderId="4" xfId="1" applyFont="1" applyFill="1" applyBorder="1" applyAlignment="1">
      <alignment horizontal="center"/>
    </xf>
    <xf numFmtId="0" fontId="8" fillId="0" borderId="4" xfId="25" applyFont="1" applyFill="1" applyBorder="1"/>
    <xf numFmtId="0" fontId="8" fillId="0" borderId="0" xfId="25" applyFont="1" applyFill="1" applyBorder="1"/>
    <xf numFmtId="0" fontId="8" fillId="0" borderId="1" xfId="25" applyFont="1" applyFill="1" applyBorder="1" applyAlignment="1">
      <alignment horizontal="center"/>
    </xf>
    <xf numFmtId="165" fontId="8" fillId="0" borderId="1" xfId="1" applyNumberFormat="1" applyFont="1" applyFill="1" applyBorder="1" applyAlignment="1">
      <alignment horizontal="center"/>
    </xf>
    <xf numFmtId="166" fontId="10" fillId="0" borderId="1" xfId="25" applyNumberFormat="1" applyFont="1" applyFill="1" applyBorder="1" applyAlignment="1">
      <alignment horizontal="center"/>
    </xf>
    <xf numFmtId="0" fontId="8" fillId="0" borderId="1" xfId="1" applyNumberFormat="1" applyFont="1" applyFill="1" applyBorder="1" applyAlignment="1">
      <alignment horizontal="center"/>
    </xf>
    <xf numFmtId="0" fontId="8" fillId="0" borderId="1" xfId="25" applyFont="1" applyFill="1" applyBorder="1"/>
    <xf numFmtId="0" fontId="11" fillId="0" borderId="0" xfId="25" applyFont="1" applyFill="1"/>
    <xf numFmtId="0" fontId="9" fillId="16" borderId="0" xfId="25" applyFont="1" applyFill="1"/>
    <xf numFmtId="165" fontId="8" fillId="16" borderId="2" xfId="1" applyNumberFormat="1" applyFont="1" applyFill="1" applyBorder="1"/>
    <xf numFmtId="165" fontId="35" fillId="16" borderId="2" xfId="1" applyNumberFormat="1" applyFont="1" applyFill="1" applyBorder="1"/>
    <xf numFmtId="0" fontId="8" fillId="0" borderId="0" xfId="25" applyFont="1" applyAlignment="1">
      <alignment horizontal="left"/>
    </xf>
    <xf numFmtId="0" fontId="8" fillId="0" borderId="0" xfId="25" applyFont="1"/>
    <xf numFmtId="0" fontId="8" fillId="0" borderId="4" xfId="25" applyFont="1" applyBorder="1" applyAlignment="1">
      <alignment horizontal="center"/>
    </xf>
    <xf numFmtId="165" fontId="8" fillId="0" borderId="4" xfId="1" applyNumberFormat="1" applyFont="1" applyBorder="1" applyAlignment="1">
      <alignment horizontal="center"/>
    </xf>
    <xf numFmtId="43" fontId="8" fillId="0" borderId="4" xfId="1" applyFont="1" applyBorder="1" applyAlignment="1">
      <alignment horizontal="center"/>
    </xf>
    <xf numFmtId="0" fontId="8" fillId="0" borderId="0" xfId="25" applyFont="1" applyBorder="1" applyAlignment="1">
      <alignment horizontal="center"/>
    </xf>
    <xf numFmtId="165" fontId="8" fillId="0" borderId="0" xfId="1" applyNumberFormat="1" applyFont="1" applyBorder="1" applyAlignment="1">
      <alignment horizontal="center"/>
    </xf>
    <xf numFmtId="43" fontId="8" fillId="0" borderId="0" xfId="1" applyFont="1" applyBorder="1" applyAlignment="1">
      <alignment horizontal="center"/>
    </xf>
    <xf numFmtId="0" fontId="8" fillId="0" borderId="1" xfId="25" applyFont="1" applyBorder="1" applyAlignment="1">
      <alignment horizontal="center"/>
    </xf>
    <xf numFmtId="165" fontId="8" fillId="0" borderId="1" xfId="1" applyNumberFormat="1" applyFont="1" applyBorder="1" applyAlignment="1">
      <alignment horizontal="center"/>
    </xf>
    <xf numFmtId="165" fontId="10" fillId="0" borderId="1" xfId="1" applyNumberFormat="1" applyFont="1" applyFill="1" applyBorder="1" applyAlignment="1">
      <alignment horizontal="center"/>
    </xf>
    <xf numFmtId="0" fontId="11" fillId="0" borderId="0" xfId="25" applyFont="1"/>
    <xf numFmtId="165" fontId="9" fillId="0" borderId="0" xfId="25" applyNumberFormat="1" applyFont="1" applyFill="1"/>
    <xf numFmtId="165" fontId="8" fillId="0" borderId="3" xfId="25" applyNumberFormat="1" applyFont="1" applyBorder="1"/>
    <xf numFmtId="165" fontId="46" fillId="0" borderId="0" xfId="1" applyNumberFormat="1" applyFont="1" applyFill="1"/>
    <xf numFmtId="165" fontId="46" fillId="0" borderId="0" xfId="1" applyNumberFormat="1" applyFont="1" applyFill="1" applyBorder="1"/>
    <xf numFmtId="165" fontId="11" fillId="0" borderId="4" xfId="1" applyNumberFormat="1" applyFont="1" applyFill="1" applyBorder="1" applyAlignment="1">
      <alignment horizontal="center"/>
    </xf>
    <xf numFmtId="0" fontId="3" fillId="0" borderId="0" xfId="42" applyFont="1"/>
    <xf numFmtId="4" fontId="4" fillId="0" borderId="0" xfId="42" applyNumberFormat="1"/>
    <xf numFmtId="39" fontId="9" fillId="0" borderId="0" xfId="0" applyNumberFormat="1" applyFont="1" applyFill="1" applyBorder="1"/>
    <xf numFmtId="49" fontId="30" fillId="0" borderId="0" xfId="0" applyNumberFormat="1" applyFont="1" applyFill="1" applyBorder="1"/>
    <xf numFmtId="43" fontId="4" fillId="0" borderId="0" xfId="1" applyFont="1"/>
    <xf numFmtId="43" fontId="4" fillId="0" borderId="0" xfId="1" applyFont="1" applyAlignment="1">
      <alignment horizontal="center"/>
    </xf>
    <xf numFmtId="43" fontId="3" fillId="0" borderId="0" xfId="1" applyFont="1"/>
    <xf numFmtId="43" fontId="30" fillId="0" borderId="0" xfId="1" applyFont="1"/>
    <xf numFmtId="43" fontId="30" fillId="0" borderId="32" xfId="1" applyFont="1" applyBorder="1" applyAlignment="1">
      <alignment horizontal="center"/>
    </xf>
    <xf numFmtId="43" fontId="29" fillId="0" borderId="0" xfId="1" applyFont="1"/>
    <xf numFmtId="43" fontId="29" fillId="0" borderId="33" xfId="1" applyFont="1" applyBorder="1"/>
    <xf numFmtId="43" fontId="29" fillId="0" borderId="0" xfId="1" applyFont="1" applyBorder="1"/>
    <xf numFmtId="43" fontId="29" fillId="0" borderId="34" xfId="1" applyFont="1" applyBorder="1"/>
    <xf numFmtId="43" fontId="29" fillId="0" borderId="35" xfId="1" applyFont="1" applyBorder="1"/>
    <xf numFmtId="43" fontId="30" fillId="0" borderId="36" xfId="1" applyFont="1" applyBorder="1"/>
    <xf numFmtId="43" fontId="4" fillId="0" borderId="0" xfId="42" applyNumberFormat="1"/>
    <xf numFmtId="165" fontId="4" fillId="0" borderId="0" xfId="1" applyNumberFormat="1" applyFont="1"/>
    <xf numFmtId="165" fontId="4" fillId="0" borderId="0" xfId="42" applyNumberFormat="1"/>
    <xf numFmtId="43" fontId="31" fillId="0" borderId="0" xfId="43" applyFont="1"/>
    <xf numFmtId="43" fontId="31" fillId="0" borderId="0" xfId="43" applyFont="1" applyBorder="1"/>
    <xf numFmtId="43" fontId="29" fillId="17" borderId="0" xfId="43" applyFont="1" applyFill="1" applyBorder="1"/>
    <xf numFmtId="43" fontId="31" fillId="0" borderId="33" xfId="43" applyFont="1" applyBorder="1"/>
    <xf numFmtId="43" fontId="9" fillId="18" borderId="0" xfId="0" applyNumberFormat="1" applyFont="1" applyFill="1"/>
    <xf numFmtId="43" fontId="29" fillId="19" borderId="33" xfId="43" applyFont="1" applyFill="1" applyBorder="1"/>
    <xf numFmtId="43" fontId="29" fillId="19" borderId="0" xfId="43" applyFont="1" applyFill="1"/>
    <xf numFmtId="43" fontId="29" fillId="19" borderId="0" xfId="43" applyFont="1" applyFill="1" applyBorder="1"/>
    <xf numFmtId="49" fontId="54" fillId="0" borderId="0" xfId="42" applyNumberFormat="1" applyFont="1"/>
    <xf numFmtId="165" fontId="11" fillId="0" borderId="0" xfId="1" applyNumberFormat="1" applyFont="1" applyFill="1" applyAlignment="1">
      <alignment horizontal="right"/>
    </xf>
    <xf numFmtId="0" fontId="11" fillId="0" borderId="1" xfId="0" applyFont="1" applyFill="1" applyBorder="1" applyAlignment="1"/>
    <xf numFmtId="43" fontId="8" fillId="0" borderId="0" xfId="1" applyFont="1" applyFill="1" applyAlignment="1">
      <alignment horizontal="right"/>
    </xf>
    <xf numFmtId="0" fontId="9" fillId="0" borderId="0" xfId="0" applyFont="1" applyFill="1" applyAlignment="1">
      <alignment horizontal="justify" vertical="top"/>
    </xf>
    <xf numFmtId="0" fontId="57" fillId="0" borderId="0" xfId="0" applyFont="1" applyFill="1"/>
    <xf numFmtId="43" fontId="56" fillId="0" borderId="0" xfId="1" applyFont="1" applyFill="1"/>
    <xf numFmtId="165" fontId="56" fillId="0" borderId="0" xfId="1" applyNumberFormat="1" applyFont="1" applyFill="1"/>
    <xf numFmtId="169" fontId="56" fillId="0" borderId="0" xfId="1" applyNumberFormat="1" applyFont="1" applyFill="1" applyAlignment="1">
      <alignment vertical="top"/>
    </xf>
    <xf numFmtId="165" fontId="55" fillId="0" borderId="0" xfId="1" applyNumberFormat="1" applyFont="1" applyFill="1"/>
    <xf numFmtId="169" fontId="55" fillId="0" borderId="0" xfId="1" applyNumberFormat="1" applyFont="1" applyFill="1" applyBorder="1" applyAlignment="1">
      <alignment horizontal="left" vertical="top"/>
    </xf>
    <xf numFmtId="0" fontId="58" fillId="0" borderId="0" xfId="0" applyFont="1" applyFill="1" applyBorder="1"/>
    <xf numFmtId="165" fontId="58" fillId="0" borderId="0" xfId="1" applyNumberFormat="1" applyFont="1" applyFill="1" applyAlignment="1">
      <alignment horizontal="right"/>
    </xf>
    <xf numFmtId="0" fontId="59" fillId="0" borderId="0" xfId="0" applyFont="1" applyFill="1" applyBorder="1"/>
    <xf numFmtId="0" fontId="59" fillId="0" borderId="0" xfId="0" applyFont="1" applyFill="1"/>
    <xf numFmtId="43" fontId="59" fillId="0" borderId="0" xfId="1" applyFont="1" applyFill="1" applyBorder="1"/>
    <xf numFmtId="165" fontId="61" fillId="0" borderId="0" xfId="1" applyNumberFormat="1" applyFont="1" applyFill="1" applyBorder="1" applyAlignment="1">
      <alignment horizontal="right"/>
    </xf>
    <xf numFmtId="0" fontId="58" fillId="0" borderId="4" xfId="0" applyFont="1" applyFill="1" applyBorder="1"/>
    <xf numFmtId="43" fontId="59" fillId="0" borderId="4" xfId="1" applyFont="1" applyFill="1" applyBorder="1"/>
    <xf numFmtId="0" fontId="59" fillId="0" borderId="4" xfId="0" applyFont="1" applyFill="1" applyBorder="1"/>
    <xf numFmtId="165" fontId="59" fillId="0" borderId="4" xfId="1" applyNumberFormat="1" applyFont="1" applyFill="1" applyBorder="1"/>
    <xf numFmtId="0" fontId="58" fillId="0" borderId="0" xfId="0" applyFont="1" applyBorder="1" applyAlignment="1"/>
    <xf numFmtId="0" fontId="58" fillId="0" borderId="0" xfId="0" quotePrefix="1" applyFont="1" applyFill="1" applyBorder="1" applyAlignment="1">
      <alignment horizontal="center"/>
    </xf>
    <xf numFmtId="0" fontId="58" fillId="0" borderId="0" xfId="0" applyFont="1" applyFill="1" applyBorder="1" applyAlignment="1">
      <alignment horizontal="center"/>
    </xf>
    <xf numFmtId="0" fontId="58" fillId="0" borderId="1" xfId="0" applyFont="1" applyBorder="1" applyAlignment="1"/>
    <xf numFmtId="43" fontId="58" fillId="0" borderId="1" xfId="1" applyFont="1" applyFill="1" applyBorder="1" applyAlignment="1">
      <alignment horizontal="center"/>
    </xf>
    <xf numFmtId="0" fontId="59" fillId="0" borderId="1" xfId="0" applyFont="1" applyFill="1" applyBorder="1"/>
    <xf numFmtId="165" fontId="59" fillId="0" borderId="1" xfId="1" applyNumberFormat="1" applyFont="1" applyFill="1" applyBorder="1"/>
    <xf numFmtId="0" fontId="61" fillId="0" borderId="0" xfId="0" quotePrefix="1" applyFont="1" applyFill="1" applyBorder="1" applyAlignment="1"/>
    <xf numFmtId="0" fontId="58" fillId="0" borderId="0" xfId="0" applyFont="1" applyFill="1" applyAlignment="1">
      <alignment horizontal="center"/>
    </xf>
    <xf numFmtId="43" fontId="62" fillId="0" borderId="0" xfId="1" quotePrefix="1" applyFont="1" applyFill="1" applyBorder="1" applyAlignment="1">
      <alignment horizontal="center"/>
    </xf>
    <xf numFmtId="165" fontId="59" fillId="0" borderId="0" xfId="0" applyNumberFormat="1" applyFont="1" applyFill="1" applyBorder="1"/>
    <xf numFmtId="165" fontId="59" fillId="0" borderId="0" xfId="1" applyNumberFormat="1" applyFont="1" applyFill="1" applyBorder="1"/>
    <xf numFmtId="43" fontId="59" fillId="0" borderId="0" xfId="0" applyNumberFormat="1" applyFont="1" applyFill="1" applyBorder="1"/>
    <xf numFmtId="0" fontId="58" fillId="0" borderId="0" xfId="0" applyFont="1" applyFill="1"/>
    <xf numFmtId="165" fontId="59" fillId="0" borderId="4" xfId="0" applyNumberFormat="1" applyFont="1" applyFill="1" applyBorder="1"/>
    <xf numFmtId="165" fontId="58" fillId="0" borderId="0" xfId="0" applyNumberFormat="1" applyFont="1" applyFill="1" applyBorder="1"/>
    <xf numFmtId="165" fontId="58" fillId="0" borderId="0" xfId="1" applyNumberFormat="1" applyFont="1" applyFill="1" applyBorder="1"/>
    <xf numFmtId="43" fontId="58" fillId="0" borderId="0" xfId="0" applyNumberFormat="1" applyFont="1" applyFill="1" applyBorder="1"/>
    <xf numFmtId="165" fontId="59" fillId="0" borderId="0" xfId="0" applyNumberFormat="1" applyFont="1" applyFill="1"/>
    <xf numFmtId="43" fontId="59" fillId="0" borderId="0" xfId="1" applyFont="1" applyFill="1"/>
    <xf numFmtId="39" fontId="58" fillId="0" borderId="0" xfId="0" applyNumberFormat="1" applyFont="1" applyFill="1"/>
    <xf numFmtId="39" fontId="59" fillId="0" borderId="0" xfId="1" applyNumberFormat="1" applyFont="1" applyFill="1"/>
    <xf numFmtId="165" fontId="58" fillId="0" borderId="5" xfId="1" applyNumberFormat="1" applyFont="1" applyFill="1" applyBorder="1"/>
    <xf numFmtId="39" fontId="58" fillId="0" borderId="0" xfId="1" applyNumberFormat="1" applyFont="1" applyFill="1" applyBorder="1"/>
    <xf numFmtId="43" fontId="59" fillId="0" borderId="4" xfId="0" applyNumberFormat="1" applyFont="1" applyFill="1" applyBorder="1" applyProtection="1"/>
    <xf numFmtId="43" fontId="60" fillId="0" borderId="4" xfId="0" applyNumberFormat="1" applyFont="1" applyFill="1" applyBorder="1" applyAlignment="1" applyProtection="1">
      <alignment horizontal="center"/>
    </xf>
    <xf numFmtId="43" fontId="58" fillId="0" borderId="4" xfId="0" applyNumberFormat="1" applyFont="1" applyFill="1" applyBorder="1" applyAlignment="1" applyProtection="1">
      <alignment horizontal="center"/>
    </xf>
    <xf numFmtId="43" fontId="58" fillId="0" borderId="4" xfId="0" applyNumberFormat="1" applyFont="1" applyFill="1" applyBorder="1" applyAlignment="1">
      <alignment horizontal="center"/>
    </xf>
    <xf numFmtId="43" fontId="58" fillId="0" borderId="0" xfId="0" applyNumberFormat="1" applyFont="1" applyFill="1" applyBorder="1" applyAlignment="1" applyProtection="1">
      <alignment horizontal="center"/>
    </xf>
    <xf numFmtId="165" fontId="58" fillId="0" borderId="0" xfId="0" applyNumberFormat="1" applyFont="1" applyFill="1" applyBorder="1" applyAlignment="1" applyProtection="1">
      <alignment horizontal="center"/>
    </xf>
    <xf numFmtId="43" fontId="59" fillId="0" borderId="0" xfId="1" applyNumberFormat="1" applyFont="1" applyFill="1"/>
    <xf numFmtId="43" fontId="59" fillId="0" borderId="0" xfId="0" applyNumberFormat="1" applyFont="1" applyFill="1"/>
    <xf numFmtId="0" fontId="60" fillId="0" borderId="0" xfId="0" applyFont="1" applyFill="1"/>
    <xf numFmtId="170" fontId="0" fillId="0" borderId="0" xfId="0" applyNumberFormat="1" applyBorder="1"/>
    <xf numFmtId="169" fontId="55" fillId="0" borderId="0" xfId="1" applyNumberFormat="1" applyFont="1" applyFill="1" applyBorder="1" applyAlignment="1">
      <alignment horizontal="left" vertical="top"/>
    </xf>
    <xf numFmtId="165" fontId="56" fillId="0" borderId="0" xfId="1" applyNumberFormat="1" applyFont="1" applyFill="1" applyAlignment="1">
      <alignment horizontal="left" vertical="center" wrapText="1"/>
    </xf>
    <xf numFmtId="165" fontId="56" fillId="20" borderId="0" xfId="1" applyNumberFormat="1" applyFont="1" applyFill="1" applyAlignment="1">
      <alignment wrapText="1"/>
    </xf>
    <xf numFmtId="165" fontId="56" fillId="20" borderId="0" xfId="1" applyNumberFormat="1" applyFont="1" applyFill="1" applyAlignment="1">
      <alignment horizontal="left" wrapText="1"/>
    </xf>
    <xf numFmtId="0" fontId="56" fillId="0" borderId="0" xfId="0" applyFont="1" applyFill="1" applyAlignment="1">
      <alignment horizontal="left" vertical="top" wrapText="1"/>
    </xf>
    <xf numFmtId="169" fontId="55" fillId="0" borderId="0" xfId="1" applyNumberFormat="1" applyFont="1" applyFill="1" applyBorder="1" applyAlignment="1">
      <alignment horizontal="center" vertical="top"/>
    </xf>
    <xf numFmtId="49" fontId="30" fillId="0" borderId="0" xfId="44" applyNumberFormat="1" applyFont="1" applyAlignment="1">
      <alignment horizontal="center"/>
    </xf>
    <xf numFmtId="49" fontId="30" fillId="0" borderId="32" xfId="44" applyNumberFormat="1" applyFont="1" applyBorder="1" applyAlignment="1">
      <alignment horizontal="center"/>
    </xf>
    <xf numFmtId="0" fontId="2" fillId="0" borderId="0" xfId="44" applyAlignment="1">
      <alignment horizontal="center"/>
    </xf>
    <xf numFmtId="49" fontId="30" fillId="0" borderId="0" xfId="44" applyNumberFormat="1" applyFont="1"/>
    <xf numFmtId="168" fontId="29" fillId="0" borderId="0" xfId="44" applyNumberFormat="1" applyFont="1"/>
    <xf numFmtId="0" fontId="2" fillId="0" borderId="0" xfId="44"/>
    <xf numFmtId="168" fontId="29" fillId="0" borderId="33" xfId="44" applyNumberFormat="1" applyFont="1" applyBorder="1"/>
    <xf numFmtId="168" fontId="29" fillId="0" borderId="0" xfId="44" applyNumberFormat="1" applyFont="1" applyBorder="1"/>
    <xf numFmtId="168" fontId="29" fillId="0" borderId="34" xfId="44" applyNumberFormat="1" applyFont="1" applyBorder="1"/>
    <xf numFmtId="168" fontId="29" fillId="0" borderId="35" xfId="44" applyNumberFormat="1" applyFont="1" applyBorder="1"/>
    <xf numFmtId="168" fontId="30" fillId="0" borderId="36" xfId="44" applyNumberFormat="1" applyFont="1" applyBorder="1"/>
    <xf numFmtId="0" fontId="30" fillId="0" borderId="0" xfId="44" applyFont="1"/>
    <xf numFmtId="0" fontId="30" fillId="0" borderId="0" xfId="44" applyNumberFormat="1" applyFont="1"/>
    <xf numFmtId="0" fontId="2" fillId="0" borderId="0" xfId="44" applyNumberFormat="1"/>
    <xf numFmtId="0" fontId="8" fillId="0" borderId="0" xfId="0" applyFont="1" applyBorder="1" applyAlignment="1"/>
    <xf numFmtId="168" fontId="2" fillId="0" borderId="0" xfId="44" applyNumberFormat="1"/>
    <xf numFmtId="43" fontId="2" fillId="0" borderId="0" xfId="1" applyFont="1"/>
    <xf numFmtId="168" fontId="29" fillId="2" borderId="33" xfId="44" applyNumberFormat="1" applyFont="1" applyFill="1" applyBorder="1"/>
    <xf numFmtId="168" fontId="29" fillId="2" borderId="0" xfId="44" applyNumberFormat="1" applyFont="1" applyFill="1"/>
    <xf numFmtId="0" fontId="30" fillId="0" borderId="3" xfId="44" applyFont="1" applyBorder="1"/>
    <xf numFmtId="168" fontId="29" fillId="0" borderId="0" xfId="44" applyNumberFormat="1" applyFont="1" applyFill="1"/>
    <xf numFmtId="168" fontId="29" fillId="0" borderId="0" xfId="44" applyNumberFormat="1" applyFont="1" applyFill="1" applyBorder="1"/>
    <xf numFmtId="168" fontId="29" fillId="0" borderId="35" xfId="44" applyNumberFormat="1" applyFont="1" applyFill="1" applyBorder="1"/>
    <xf numFmtId="0" fontId="8" fillId="0" borderId="0" xfId="1" quotePrefix="1" applyNumberFormat="1" applyFont="1" applyFill="1" applyBorder="1" applyAlignment="1">
      <alignment horizontal="center"/>
    </xf>
    <xf numFmtId="168" fontId="29" fillId="21" borderId="0" xfId="44" applyNumberFormat="1" applyFont="1" applyFill="1"/>
    <xf numFmtId="168" fontId="29" fillId="0" borderId="33" xfId="44" applyNumberFormat="1" applyFont="1" applyFill="1" applyBorder="1"/>
    <xf numFmtId="168" fontId="29" fillId="21" borderId="33" xfId="44" applyNumberFormat="1" applyFont="1" applyFill="1" applyBorder="1"/>
    <xf numFmtId="49" fontId="30" fillId="21" borderId="0" xfId="44" applyNumberFormat="1" applyFont="1" applyFill="1"/>
    <xf numFmtId="0" fontId="2" fillId="21" borderId="0" xfId="44" applyFill="1"/>
    <xf numFmtId="168" fontId="2" fillId="21" borderId="0" xfId="44" applyNumberFormat="1" applyFill="1"/>
    <xf numFmtId="43" fontId="2" fillId="0" borderId="0" xfId="44" applyNumberFormat="1"/>
    <xf numFmtId="0" fontId="8" fillId="0" borderId="0" xfId="0" applyFont="1" applyAlignment="1"/>
    <xf numFmtId="43" fontId="8" fillId="0" borderId="3" xfId="1" applyFont="1" applyFill="1" applyBorder="1" applyAlignment="1"/>
    <xf numFmtId="43" fontId="30" fillId="0" borderId="3" xfId="1" applyFont="1" applyBorder="1"/>
    <xf numFmtId="49" fontId="30" fillId="0" borderId="0" xfId="44" applyNumberFormat="1" applyFont="1" applyFill="1" applyAlignment="1">
      <alignment horizontal="center"/>
    </xf>
    <xf numFmtId="49" fontId="30" fillId="0" borderId="32" xfId="44" applyNumberFormat="1" applyFont="1" applyFill="1" applyBorder="1" applyAlignment="1">
      <alignment horizontal="center"/>
    </xf>
    <xf numFmtId="0" fontId="2" fillId="0" borderId="0" xfId="44" applyFill="1" applyAlignment="1">
      <alignment horizontal="center"/>
    </xf>
    <xf numFmtId="49" fontId="30" fillId="0" borderId="0" xfId="44" applyNumberFormat="1" applyFont="1" applyFill="1"/>
    <xf numFmtId="0" fontId="2" fillId="0" borderId="0" xfId="44" applyFill="1"/>
    <xf numFmtId="168" fontId="29" fillId="0" borderId="34" xfId="44" applyNumberFormat="1" applyFont="1" applyFill="1" applyBorder="1"/>
    <xf numFmtId="39" fontId="2" fillId="0" borderId="0" xfId="44" applyNumberFormat="1" applyFill="1"/>
    <xf numFmtId="168" fontId="30" fillId="0" borderId="36" xfId="44" applyNumberFormat="1" applyFont="1" applyFill="1" applyBorder="1"/>
    <xf numFmtId="0" fontId="30" fillId="0" borderId="0" xfId="44" applyFont="1" applyFill="1"/>
    <xf numFmtId="0" fontId="30" fillId="0" borderId="0" xfId="44" applyNumberFormat="1" applyFont="1" applyFill="1"/>
    <xf numFmtId="0" fontId="2" fillId="0" borderId="0" xfId="44" applyNumberFormat="1" applyFill="1"/>
    <xf numFmtId="0" fontId="9" fillId="0" borderId="0" xfId="0" applyFont="1" applyFill="1" applyAlignment="1">
      <alignment horizontal="justify" vertical="justify" wrapText="1"/>
    </xf>
    <xf numFmtId="0" fontId="9" fillId="0" borderId="0" xfId="26" applyFont="1" applyFill="1" applyAlignment="1">
      <alignment horizontal="justify" vertical="top" wrapText="1"/>
    </xf>
    <xf numFmtId="43" fontId="12" fillId="0" borderId="0" xfId="1" applyNumberFormat="1" applyFont="1" applyFill="1" applyAlignment="1">
      <alignment horizontal="center"/>
    </xf>
    <xf numFmtId="43" fontId="10" fillId="0" borderId="4" xfId="1" applyFont="1" applyFill="1" applyBorder="1" applyAlignment="1"/>
    <xf numFmtId="43" fontId="45" fillId="0" borderId="8" xfId="1" applyFont="1" applyBorder="1" applyAlignment="1">
      <alignment horizontal="center"/>
    </xf>
    <xf numFmtId="0" fontId="27" fillId="0" borderId="0" xfId="0" applyFont="1" applyFill="1" applyBorder="1" applyAlignment="1">
      <alignment horizontal="center"/>
    </xf>
    <xf numFmtId="0" fontId="27" fillId="0" borderId="9" xfId="0" applyFont="1" applyFill="1" applyBorder="1" applyAlignment="1">
      <alignment horizontal="center"/>
    </xf>
    <xf numFmtId="0" fontId="27" fillId="0" borderId="6" xfId="0" applyFont="1" applyFill="1" applyBorder="1" applyAlignment="1">
      <alignment horizontal="center"/>
    </xf>
    <xf numFmtId="0" fontId="51" fillId="15" borderId="16" xfId="25" applyFont="1" applyFill="1" applyBorder="1" applyAlignment="1">
      <alignment horizontal="center" vertical="center" wrapText="1"/>
    </xf>
    <xf numFmtId="0" fontId="51" fillId="15" borderId="8" xfId="25" applyFont="1" applyFill="1" applyBorder="1" applyAlignment="1">
      <alignment horizontal="center" vertical="center" wrapText="1"/>
    </xf>
    <xf numFmtId="0" fontId="51" fillId="14" borderId="18" xfId="25" applyFont="1" applyFill="1" applyBorder="1" applyAlignment="1">
      <alignment horizontal="center" vertical="center"/>
    </xf>
    <xf numFmtId="0" fontId="51" fillId="14" borderId="20" xfId="25" applyFont="1" applyFill="1" applyBorder="1" applyAlignment="1">
      <alignment horizontal="center" vertical="center"/>
    </xf>
    <xf numFmtId="0" fontId="51" fillId="15" borderId="15" xfId="25" applyFont="1" applyFill="1" applyBorder="1" applyAlignment="1">
      <alignment horizontal="center" vertical="center"/>
    </xf>
    <xf numFmtId="0" fontId="51" fillId="15" borderId="19" xfId="25" applyFont="1" applyFill="1" applyBorder="1" applyAlignment="1">
      <alignment horizontal="center" vertical="center"/>
    </xf>
    <xf numFmtId="0" fontId="51" fillId="15" borderId="16" xfId="25" applyFont="1" applyFill="1" applyBorder="1" applyAlignment="1">
      <alignment horizontal="center" vertical="center"/>
    </xf>
    <xf numFmtId="0" fontId="51" fillId="15" borderId="8" xfId="25" applyFont="1" applyFill="1" applyBorder="1" applyAlignment="1">
      <alignment horizontal="center" vertical="center"/>
    </xf>
    <xf numFmtId="0" fontId="9" fillId="0" borderId="0" xfId="1" applyNumberFormat="1" applyFont="1" applyFill="1" applyBorder="1" applyAlignment="1">
      <alignment horizontal="left"/>
    </xf>
    <xf numFmtId="0" fontId="9" fillId="0" borderId="0" xfId="5" applyFont="1" applyFill="1" applyBorder="1"/>
    <xf numFmtId="43" fontId="8" fillId="0" borderId="0" xfId="1" applyFont="1" applyFill="1" applyBorder="1" applyAlignment="1">
      <alignment horizontal="right"/>
    </xf>
    <xf numFmtId="165" fontId="9" fillId="0" borderId="0" xfId="5" applyNumberFormat="1" applyFont="1"/>
    <xf numFmtId="0" fontId="9" fillId="0" borderId="0" xfId="5" applyFont="1"/>
    <xf numFmtId="0" fontId="8" fillId="0" borderId="1" xfId="5" applyFont="1" applyFill="1" applyBorder="1" applyAlignment="1" applyProtection="1">
      <alignment horizontal="left"/>
    </xf>
    <xf numFmtId="0" fontId="8" fillId="0" borderId="1" xfId="5" applyNumberFormat="1" applyFont="1" applyFill="1" applyBorder="1" applyAlignment="1">
      <alignment horizontal="center"/>
    </xf>
    <xf numFmtId="0" fontId="8" fillId="0" borderId="1" xfId="5" applyFont="1" applyFill="1" applyBorder="1" applyAlignment="1"/>
    <xf numFmtId="0" fontId="9" fillId="0" borderId="1" xfId="5" applyFont="1" applyFill="1" applyBorder="1"/>
    <xf numFmtId="43" fontId="11" fillId="0" borderId="1" xfId="1" applyFont="1" applyFill="1" applyBorder="1" applyAlignment="1">
      <alignment horizontal="right"/>
    </xf>
    <xf numFmtId="0" fontId="8" fillId="0" borderId="0" xfId="5" applyFont="1" applyFill="1" applyBorder="1" applyAlignment="1" applyProtection="1">
      <alignment horizontal="left"/>
    </xf>
    <xf numFmtId="0" fontId="8" fillId="0" borderId="0" xfId="5" applyNumberFormat="1" applyFont="1" applyFill="1" applyAlignment="1">
      <alignment horizontal="center"/>
    </xf>
    <xf numFmtId="0" fontId="8" fillId="0" borderId="0" xfId="5" applyFont="1" applyFill="1" applyAlignment="1"/>
    <xf numFmtId="165" fontId="8" fillId="0" borderId="0" xfId="5" applyNumberFormat="1" applyFont="1" applyFill="1" applyAlignment="1"/>
    <xf numFmtId="0" fontId="8" fillId="0" borderId="0" xfId="5" applyFont="1" applyFill="1" applyBorder="1" applyAlignment="1"/>
    <xf numFmtId="0" fontId="8" fillId="0" borderId="0" xfId="5" applyNumberFormat="1" applyFont="1" applyFill="1" applyBorder="1" applyAlignment="1">
      <alignment horizontal="left"/>
    </xf>
    <xf numFmtId="0" fontId="9" fillId="0" borderId="1" xfId="5" applyFont="1" applyFill="1" applyBorder="1" applyAlignment="1">
      <alignment horizontal="left"/>
    </xf>
    <xf numFmtId="0" fontId="11" fillId="0" borderId="1" xfId="5" applyFont="1" applyFill="1" applyBorder="1" applyAlignment="1"/>
    <xf numFmtId="0" fontId="9" fillId="0" borderId="0" xfId="5" applyFont="1" applyFill="1" applyBorder="1" applyAlignment="1">
      <alignment horizontal="left"/>
    </xf>
    <xf numFmtId="0" fontId="11" fillId="0" borderId="0" xfId="5" applyFont="1" applyFill="1" applyBorder="1" applyAlignment="1"/>
    <xf numFmtId="37" fontId="8" fillId="0" borderId="0" xfId="1" applyNumberFormat="1" applyFont="1" applyFill="1" applyBorder="1" applyAlignment="1">
      <alignment horizontal="left"/>
    </xf>
    <xf numFmtId="0" fontId="8" fillId="0" borderId="0" xfId="6" applyNumberFormat="1" applyFont="1" applyFill="1"/>
    <xf numFmtId="165" fontId="9" fillId="0" borderId="0" xfId="7" applyNumberFormat="1" applyFont="1" applyFill="1" applyBorder="1"/>
    <xf numFmtId="0" fontId="9" fillId="0" borderId="0" xfId="6" applyNumberFormat="1" applyFont="1" applyFill="1" applyBorder="1"/>
    <xf numFmtId="165" fontId="9" fillId="0" borderId="0" xfId="6" applyNumberFormat="1" applyFont="1" applyFill="1" applyBorder="1"/>
    <xf numFmtId="165" fontId="9" fillId="0" borderId="0" xfId="5" applyNumberFormat="1" applyFont="1" applyFill="1" applyBorder="1"/>
    <xf numFmtId="43" fontId="9" fillId="0" borderId="0" xfId="5" applyNumberFormat="1" applyFont="1"/>
    <xf numFmtId="0" fontId="8" fillId="0" borderId="0" xfId="1" applyNumberFormat="1" applyFont="1" applyFill="1" applyBorder="1" applyAlignment="1">
      <alignment horizontal="left"/>
    </xf>
    <xf numFmtId="0" fontId="8" fillId="0" borderId="2" xfId="6" applyNumberFormat="1" applyFont="1" applyFill="1" applyBorder="1" applyAlignment="1">
      <alignment horizontal="left" vertical="top"/>
    </xf>
    <xf numFmtId="0" fontId="8" fillId="0" borderId="2" xfId="6" applyNumberFormat="1" applyFont="1" applyFill="1" applyBorder="1" applyAlignment="1">
      <alignment horizontal="left" vertical="top"/>
    </xf>
    <xf numFmtId="165" fontId="8" fillId="0" borderId="2" xfId="7" applyNumberFormat="1" applyFont="1" applyFill="1" applyBorder="1" applyAlignment="1">
      <alignment horizontal="center" vertical="top" wrapText="1"/>
    </xf>
    <xf numFmtId="165" fontId="8" fillId="0" borderId="2" xfId="7" applyNumberFormat="1" applyFont="1" applyFill="1" applyBorder="1" applyAlignment="1">
      <alignment horizontal="center" vertical="top"/>
    </xf>
    <xf numFmtId="0" fontId="8" fillId="0" borderId="0" xfId="1" quotePrefix="1" applyNumberFormat="1" applyFont="1" applyFill="1" applyBorder="1" applyAlignment="1">
      <alignment horizontal="left"/>
    </xf>
    <xf numFmtId="0" fontId="8" fillId="0" borderId="0" xfId="7" applyNumberFormat="1" applyFont="1" applyFill="1" applyBorder="1" applyAlignment="1"/>
    <xf numFmtId="165" fontId="8" fillId="0" borderId="0" xfId="7" applyNumberFormat="1" applyFont="1" applyFill="1" applyBorder="1" applyAlignment="1"/>
    <xf numFmtId="165" fontId="8" fillId="0" borderId="2" xfId="7" applyNumberFormat="1" applyFont="1" applyFill="1" applyBorder="1"/>
    <xf numFmtId="165" fontId="8" fillId="0" borderId="2" xfId="5" applyNumberFormat="1" applyFont="1" applyFill="1" applyBorder="1"/>
    <xf numFmtId="165" fontId="13" fillId="0" borderId="0" xfId="5" applyNumberFormat="1" applyFont="1"/>
    <xf numFmtId="0" fontId="9" fillId="0" borderId="0" xfId="7" applyNumberFormat="1" applyFont="1" applyFill="1" applyBorder="1" applyAlignment="1"/>
    <xf numFmtId="0" fontId="9" fillId="0" borderId="0" xfId="5" applyFont="1" applyBorder="1"/>
    <xf numFmtId="165" fontId="8" fillId="0" borderId="0" xfId="7" applyNumberFormat="1" applyFont="1" applyFill="1" applyBorder="1"/>
    <xf numFmtId="43" fontId="9" fillId="0" borderId="0" xfId="5" applyNumberFormat="1" applyFont="1" applyBorder="1"/>
    <xf numFmtId="165" fontId="13" fillId="0" borderId="0" xfId="5" applyNumberFormat="1" applyFont="1" applyBorder="1"/>
    <xf numFmtId="165" fontId="9" fillId="0" borderId="0" xfId="5" applyNumberFormat="1" applyFont="1" applyBorder="1"/>
    <xf numFmtId="165" fontId="9" fillId="22" borderId="0" xfId="7" applyNumberFormat="1" applyFont="1" applyFill="1" applyBorder="1"/>
    <xf numFmtId="165" fontId="63" fillId="0" borderId="2" xfId="1" applyNumberFormat="1" applyFont="1" applyFill="1" applyBorder="1"/>
    <xf numFmtId="0" fontId="8" fillId="0" borderId="2" xfId="7" applyNumberFormat="1" applyFont="1" applyFill="1" applyBorder="1" applyAlignment="1">
      <alignment horizontal="left" vertical="top"/>
    </xf>
    <xf numFmtId="165" fontId="8" fillId="0" borderId="2" xfId="7" applyNumberFormat="1" applyFont="1" applyFill="1" applyBorder="1" applyAlignment="1">
      <alignment horizontal="left" vertical="top"/>
    </xf>
    <xf numFmtId="0" fontId="8" fillId="0" borderId="0" xfId="7" applyNumberFormat="1" applyFont="1" applyFill="1" applyBorder="1"/>
    <xf numFmtId="165" fontId="8" fillId="0" borderId="0" xfId="7" applyNumberFormat="1" applyFont="1" applyFill="1" applyBorder="1" applyAlignment="1">
      <alignment horizontal="center"/>
    </xf>
    <xf numFmtId="0" fontId="8" fillId="0" borderId="0" xfId="6" applyNumberFormat="1" applyFont="1" applyFill="1" applyAlignment="1">
      <alignment horizontal="center"/>
    </xf>
    <xf numFmtId="0" fontId="9" fillId="0" borderId="0" xfId="5" applyFont="1" applyFill="1"/>
    <xf numFmtId="165" fontId="8" fillId="0" borderId="0" xfId="5" applyNumberFormat="1" applyFont="1"/>
    <xf numFmtId="43" fontId="8" fillId="0" borderId="2" xfId="7" applyNumberFormat="1" applyFont="1" applyFill="1" applyBorder="1"/>
    <xf numFmtId="165" fontId="9" fillId="0" borderId="0" xfId="7" applyNumberFormat="1" applyFont="1" applyFill="1" applyBorder="1" applyAlignment="1"/>
    <xf numFmtId="43" fontId="8" fillId="0" borderId="0" xfId="7" applyNumberFormat="1" applyFont="1" applyFill="1" applyBorder="1"/>
    <xf numFmtId="43" fontId="8" fillId="0" borderId="1" xfId="7" applyNumberFormat="1" applyFont="1" applyFill="1" applyBorder="1"/>
    <xf numFmtId="165" fontId="9" fillId="0" borderId="0" xfId="5" applyNumberFormat="1" applyFont="1" applyFill="1"/>
    <xf numFmtId="43" fontId="9" fillId="0" borderId="2" xfId="1" applyFont="1" applyFill="1" applyBorder="1"/>
    <xf numFmtId="0" fontId="9" fillId="0" borderId="0" xfId="5" quotePrefix="1" applyFont="1"/>
    <xf numFmtId="165" fontId="64" fillId="0" borderId="0" xfId="1" applyNumberFormat="1" applyFont="1" applyFill="1" applyBorder="1"/>
    <xf numFmtId="43" fontId="46" fillId="0" borderId="0" xfId="5" applyNumberFormat="1" applyFont="1"/>
    <xf numFmtId="165" fontId="63" fillId="0" borderId="0" xfId="1" applyNumberFormat="1" applyFont="1" applyFill="1" applyBorder="1"/>
    <xf numFmtId="43" fontId="9" fillId="0" borderId="0" xfId="5" applyNumberFormat="1" applyFont="1" applyFill="1"/>
    <xf numFmtId="43" fontId="46" fillId="0" borderId="0" xfId="5" applyNumberFormat="1" applyFont="1" applyFill="1"/>
    <xf numFmtId="165" fontId="13" fillId="0" borderId="0" xfId="5" applyNumberFormat="1" applyFont="1" applyFill="1"/>
    <xf numFmtId="165" fontId="11" fillId="0" borderId="0" xfId="7" applyNumberFormat="1" applyFont="1" applyFill="1" applyBorder="1"/>
    <xf numFmtId="165" fontId="65" fillId="0" borderId="0" xfId="7" applyNumberFormat="1" applyFont="1" applyFill="1" applyBorder="1"/>
    <xf numFmtId="0" fontId="8" fillId="0" borderId="4" xfId="7" applyNumberFormat="1" applyFont="1" applyFill="1" applyBorder="1" applyAlignment="1">
      <alignment horizontal="left" vertical="top"/>
    </xf>
    <xf numFmtId="165" fontId="8" fillId="0" borderId="4" xfId="7" applyNumberFormat="1" applyFont="1" applyFill="1" applyBorder="1" applyAlignment="1">
      <alignment horizontal="left" vertical="center"/>
    </xf>
    <xf numFmtId="0" fontId="9" fillId="0" borderId="4" xfId="5" applyFont="1" applyFill="1" applyBorder="1" applyAlignment="1"/>
    <xf numFmtId="165" fontId="9" fillId="0" borderId="4" xfId="5" applyNumberFormat="1" applyFont="1" applyFill="1" applyBorder="1" applyAlignment="1"/>
    <xf numFmtId="0" fontId="9" fillId="0" borderId="4" xfId="5" applyFont="1" applyFill="1" applyBorder="1"/>
    <xf numFmtId="165" fontId="9" fillId="0" borderId="4" xfId="5" applyNumberFormat="1" applyFont="1" applyFill="1" applyBorder="1"/>
    <xf numFmtId="0" fontId="8" fillId="0" borderId="4" xfId="5" applyFont="1" applyFill="1" applyBorder="1" applyAlignment="1">
      <alignment horizontal="center"/>
    </xf>
    <xf numFmtId="43" fontId="8" fillId="0" borderId="0" xfId="5" applyNumberFormat="1" applyFont="1" applyBorder="1" applyAlignment="1">
      <alignment horizontal="center"/>
    </xf>
    <xf numFmtId="0" fontId="8" fillId="0" borderId="1" xfId="7" applyNumberFormat="1" applyFont="1" applyFill="1" applyBorder="1" applyAlignment="1">
      <alignment horizontal="left" vertical="top"/>
    </xf>
    <xf numFmtId="165" fontId="8" fillId="0" borderId="1" xfId="7" applyNumberFormat="1" applyFont="1" applyFill="1" applyBorder="1" applyAlignment="1">
      <alignment horizontal="left" vertical="center"/>
    </xf>
    <xf numFmtId="0" fontId="9" fillId="0" borderId="1" xfId="5" applyFont="1" applyFill="1" applyBorder="1" applyAlignment="1"/>
    <xf numFmtId="165" fontId="8" fillId="0" borderId="1" xfId="5" applyNumberFormat="1" applyFont="1" applyFill="1" applyBorder="1" applyAlignment="1"/>
    <xf numFmtId="165" fontId="9" fillId="0" borderId="1" xfId="5" applyNumberFormat="1" applyFont="1" applyFill="1" applyBorder="1"/>
    <xf numFmtId="0" fontId="9" fillId="0" borderId="0" xfId="1" applyNumberFormat="1" applyFont="1" applyFill="1" applyAlignment="1">
      <alignment horizontal="left"/>
    </xf>
    <xf numFmtId="0" fontId="9" fillId="0" borderId="0" xfId="25" applyFont="1" applyFill="1" applyBorder="1" applyAlignment="1">
      <alignment horizontal="left" vertical="center"/>
    </xf>
    <xf numFmtId="0" fontId="8" fillId="0" borderId="0" xfId="5" applyFont="1" applyFill="1"/>
    <xf numFmtId="0" fontId="9" fillId="0" borderId="0" xfId="1" applyNumberFormat="1" applyFont="1" applyFill="1"/>
    <xf numFmtId="0" fontId="9" fillId="0" borderId="0" xfId="5" applyFont="1" applyFill="1" applyAlignment="1">
      <alignment horizontal="left"/>
    </xf>
    <xf numFmtId="165" fontId="8" fillId="0" borderId="0" xfId="8" quotePrefix="1" applyNumberFormat="1" applyFont="1" applyFill="1" applyBorder="1" applyAlignment="1">
      <alignment horizontal="center"/>
    </xf>
    <xf numFmtId="43" fontId="9" fillId="0" borderId="0" xfId="1" applyFont="1"/>
    <xf numFmtId="165" fontId="8" fillId="0" borderId="3" xfId="8" quotePrefix="1" applyNumberFormat="1" applyFont="1" applyFill="1" applyBorder="1" applyAlignment="1">
      <alignment horizontal="center"/>
    </xf>
    <xf numFmtId="0" fontId="8" fillId="0" borderId="0" xfId="5" applyFont="1" applyFill="1" applyAlignment="1" applyProtection="1">
      <alignment horizontal="left"/>
    </xf>
    <xf numFmtId="165" fontId="8" fillId="0" borderId="0" xfId="5" applyNumberFormat="1" applyFont="1" applyFill="1" applyBorder="1"/>
    <xf numFmtId="0" fontId="8" fillId="0" borderId="0" xfId="5" applyFont="1" applyFill="1" applyAlignment="1">
      <alignment horizontal="left"/>
    </xf>
    <xf numFmtId="49" fontId="30" fillId="0" borderId="0" xfId="45" applyNumberFormat="1" applyFont="1" applyAlignment="1">
      <alignment horizontal="center"/>
    </xf>
    <xf numFmtId="49" fontId="30" fillId="0" borderId="32" xfId="45" applyNumberFormat="1" applyFont="1" applyBorder="1" applyAlignment="1">
      <alignment horizontal="center"/>
    </xf>
    <xf numFmtId="0" fontId="1" fillId="0" borderId="0" xfId="45" applyAlignment="1">
      <alignment horizontal="center"/>
    </xf>
    <xf numFmtId="49" fontId="30" fillId="0" borderId="0" xfId="45" applyNumberFormat="1" applyFont="1"/>
    <xf numFmtId="168" fontId="29" fillId="0" borderId="0" xfId="45" applyNumberFormat="1" applyFont="1"/>
    <xf numFmtId="0" fontId="1" fillId="0" borderId="0" xfId="45"/>
    <xf numFmtId="168" fontId="29" fillId="0" borderId="33" xfId="45" applyNumberFormat="1" applyFont="1" applyBorder="1"/>
    <xf numFmtId="168" fontId="29" fillId="0" borderId="0" xfId="45" applyNumberFormat="1" applyFont="1" applyBorder="1"/>
    <xf numFmtId="168" fontId="29" fillId="0" borderId="34" xfId="45" applyNumberFormat="1" applyFont="1" applyBorder="1"/>
    <xf numFmtId="168" fontId="29" fillId="0" borderId="35" xfId="45" applyNumberFormat="1" applyFont="1" applyBorder="1"/>
    <xf numFmtId="168" fontId="30" fillId="0" borderId="36" xfId="45" applyNumberFormat="1" applyFont="1" applyBorder="1"/>
    <xf numFmtId="0" fontId="30" fillId="0" borderId="0" xfId="45" applyFont="1"/>
    <xf numFmtId="0" fontId="30" fillId="0" borderId="0" xfId="45" applyNumberFormat="1" applyFont="1"/>
    <xf numFmtId="0" fontId="1" fillId="0" borderId="0" xfId="45" applyNumberFormat="1"/>
    <xf numFmtId="49" fontId="30" fillId="0" borderId="0" xfId="45" applyNumberFormat="1" applyFont="1" applyBorder="1" applyAlignment="1">
      <alignment horizontal="centerContinuous"/>
    </xf>
    <xf numFmtId="49" fontId="1" fillId="0" borderId="0" xfId="45" applyNumberFormat="1" applyBorder="1" applyAlignment="1">
      <alignment horizontal="centerContinuous"/>
    </xf>
    <xf numFmtId="49" fontId="30" fillId="0" borderId="37" xfId="45" applyNumberFormat="1" applyFont="1" applyBorder="1" applyAlignment="1">
      <alignment horizontal="center"/>
    </xf>
    <xf numFmtId="168" fontId="1" fillId="0" borderId="0" xfId="45" applyNumberFormat="1"/>
    <xf numFmtId="168" fontId="29" fillId="2" borderId="0" xfId="45" applyNumberFormat="1" applyFont="1" applyFill="1"/>
    <xf numFmtId="168" fontId="29" fillId="2" borderId="33" xfId="45" applyNumberFormat="1" applyFont="1" applyFill="1" applyBorder="1"/>
    <xf numFmtId="0" fontId="1" fillId="0" borderId="3" xfId="45" applyBorder="1"/>
    <xf numFmtId="43" fontId="1" fillId="0" borderId="3" xfId="1" applyFont="1" applyBorder="1"/>
    <xf numFmtId="49" fontId="30" fillId="23" borderId="0" xfId="45" applyNumberFormat="1" applyFont="1" applyFill="1"/>
    <xf numFmtId="49" fontId="30" fillId="21" borderId="0" xfId="45" applyNumberFormat="1" applyFont="1" applyFill="1"/>
    <xf numFmtId="49" fontId="30" fillId="16" borderId="0" xfId="45" applyNumberFormat="1" applyFont="1" applyFill="1"/>
    <xf numFmtId="0" fontId="2" fillId="0" borderId="3" xfId="44" applyBorder="1"/>
    <xf numFmtId="0" fontId="1" fillId="0" borderId="0" xfId="44" applyFont="1"/>
    <xf numFmtId="168" fontId="29" fillId="21" borderId="0" xfId="45" applyNumberFormat="1" applyFont="1" applyFill="1"/>
    <xf numFmtId="168" fontId="1" fillId="0" borderId="3" xfId="45" applyNumberFormat="1" applyBorder="1"/>
    <xf numFmtId="49" fontId="30" fillId="17" borderId="0" xfId="45" applyNumberFormat="1" applyFont="1" applyFill="1"/>
    <xf numFmtId="168" fontId="29" fillId="17" borderId="0" xfId="45" applyNumberFormat="1" applyFont="1" applyFill="1"/>
    <xf numFmtId="168" fontId="30" fillId="0" borderId="3" xfId="45" applyNumberFormat="1" applyFont="1" applyBorder="1"/>
  </cellXfs>
  <cellStyles count="46">
    <cellStyle name="Comma" xfId="1" builtinId="3"/>
    <cellStyle name="Comma 10" xfId="8" xr:uid="{00000000-0005-0000-0000-000001000000}"/>
    <cellStyle name="Comma 2" xfId="7" xr:uid="{00000000-0005-0000-0000-000002000000}"/>
    <cellStyle name="Comma 2 2" xfId="9" xr:uid="{00000000-0005-0000-0000-000003000000}"/>
    <cellStyle name="Comma 2 2 2" xfId="10" xr:uid="{00000000-0005-0000-0000-000004000000}"/>
    <cellStyle name="Comma 2 2 2 2" xfId="11" xr:uid="{00000000-0005-0000-0000-000005000000}"/>
    <cellStyle name="Comma 2 2 3" xfId="12" xr:uid="{00000000-0005-0000-0000-000006000000}"/>
    <cellStyle name="Comma 2 2 3 2" xfId="13" xr:uid="{00000000-0005-0000-0000-000007000000}"/>
    <cellStyle name="Comma 2 3" xfId="14" xr:uid="{00000000-0005-0000-0000-000008000000}"/>
    <cellStyle name="Comma 2 3 2" xfId="15" xr:uid="{00000000-0005-0000-0000-000009000000}"/>
    <cellStyle name="Comma 3" xfId="16" xr:uid="{00000000-0005-0000-0000-00000A000000}"/>
    <cellStyle name="Comma 3 2" xfId="17" xr:uid="{00000000-0005-0000-0000-00000B000000}"/>
    <cellStyle name="Comma 4" xfId="18" xr:uid="{00000000-0005-0000-0000-00000C000000}"/>
    <cellStyle name="Comma 5" xfId="19" xr:uid="{00000000-0005-0000-0000-00000D000000}"/>
    <cellStyle name="Comma 6" xfId="20" xr:uid="{00000000-0005-0000-0000-00000E000000}"/>
    <cellStyle name="Comma 6 2" xfId="21" xr:uid="{00000000-0005-0000-0000-00000F000000}"/>
    <cellStyle name="Comma 7" xfId="22" xr:uid="{00000000-0005-0000-0000-000010000000}"/>
    <cellStyle name="Comma 8" xfId="43" xr:uid="{00000000-0005-0000-0000-000011000000}"/>
    <cellStyle name="Normal" xfId="0" builtinId="0"/>
    <cellStyle name="Normal 10" xfId="44" xr:uid="{57DCDBC5-EA0C-4BFE-8347-726372B00F18}"/>
    <cellStyle name="Normal 11" xfId="45" xr:uid="{9826005E-FC73-42B7-8310-E7C32DE8616B}"/>
    <cellStyle name="Normal 17" xfId="23" xr:uid="{00000000-0005-0000-0000-000013000000}"/>
    <cellStyle name="Normal 18" xfId="24" xr:uid="{00000000-0005-0000-0000-000014000000}"/>
    <cellStyle name="Normal 2" xfId="4" xr:uid="{00000000-0005-0000-0000-000015000000}"/>
    <cellStyle name="Normal 2 10" xfId="25" xr:uid="{00000000-0005-0000-0000-000016000000}"/>
    <cellStyle name="Normal 2 11" xfId="26" xr:uid="{00000000-0005-0000-0000-000017000000}"/>
    <cellStyle name="Normal 2 2" xfId="2" xr:uid="{00000000-0005-0000-0000-000018000000}"/>
    <cellStyle name="Normal 2 2 2" xfId="27" xr:uid="{00000000-0005-0000-0000-000019000000}"/>
    <cellStyle name="Normal 2 3" xfId="6" xr:uid="{00000000-0005-0000-0000-00001A000000}"/>
    <cellStyle name="Normal 22" xfId="28" xr:uid="{00000000-0005-0000-0000-00001B000000}"/>
    <cellStyle name="Normal 3" xfId="5" xr:uid="{00000000-0005-0000-0000-00001C000000}"/>
    <cellStyle name="Normal 3 2" xfId="29" xr:uid="{00000000-0005-0000-0000-00001D000000}"/>
    <cellStyle name="Normal 3 2 2" xfId="41" xr:uid="{00000000-0005-0000-0000-00001E000000}"/>
    <cellStyle name="Normal 3 3" xfId="30" xr:uid="{00000000-0005-0000-0000-00001F000000}"/>
    <cellStyle name="Normal 4" xfId="31" xr:uid="{00000000-0005-0000-0000-000020000000}"/>
    <cellStyle name="Normal 5" xfId="3" xr:uid="{00000000-0005-0000-0000-000021000000}"/>
    <cellStyle name="Normal 6" xfId="32" xr:uid="{00000000-0005-0000-0000-000022000000}"/>
    <cellStyle name="Normal 6 2" xfId="33" xr:uid="{00000000-0005-0000-0000-000023000000}"/>
    <cellStyle name="Normal 7" xfId="34" xr:uid="{00000000-0005-0000-0000-000024000000}"/>
    <cellStyle name="Normal 7 2" xfId="35" xr:uid="{00000000-0005-0000-0000-000025000000}"/>
    <cellStyle name="Normal 8" xfId="36" xr:uid="{00000000-0005-0000-0000-000026000000}"/>
    <cellStyle name="Normal 8 2" xfId="37" xr:uid="{00000000-0005-0000-0000-000027000000}"/>
    <cellStyle name="Normal 9" xfId="42" xr:uid="{00000000-0005-0000-0000-000028000000}"/>
    <cellStyle name="Percent 2" xfId="38" xr:uid="{00000000-0005-0000-0000-00002B000000}"/>
    <cellStyle name="Percent 3" xfId="39" xr:uid="{00000000-0005-0000-0000-00002C000000}"/>
    <cellStyle name="Style 1" xfId="40" xr:uid="{00000000-0005-0000-0000-00002D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5.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4.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2.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1.xml"/><Relationship Id="rId27" Type="http://schemas.openxmlformats.org/officeDocument/2006/relationships/externalLink" Target="externalLinks/externalLink6.xml"/><Relationship Id="rId30" Type="http://schemas.openxmlformats.org/officeDocument/2006/relationships/sharedStrings" Target="sharedString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10.xml.rels><?xml version="1.0" encoding="UTF-8" standalone="yes"?>
<Relationships xmlns="http://schemas.openxmlformats.org/package/2006/relationships"><Relationship Id="rId1" Type="http://schemas.microsoft.com/office/2006/relationships/activeXControlBinary" Target="activeX10.bin"/></Relationships>
</file>

<file path=xl/activeX/_rels/activeX11.xml.rels><?xml version="1.0" encoding="UTF-8" standalone="yes"?>
<Relationships xmlns="http://schemas.openxmlformats.org/package/2006/relationships"><Relationship Id="rId1" Type="http://schemas.microsoft.com/office/2006/relationships/activeXControlBinary" Target="activeX11.bin"/></Relationships>
</file>

<file path=xl/activeX/_rels/activeX12.xml.rels><?xml version="1.0" encoding="UTF-8" standalone="yes"?>
<Relationships xmlns="http://schemas.openxmlformats.org/package/2006/relationships"><Relationship Id="rId1" Type="http://schemas.microsoft.com/office/2006/relationships/activeXControlBinary" Target="activeX12.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_rels/activeX3.xml.rels><?xml version="1.0" encoding="UTF-8" standalone="yes"?>
<Relationships xmlns="http://schemas.openxmlformats.org/package/2006/relationships"><Relationship Id="rId1" Type="http://schemas.microsoft.com/office/2006/relationships/activeXControlBinary" Target="activeX3.bin"/></Relationships>
</file>

<file path=xl/activeX/_rels/activeX4.xml.rels><?xml version="1.0" encoding="UTF-8" standalone="yes"?>
<Relationships xmlns="http://schemas.openxmlformats.org/package/2006/relationships"><Relationship Id="rId1" Type="http://schemas.microsoft.com/office/2006/relationships/activeXControlBinary" Target="activeX4.bin"/></Relationships>
</file>

<file path=xl/activeX/_rels/activeX5.xml.rels><?xml version="1.0" encoding="UTF-8" standalone="yes"?>
<Relationships xmlns="http://schemas.openxmlformats.org/package/2006/relationships"><Relationship Id="rId1" Type="http://schemas.microsoft.com/office/2006/relationships/activeXControlBinary" Target="activeX5.bin"/></Relationships>
</file>

<file path=xl/activeX/_rels/activeX6.xml.rels><?xml version="1.0" encoding="UTF-8" standalone="yes"?>
<Relationships xmlns="http://schemas.openxmlformats.org/package/2006/relationships"><Relationship Id="rId1" Type="http://schemas.microsoft.com/office/2006/relationships/activeXControlBinary" Target="activeX6.bin"/></Relationships>
</file>

<file path=xl/activeX/_rels/activeX7.xml.rels><?xml version="1.0" encoding="UTF-8" standalone="yes"?>
<Relationships xmlns="http://schemas.openxmlformats.org/package/2006/relationships"><Relationship Id="rId1" Type="http://schemas.microsoft.com/office/2006/relationships/activeXControlBinary" Target="activeX7.bin"/></Relationships>
</file>

<file path=xl/activeX/_rels/activeX8.xml.rels><?xml version="1.0" encoding="UTF-8" standalone="yes"?>
<Relationships xmlns="http://schemas.openxmlformats.org/package/2006/relationships"><Relationship Id="rId1" Type="http://schemas.microsoft.com/office/2006/relationships/activeXControlBinary" Target="activeX8.bin"/></Relationships>
</file>

<file path=xl/activeX/_rels/activeX9.xml.rels><?xml version="1.0" encoding="UTF-8" standalone="yes"?>
<Relationships xmlns="http://schemas.openxmlformats.org/package/2006/relationships"><Relationship Id="rId1" Type="http://schemas.microsoft.com/office/2006/relationships/activeXControlBinary" Target="activeX9.bin"/></Relationships>
</file>

<file path=xl/activeX/activeX1.xml><?xml version="1.0" encoding="utf-8"?>
<ax:ocx xmlns:ax="http://schemas.microsoft.com/office/2006/activeX" xmlns:r="http://schemas.openxmlformats.org/officeDocument/2006/relationships" ax:classid="{8BD21D10-EC42-11CE-9E0D-00AA006002F3}" ax:persistence="persistStreamInit" r:id="rId1"/>
</file>

<file path=xl/activeX/activeX10.xml><?xml version="1.0" encoding="utf-8"?>
<ax:ocx xmlns:ax="http://schemas.microsoft.com/office/2006/activeX" xmlns:r="http://schemas.openxmlformats.org/officeDocument/2006/relationships" ax:classid="{8BD21D10-EC42-11CE-9E0D-00AA006002F3}" ax:persistence="persistStreamInit" r:id="rId1"/>
</file>

<file path=xl/activeX/activeX11.xml><?xml version="1.0" encoding="utf-8"?>
<ax:ocx xmlns:ax="http://schemas.microsoft.com/office/2006/activeX" xmlns:r="http://schemas.openxmlformats.org/officeDocument/2006/relationships" ax:classid="{8BD21D10-EC42-11CE-9E0D-00AA006002F3}" ax:persistence="persistStreamInit" r:id="rId1"/>
</file>

<file path=xl/activeX/activeX12.xml><?xml version="1.0" encoding="utf-8"?>
<ax:ocx xmlns:ax="http://schemas.microsoft.com/office/2006/activeX" xmlns:r="http://schemas.openxmlformats.org/officeDocument/2006/relationships" ax:classid="{8BD21D10-EC42-11CE-9E0D-00AA006002F3}" ax:persistence="persistStreamInit" r:id="rId1"/>
</file>

<file path=xl/activeX/activeX2.xml><?xml version="1.0" encoding="utf-8"?>
<ax:ocx xmlns:ax="http://schemas.microsoft.com/office/2006/activeX" xmlns:r="http://schemas.openxmlformats.org/officeDocument/2006/relationships" ax:classid="{8BD21D10-EC42-11CE-9E0D-00AA006002F3}" ax:persistence="persistStreamInit" r:id="rId1"/>
</file>

<file path=xl/activeX/activeX3.xml><?xml version="1.0" encoding="utf-8"?>
<ax:ocx xmlns:ax="http://schemas.microsoft.com/office/2006/activeX" xmlns:r="http://schemas.openxmlformats.org/officeDocument/2006/relationships" ax:classid="{8BD21D10-EC42-11CE-9E0D-00AA006002F3}" ax:persistence="persistStreamInit" r:id="rId1"/>
</file>

<file path=xl/activeX/activeX4.xml><?xml version="1.0" encoding="utf-8"?>
<ax:ocx xmlns:ax="http://schemas.microsoft.com/office/2006/activeX" xmlns:r="http://schemas.openxmlformats.org/officeDocument/2006/relationships" ax:classid="{8BD21D10-EC42-11CE-9E0D-00AA006002F3}" ax:persistence="persistStreamInit" r:id="rId1"/>
</file>

<file path=xl/activeX/activeX5.xml><?xml version="1.0" encoding="utf-8"?>
<ax:ocx xmlns:ax="http://schemas.microsoft.com/office/2006/activeX" xmlns:r="http://schemas.openxmlformats.org/officeDocument/2006/relationships" ax:classid="{8BD21D10-EC42-11CE-9E0D-00AA006002F3}" ax:persistence="persistStreamInit" r:id="rId1"/>
</file>

<file path=xl/activeX/activeX6.xml><?xml version="1.0" encoding="utf-8"?>
<ax:ocx xmlns:ax="http://schemas.microsoft.com/office/2006/activeX" xmlns:r="http://schemas.openxmlformats.org/officeDocument/2006/relationships" ax:classid="{8BD21D10-EC42-11CE-9E0D-00AA006002F3}" ax:persistence="persistStreamInit" r:id="rId1"/>
</file>

<file path=xl/activeX/activeX7.xml><?xml version="1.0" encoding="utf-8"?>
<ax:ocx xmlns:ax="http://schemas.microsoft.com/office/2006/activeX" xmlns:r="http://schemas.openxmlformats.org/officeDocument/2006/relationships" ax:classid="{8BD21D10-EC42-11CE-9E0D-00AA006002F3}" ax:persistence="persistStreamInit" r:id="rId1"/>
</file>

<file path=xl/activeX/activeX8.xml><?xml version="1.0" encoding="utf-8"?>
<ax:ocx xmlns:ax="http://schemas.microsoft.com/office/2006/activeX" xmlns:r="http://schemas.openxmlformats.org/officeDocument/2006/relationships" ax:classid="{8BD21D10-EC42-11CE-9E0D-00AA006002F3}" ax:persistence="persistStreamInit" r:id="rId1"/>
</file>

<file path=xl/activeX/activeX9.xml><?xml version="1.0" encoding="utf-8"?>
<ax:ocx xmlns:ax="http://schemas.microsoft.com/office/2006/activeX" xmlns:r="http://schemas.openxmlformats.org/officeDocument/2006/relationships" ax:classid="{8BD21D10-EC42-11CE-9E0D-00AA006002F3}" ax:persistence="persistStreamInit" r:id="rId1"/>
</file>

<file path=xl/drawings/_rels/vmlDrawing1.vml.rels><?xml version="1.0" encoding="UTF-8" standalone="yes"?>
<Relationships xmlns="http://schemas.openxmlformats.org/package/2006/relationships"><Relationship Id="rId2" Type="http://schemas.openxmlformats.org/officeDocument/2006/relationships/image" Target="../media/image1.emf"/><Relationship Id="rId1" Type="http://schemas.openxmlformats.org/officeDocument/2006/relationships/image" Target="../media/image2.emf"/></Relationships>
</file>

<file path=xl/drawings/_rels/vmlDrawing2.vml.rels><?xml version="1.0" encoding="UTF-8" standalone="yes"?>
<Relationships xmlns="http://schemas.openxmlformats.org/package/2006/relationships"><Relationship Id="rId2" Type="http://schemas.openxmlformats.org/officeDocument/2006/relationships/image" Target="../media/image4.emf"/><Relationship Id="rId1" Type="http://schemas.openxmlformats.org/officeDocument/2006/relationships/image" Target="../media/image3.emf"/></Relationships>
</file>

<file path=xl/drawings/_rels/vmlDrawing3.vml.rels><?xml version="1.0" encoding="UTF-8" standalone="yes"?>
<Relationships xmlns="http://schemas.openxmlformats.org/package/2006/relationships"><Relationship Id="rId2" Type="http://schemas.openxmlformats.org/officeDocument/2006/relationships/image" Target="../media/image6.emf"/><Relationship Id="rId1" Type="http://schemas.openxmlformats.org/officeDocument/2006/relationships/image" Target="../media/image5.emf"/></Relationships>
</file>

<file path=xl/drawings/_rels/vmlDrawing4.vml.rels><?xml version="1.0" encoding="UTF-8" standalone="yes"?>
<Relationships xmlns="http://schemas.openxmlformats.org/package/2006/relationships"><Relationship Id="rId2" Type="http://schemas.openxmlformats.org/officeDocument/2006/relationships/image" Target="../media/image7.emf"/><Relationship Id="rId1" Type="http://schemas.openxmlformats.org/officeDocument/2006/relationships/image" Target="../media/image8.emf"/></Relationships>
</file>

<file path=xl/drawings/_rels/vmlDrawing5.vml.rels><?xml version="1.0" encoding="UTF-8" standalone="yes"?>
<Relationships xmlns="http://schemas.openxmlformats.org/package/2006/relationships"><Relationship Id="rId2" Type="http://schemas.openxmlformats.org/officeDocument/2006/relationships/image" Target="../media/image10.emf"/><Relationship Id="rId1" Type="http://schemas.openxmlformats.org/officeDocument/2006/relationships/image" Target="../media/image9.emf"/></Relationships>
</file>

<file path=xl/drawings/_rels/vmlDrawing6.vml.rels><?xml version="1.0" encoding="UTF-8" standalone="yes"?>
<Relationships xmlns="http://schemas.openxmlformats.org/package/2006/relationships"><Relationship Id="rId2" Type="http://schemas.openxmlformats.org/officeDocument/2006/relationships/image" Target="../media/image12.emf"/><Relationship Id="rId1" Type="http://schemas.openxmlformats.org/officeDocument/2006/relationships/image" Target="../media/image11.emf"/></Relationships>
</file>

<file path=xl/drawings/drawing1.xml><?xml version="1.0" encoding="utf-8"?>
<xdr:wsDr xmlns:xdr="http://schemas.openxmlformats.org/drawingml/2006/spreadsheetDrawing" xmlns:a="http://schemas.openxmlformats.org/drawingml/2006/main">
  <xdr:twoCellAnchor editAs="oneCell">
    <xdr:from>
      <xdr:col>7</xdr:col>
      <xdr:colOff>0</xdr:colOff>
      <xdr:row>6</xdr:row>
      <xdr:rowOff>0</xdr:rowOff>
    </xdr:from>
    <xdr:to>
      <xdr:col>7</xdr:col>
      <xdr:colOff>94012</xdr:colOff>
      <xdr:row>6</xdr:row>
      <xdr:rowOff>12710</xdr:rowOff>
    </xdr:to>
    <xdr:sp macro="" textlink="">
      <xdr:nvSpPr>
        <xdr:cNvPr id="2" name="Text Box 52">
          <a:extLst>
            <a:ext uri="{FF2B5EF4-FFF2-40B4-BE49-F238E27FC236}">
              <a16:creationId xmlns:a16="http://schemas.microsoft.com/office/drawing/2014/main" id="{96E136A8-962D-4632-9D22-FC63B9276BB8}"/>
            </a:ext>
          </a:extLst>
        </xdr:cNvPr>
        <xdr:cNvSpPr txBox="1">
          <a:spLocks noChangeArrowheads="1"/>
        </xdr:cNvSpPr>
      </xdr:nvSpPr>
      <xdr:spPr bwMode="auto">
        <a:xfrm>
          <a:off x="4476750" y="1000125"/>
          <a:ext cx="94012" cy="12710"/>
        </a:xfrm>
        <a:prstGeom prst="rect">
          <a:avLst/>
        </a:prstGeom>
        <a:noFill/>
        <a:ln w="9525">
          <a:noFill/>
          <a:miter lim="800000"/>
          <a:headEnd/>
          <a:tailEnd/>
        </a:ln>
      </xdr:spPr>
    </xdr:sp>
    <xdr:clientData/>
  </xdr:twoCellAnchor>
  <xdr:twoCellAnchor editAs="oneCell">
    <xdr:from>
      <xdr:col>7</xdr:col>
      <xdr:colOff>0</xdr:colOff>
      <xdr:row>6</xdr:row>
      <xdr:rowOff>0</xdr:rowOff>
    </xdr:from>
    <xdr:to>
      <xdr:col>7</xdr:col>
      <xdr:colOff>94012</xdr:colOff>
      <xdr:row>6</xdr:row>
      <xdr:rowOff>12710</xdr:rowOff>
    </xdr:to>
    <xdr:sp macro="" textlink="">
      <xdr:nvSpPr>
        <xdr:cNvPr id="3" name="Text Box 52">
          <a:extLst>
            <a:ext uri="{FF2B5EF4-FFF2-40B4-BE49-F238E27FC236}">
              <a16:creationId xmlns:a16="http://schemas.microsoft.com/office/drawing/2014/main" id="{0AED9EA3-25E8-42FC-88B9-BA43C951F260}"/>
            </a:ext>
          </a:extLst>
        </xdr:cNvPr>
        <xdr:cNvSpPr txBox="1">
          <a:spLocks noChangeArrowheads="1"/>
        </xdr:cNvSpPr>
      </xdr:nvSpPr>
      <xdr:spPr bwMode="auto">
        <a:xfrm>
          <a:off x="4476750" y="1000125"/>
          <a:ext cx="94012" cy="12710"/>
        </a:xfrm>
        <a:prstGeom prst="rect">
          <a:avLst/>
        </a:prstGeom>
        <a:noFill/>
        <a:ln w="9525">
          <a:noFill/>
          <a:miter lim="800000"/>
          <a:headEnd/>
          <a:tailEnd/>
        </a:ln>
      </xdr:spPr>
    </xdr:sp>
    <xdr:clientData/>
  </xdr:twoCellAnchor>
  <xdr:twoCellAnchor editAs="oneCell">
    <xdr:from>
      <xdr:col>6</xdr:col>
      <xdr:colOff>514350</xdr:colOff>
      <xdr:row>8</xdr:row>
      <xdr:rowOff>0</xdr:rowOff>
    </xdr:from>
    <xdr:to>
      <xdr:col>11</xdr:col>
      <xdr:colOff>388186</xdr:colOff>
      <xdr:row>8</xdr:row>
      <xdr:rowOff>26289</xdr:rowOff>
    </xdr:to>
    <xdr:sp macro="" textlink="">
      <xdr:nvSpPr>
        <xdr:cNvPr id="4" name="Text Box 52">
          <a:extLst>
            <a:ext uri="{FF2B5EF4-FFF2-40B4-BE49-F238E27FC236}">
              <a16:creationId xmlns:a16="http://schemas.microsoft.com/office/drawing/2014/main" id="{9092D3F5-CCFC-422F-868B-CE5DA35F3AB9}"/>
            </a:ext>
          </a:extLst>
        </xdr:cNvPr>
        <xdr:cNvSpPr txBox="1">
          <a:spLocks noChangeArrowheads="1"/>
        </xdr:cNvSpPr>
      </xdr:nvSpPr>
      <xdr:spPr bwMode="auto">
        <a:xfrm>
          <a:off x="4267200" y="1323975"/>
          <a:ext cx="3750511" cy="26289"/>
        </a:xfrm>
        <a:prstGeom prst="rect">
          <a:avLst/>
        </a:prstGeom>
        <a:noFill/>
        <a:ln w="9525">
          <a:noFill/>
          <a:miter lim="800000"/>
          <a:headEnd/>
          <a:tailEnd/>
        </a:ln>
      </xdr:spPr>
    </xdr:sp>
    <xdr:clientData/>
  </xdr:twoCellAnchor>
  <xdr:twoCellAnchor editAs="oneCell">
    <xdr:from>
      <xdr:col>6</xdr:col>
      <xdr:colOff>514350</xdr:colOff>
      <xdr:row>19</xdr:row>
      <xdr:rowOff>0</xdr:rowOff>
    </xdr:from>
    <xdr:to>
      <xdr:col>11</xdr:col>
      <xdr:colOff>388186</xdr:colOff>
      <xdr:row>19</xdr:row>
      <xdr:rowOff>25527</xdr:rowOff>
    </xdr:to>
    <xdr:sp macro="" textlink="">
      <xdr:nvSpPr>
        <xdr:cNvPr id="5" name="Text Box 52">
          <a:extLst>
            <a:ext uri="{FF2B5EF4-FFF2-40B4-BE49-F238E27FC236}">
              <a16:creationId xmlns:a16="http://schemas.microsoft.com/office/drawing/2014/main" id="{EDF5AB5B-EA6E-4F92-95BE-924BD7AAF343}"/>
            </a:ext>
          </a:extLst>
        </xdr:cNvPr>
        <xdr:cNvSpPr txBox="1">
          <a:spLocks noChangeArrowheads="1"/>
        </xdr:cNvSpPr>
      </xdr:nvSpPr>
      <xdr:spPr bwMode="auto">
        <a:xfrm>
          <a:off x="4267200" y="3105150"/>
          <a:ext cx="3750511" cy="25527"/>
        </a:xfrm>
        <a:prstGeom prst="rect">
          <a:avLst/>
        </a:prstGeom>
        <a:noFill/>
        <a:ln w="9525">
          <a:noFill/>
          <a:miter lim="800000"/>
          <a:headEnd/>
          <a:tailEnd/>
        </a:ln>
      </xdr:spPr>
    </xdr:sp>
    <xdr:clientData/>
  </xdr:twoCellAnchor>
  <xdr:twoCellAnchor editAs="oneCell">
    <xdr:from>
      <xdr:col>6</xdr:col>
      <xdr:colOff>514350</xdr:colOff>
      <xdr:row>19</xdr:row>
      <xdr:rowOff>0</xdr:rowOff>
    </xdr:from>
    <xdr:to>
      <xdr:col>11</xdr:col>
      <xdr:colOff>388186</xdr:colOff>
      <xdr:row>19</xdr:row>
      <xdr:rowOff>25527</xdr:rowOff>
    </xdr:to>
    <xdr:sp macro="" textlink="">
      <xdr:nvSpPr>
        <xdr:cNvPr id="6" name="Text Box 52">
          <a:extLst>
            <a:ext uri="{FF2B5EF4-FFF2-40B4-BE49-F238E27FC236}">
              <a16:creationId xmlns:a16="http://schemas.microsoft.com/office/drawing/2014/main" id="{EA007DFA-8A5F-4DC8-B758-0AEF8F91BFAA}"/>
            </a:ext>
          </a:extLst>
        </xdr:cNvPr>
        <xdr:cNvSpPr txBox="1">
          <a:spLocks noChangeArrowheads="1"/>
        </xdr:cNvSpPr>
      </xdr:nvSpPr>
      <xdr:spPr bwMode="auto">
        <a:xfrm>
          <a:off x="4267200" y="3105150"/>
          <a:ext cx="3750511" cy="25527"/>
        </a:xfrm>
        <a:prstGeom prst="rect">
          <a:avLst/>
        </a:prstGeom>
        <a:noFill/>
        <a:ln w="9525">
          <a:noFill/>
          <a:miter lim="800000"/>
          <a:headEnd/>
          <a:tailEnd/>
        </a:ln>
      </xdr:spPr>
    </xdr:sp>
    <xdr:clientData/>
  </xdr:twoCellAnchor>
  <xdr:twoCellAnchor editAs="oneCell">
    <xdr:from>
      <xdr:col>7</xdr:col>
      <xdr:colOff>0</xdr:colOff>
      <xdr:row>38</xdr:row>
      <xdr:rowOff>0</xdr:rowOff>
    </xdr:from>
    <xdr:to>
      <xdr:col>7</xdr:col>
      <xdr:colOff>94012</xdr:colOff>
      <xdr:row>38</xdr:row>
      <xdr:rowOff>1622</xdr:rowOff>
    </xdr:to>
    <xdr:sp macro="" textlink="">
      <xdr:nvSpPr>
        <xdr:cNvPr id="7" name="Text Box 52">
          <a:extLst>
            <a:ext uri="{FF2B5EF4-FFF2-40B4-BE49-F238E27FC236}">
              <a16:creationId xmlns:a16="http://schemas.microsoft.com/office/drawing/2014/main" id="{578A345B-5B67-4B0C-8DD1-D550EE8C65AD}"/>
            </a:ext>
          </a:extLst>
        </xdr:cNvPr>
        <xdr:cNvSpPr txBox="1">
          <a:spLocks noChangeArrowheads="1"/>
        </xdr:cNvSpPr>
      </xdr:nvSpPr>
      <xdr:spPr bwMode="auto">
        <a:xfrm>
          <a:off x="4476750" y="5543550"/>
          <a:ext cx="94012" cy="1622"/>
        </a:xfrm>
        <a:prstGeom prst="rect">
          <a:avLst/>
        </a:prstGeom>
        <a:noFill/>
        <a:ln w="9525">
          <a:noFill/>
          <a:miter lim="800000"/>
          <a:headEnd/>
          <a:tailEnd/>
        </a:ln>
      </xdr:spPr>
    </xdr:sp>
    <xdr:clientData/>
  </xdr:twoCellAnchor>
  <xdr:twoCellAnchor editAs="oneCell">
    <xdr:from>
      <xdr:col>6</xdr:col>
      <xdr:colOff>514350</xdr:colOff>
      <xdr:row>19</xdr:row>
      <xdr:rowOff>0</xdr:rowOff>
    </xdr:from>
    <xdr:to>
      <xdr:col>11</xdr:col>
      <xdr:colOff>388186</xdr:colOff>
      <xdr:row>19</xdr:row>
      <xdr:rowOff>25527</xdr:rowOff>
    </xdr:to>
    <xdr:sp macro="" textlink="">
      <xdr:nvSpPr>
        <xdr:cNvPr id="8" name="Text Box 52">
          <a:extLst>
            <a:ext uri="{FF2B5EF4-FFF2-40B4-BE49-F238E27FC236}">
              <a16:creationId xmlns:a16="http://schemas.microsoft.com/office/drawing/2014/main" id="{BBD544E2-3719-4729-8DD8-8C62E8103463}"/>
            </a:ext>
          </a:extLst>
        </xdr:cNvPr>
        <xdr:cNvSpPr txBox="1">
          <a:spLocks noChangeArrowheads="1"/>
        </xdr:cNvSpPr>
      </xdr:nvSpPr>
      <xdr:spPr bwMode="auto">
        <a:xfrm>
          <a:off x="4267200" y="3105150"/>
          <a:ext cx="3750511" cy="25527"/>
        </a:xfrm>
        <a:prstGeom prst="rect">
          <a:avLst/>
        </a:prstGeom>
        <a:noFill/>
        <a:ln w="9525">
          <a:noFill/>
          <a:miter lim="800000"/>
          <a:headEnd/>
          <a:tailEnd/>
        </a:ln>
      </xdr:spPr>
    </xdr:sp>
    <xdr:clientData/>
  </xdr:twoCellAnchor>
  <xdr:twoCellAnchor editAs="oneCell">
    <xdr:from>
      <xdr:col>6</xdr:col>
      <xdr:colOff>514350</xdr:colOff>
      <xdr:row>19</xdr:row>
      <xdr:rowOff>0</xdr:rowOff>
    </xdr:from>
    <xdr:to>
      <xdr:col>11</xdr:col>
      <xdr:colOff>388186</xdr:colOff>
      <xdr:row>19</xdr:row>
      <xdr:rowOff>25527</xdr:rowOff>
    </xdr:to>
    <xdr:sp macro="" textlink="">
      <xdr:nvSpPr>
        <xdr:cNvPr id="9" name="Text Box 52">
          <a:extLst>
            <a:ext uri="{FF2B5EF4-FFF2-40B4-BE49-F238E27FC236}">
              <a16:creationId xmlns:a16="http://schemas.microsoft.com/office/drawing/2014/main" id="{3016AC0B-155B-4DE1-B15D-AE076E731B36}"/>
            </a:ext>
          </a:extLst>
        </xdr:cNvPr>
        <xdr:cNvSpPr txBox="1">
          <a:spLocks noChangeArrowheads="1"/>
        </xdr:cNvSpPr>
      </xdr:nvSpPr>
      <xdr:spPr bwMode="auto">
        <a:xfrm>
          <a:off x="4267200" y="3105150"/>
          <a:ext cx="3750511" cy="25527"/>
        </a:xfrm>
        <a:prstGeom prst="rect">
          <a:avLst/>
        </a:prstGeom>
        <a:noFill/>
        <a:ln w="9525">
          <a:noFill/>
          <a:miter lim="800000"/>
          <a:headEnd/>
          <a:tailEnd/>
        </a:ln>
      </xdr:spPr>
    </xdr:sp>
    <xdr:clientData/>
  </xdr:twoCellAnchor>
  <xdr:twoCellAnchor editAs="oneCell">
    <xdr:from>
      <xdr:col>6</xdr:col>
      <xdr:colOff>514350</xdr:colOff>
      <xdr:row>19</xdr:row>
      <xdr:rowOff>0</xdr:rowOff>
    </xdr:from>
    <xdr:to>
      <xdr:col>11</xdr:col>
      <xdr:colOff>388186</xdr:colOff>
      <xdr:row>19</xdr:row>
      <xdr:rowOff>25527</xdr:rowOff>
    </xdr:to>
    <xdr:sp macro="" textlink="">
      <xdr:nvSpPr>
        <xdr:cNvPr id="10" name="Text Box 52">
          <a:extLst>
            <a:ext uri="{FF2B5EF4-FFF2-40B4-BE49-F238E27FC236}">
              <a16:creationId xmlns:a16="http://schemas.microsoft.com/office/drawing/2014/main" id="{B4CE2753-EEF8-407D-9048-F4A226F72212}"/>
            </a:ext>
          </a:extLst>
        </xdr:cNvPr>
        <xdr:cNvSpPr txBox="1">
          <a:spLocks noChangeArrowheads="1"/>
        </xdr:cNvSpPr>
      </xdr:nvSpPr>
      <xdr:spPr bwMode="auto">
        <a:xfrm>
          <a:off x="4267200" y="3105150"/>
          <a:ext cx="3750511" cy="25527"/>
        </a:xfrm>
        <a:prstGeom prst="rect">
          <a:avLst/>
        </a:prstGeom>
        <a:noFill/>
        <a:ln w="9525">
          <a:noFill/>
          <a:miter lim="800000"/>
          <a:headEnd/>
          <a:tailEnd/>
        </a:ln>
      </xdr:spPr>
    </xdr:sp>
    <xdr:clientData/>
  </xdr:twoCellAnchor>
  <xdr:twoCellAnchor editAs="oneCell">
    <xdr:from>
      <xdr:col>6</xdr:col>
      <xdr:colOff>514350</xdr:colOff>
      <xdr:row>19</xdr:row>
      <xdr:rowOff>0</xdr:rowOff>
    </xdr:from>
    <xdr:to>
      <xdr:col>11</xdr:col>
      <xdr:colOff>388186</xdr:colOff>
      <xdr:row>19</xdr:row>
      <xdr:rowOff>25527</xdr:rowOff>
    </xdr:to>
    <xdr:sp macro="" textlink="">
      <xdr:nvSpPr>
        <xdr:cNvPr id="11" name="Text Box 52">
          <a:extLst>
            <a:ext uri="{FF2B5EF4-FFF2-40B4-BE49-F238E27FC236}">
              <a16:creationId xmlns:a16="http://schemas.microsoft.com/office/drawing/2014/main" id="{B7945CD0-9E41-43F9-A085-779CB1BF187A}"/>
            </a:ext>
          </a:extLst>
        </xdr:cNvPr>
        <xdr:cNvSpPr txBox="1">
          <a:spLocks noChangeArrowheads="1"/>
        </xdr:cNvSpPr>
      </xdr:nvSpPr>
      <xdr:spPr bwMode="auto">
        <a:xfrm>
          <a:off x="4267200" y="3105150"/>
          <a:ext cx="3750511" cy="25527"/>
        </a:xfrm>
        <a:prstGeom prst="rect">
          <a:avLst/>
        </a:prstGeom>
        <a:noFill/>
        <a:ln w="9525">
          <a:noFill/>
          <a:miter lim="800000"/>
          <a:headEnd/>
          <a:tailEnd/>
        </a:ln>
      </xdr:spPr>
    </xdr:sp>
    <xdr:clientData/>
  </xdr:twoCellAnchor>
  <xdr:twoCellAnchor editAs="oneCell">
    <xdr:from>
      <xdr:col>6</xdr:col>
      <xdr:colOff>514350</xdr:colOff>
      <xdr:row>19</xdr:row>
      <xdr:rowOff>0</xdr:rowOff>
    </xdr:from>
    <xdr:to>
      <xdr:col>11</xdr:col>
      <xdr:colOff>388186</xdr:colOff>
      <xdr:row>19</xdr:row>
      <xdr:rowOff>26289</xdr:rowOff>
    </xdr:to>
    <xdr:sp macro="" textlink="">
      <xdr:nvSpPr>
        <xdr:cNvPr id="12" name="Text Box 52">
          <a:extLst>
            <a:ext uri="{FF2B5EF4-FFF2-40B4-BE49-F238E27FC236}">
              <a16:creationId xmlns:a16="http://schemas.microsoft.com/office/drawing/2014/main" id="{AFA1AEE0-FB42-49F7-A175-A97AF1C5A92E}"/>
            </a:ext>
          </a:extLst>
        </xdr:cNvPr>
        <xdr:cNvSpPr txBox="1">
          <a:spLocks noChangeArrowheads="1"/>
        </xdr:cNvSpPr>
      </xdr:nvSpPr>
      <xdr:spPr bwMode="auto">
        <a:xfrm>
          <a:off x="4267200" y="3105150"/>
          <a:ext cx="3750511" cy="26289"/>
        </a:xfrm>
        <a:prstGeom prst="rect">
          <a:avLst/>
        </a:prstGeom>
        <a:noFill/>
        <a:ln w="9525">
          <a:noFill/>
          <a:miter lim="800000"/>
          <a:headEnd/>
          <a:tailEnd/>
        </a:ln>
      </xdr:spPr>
    </xdr: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4</xdr:col>
          <xdr:colOff>114300</xdr:colOff>
          <xdr:row>0</xdr:row>
          <xdr:rowOff>228600</xdr:rowOff>
        </xdr:to>
        <xdr:sp macro="" textlink="">
          <xdr:nvSpPr>
            <xdr:cNvPr id="56321" name="FILTER" hidden="1">
              <a:extLst>
                <a:ext uri="{63B3BB69-23CF-44E3-9099-C40C66FF867C}">
                  <a14:compatExt spid="_x0000_s56321"/>
                </a:ext>
                <a:ext uri="{FF2B5EF4-FFF2-40B4-BE49-F238E27FC236}">
                  <a16:creationId xmlns:a16="http://schemas.microsoft.com/office/drawing/2014/main" id="{98161524-A626-4A27-9FA4-0541D84C6D17}"/>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4</xdr:col>
          <xdr:colOff>114300</xdr:colOff>
          <xdr:row>0</xdr:row>
          <xdr:rowOff>228600</xdr:rowOff>
        </xdr:to>
        <xdr:sp macro="" textlink="">
          <xdr:nvSpPr>
            <xdr:cNvPr id="56322" name="HEADER" hidden="1">
              <a:extLst>
                <a:ext uri="{63B3BB69-23CF-44E3-9099-C40C66FF867C}">
                  <a14:compatExt spid="_x0000_s56322"/>
                </a:ext>
                <a:ext uri="{FF2B5EF4-FFF2-40B4-BE49-F238E27FC236}">
                  <a16:creationId xmlns:a16="http://schemas.microsoft.com/office/drawing/2014/main" id="{90686A1B-51C1-4FDA-9613-851105E691F1}"/>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editAs="oneCell">
    <xdr:from>
      <xdr:col>28</xdr:col>
      <xdr:colOff>514350</xdr:colOff>
      <xdr:row>0</xdr:row>
      <xdr:rowOff>0</xdr:rowOff>
    </xdr:from>
    <xdr:to>
      <xdr:col>33</xdr:col>
      <xdr:colOff>292936</xdr:colOff>
      <xdr:row>0</xdr:row>
      <xdr:rowOff>26289</xdr:rowOff>
    </xdr:to>
    <xdr:sp macro="" textlink="">
      <xdr:nvSpPr>
        <xdr:cNvPr id="4" name="Text Box 52">
          <a:extLst>
            <a:ext uri="{FF2B5EF4-FFF2-40B4-BE49-F238E27FC236}">
              <a16:creationId xmlns:a16="http://schemas.microsoft.com/office/drawing/2014/main" id="{784F888E-ABAC-4099-A731-66F798A1F680}"/>
            </a:ext>
          </a:extLst>
        </xdr:cNvPr>
        <xdr:cNvSpPr txBox="1">
          <a:spLocks noChangeArrowheads="1"/>
        </xdr:cNvSpPr>
      </xdr:nvSpPr>
      <xdr:spPr bwMode="auto">
        <a:xfrm>
          <a:off x="6924675" y="0"/>
          <a:ext cx="3750511" cy="26289"/>
        </a:xfrm>
        <a:prstGeom prst="rect">
          <a:avLst/>
        </a:prstGeom>
        <a:noFill/>
        <a:ln w="9525">
          <a:noFill/>
          <a:miter lim="800000"/>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514350</xdr:colOff>
      <xdr:row>0</xdr:row>
      <xdr:rowOff>0</xdr:rowOff>
    </xdr:from>
    <xdr:to>
      <xdr:col>11</xdr:col>
      <xdr:colOff>273886</xdr:colOff>
      <xdr:row>0</xdr:row>
      <xdr:rowOff>26289</xdr:rowOff>
    </xdr:to>
    <xdr:sp macro="" textlink="">
      <xdr:nvSpPr>
        <xdr:cNvPr id="2" name="Text Box 52">
          <a:extLst>
            <a:ext uri="{FF2B5EF4-FFF2-40B4-BE49-F238E27FC236}">
              <a16:creationId xmlns:a16="http://schemas.microsoft.com/office/drawing/2014/main" id="{BCD05796-6E9E-40E8-946F-2EB6228471EB}"/>
            </a:ext>
          </a:extLst>
        </xdr:cNvPr>
        <xdr:cNvSpPr txBox="1">
          <a:spLocks noChangeArrowheads="1"/>
        </xdr:cNvSpPr>
      </xdr:nvSpPr>
      <xdr:spPr bwMode="auto">
        <a:xfrm>
          <a:off x="4438650" y="1323975"/>
          <a:ext cx="3750511" cy="26289"/>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10</xdr:col>
      <xdr:colOff>514350</xdr:colOff>
      <xdr:row>0</xdr:row>
      <xdr:rowOff>0</xdr:rowOff>
    </xdr:from>
    <xdr:to>
      <xdr:col>14</xdr:col>
      <xdr:colOff>521536</xdr:colOff>
      <xdr:row>0</xdr:row>
      <xdr:rowOff>26289</xdr:rowOff>
    </xdr:to>
    <xdr:sp macro="" textlink="">
      <xdr:nvSpPr>
        <xdr:cNvPr id="2" name="Text Box 52">
          <a:extLst>
            <a:ext uri="{FF2B5EF4-FFF2-40B4-BE49-F238E27FC236}">
              <a16:creationId xmlns:a16="http://schemas.microsoft.com/office/drawing/2014/main" id="{CEE77912-7E2E-435A-9647-459F88252006}"/>
            </a:ext>
          </a:extLst>
        </xdr:cNvPr>
        <xdr:cNvSpPr txBox="1">
          <a:spLocks noChangeArrowheads="1"/>
        </xdr:cNvSpPr>
      </xdr:nvSpPr>
      <xdr:spPr bwMode="auto">
        <a:xfrm>
          <a:off x="4267200" y="1323975"/>
          <a:ext cx="3750511" cy="26289"/>
        </a:xfrm>
        <a:prstGeom prst="rect">
          <a:avLst/>
        </a:prstGeom>
        <a:noFill/>
        <a:ln w="9525">
          <a:noFill/>
          <a:miter lim="800000"/>
          <a:headEnd/>
          <a:tailEnd/>
        </a:ln>
      </xdr:spPr>
    </xdr:sp>
    <xdr:clientData/>
  </xdr:twoCellAnchor>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4</xdr:col>
          <xdr:colOff>114300</xdr:colOff>
          <xdr:row>1</xdr:row>
          <xdr:rowOff>28575</xdr:rowOff>
        </xdr:to>
        <xdr:sp macro="" textlink="">
          <xdr:nvSpPr>
            <xdr:cNvPr id="36865" name="FILTER" hidden="1">
              <a:extLst>
                <a:ext uri="{63B3BB69-23CF-44E3-9099-C40C66FF867C}">
                  <a14:compatExt spid="_x0000_s36865"/>
                </a:ext>
                <a:ext uri="{FF2B5EF4-FFF2-40B4-BE49-F238E27FC236}">
                  <a16:creationId xmlns:a16="http://schemas.microsoft.com/office/drawing/2014/main" id="{00000000-0008-0000-0700-000001900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4</xdr:col>
          <xdr:colOff>114300</xdr:colOff>
          <xdr:row>1</xdr:row>
          <xdr:rowOff>28575</xdr:rowOff>
        </xdr:to>
        <xdr:sp macro="" textlink="">
          <xdr:nvSpPr>
            <xdr:cNvPr id="36866" name="HEADER" hidden="1">
              <a:extLst>
                <a:ext uri="{63B3BB69-23CF-44E3-9099-C40C66FF867C}">
                  <a14:compatExt spid="_x0000_s36866"/>
                </a:ext>
                <a:ext uri="{FF2B5EF4-FFF2-40B4-BE49-F238E27FC236}">
                  <a16:creationId xmlns:a16="http://schemas.microsoft.com/office/drawing/2014/main" id="{00000000-0008-0000-0700-000002900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6.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46</xdr:row>
          <xdr:rowOff>0</xdr:rowOff>
        </xdr:from>
        <xdr:to>
          <xdr:col>4</xdr:col>
          <xdr:colOff>114300</xdr:colOff>
          <xdr:row>47</xdr:row>
          <xdr:rowOff>38100</xdr:rowOff>
        </xdr:to>
        <xdr:sp macro="" textlink="">
          <xdr:nvSpPr>
            <xdr:cNvPr id="35841" name="FILTER" hidden="1">
              <a:extLst>
                <a:ext uri="{63B3BB69-23CF-44E3-9099-C40C66FF867C}">
                  <a14:compatExt spid="_x0000_s35841"/>
                </a:ext>
                <a:ext uri="{FF2B5EF4-FFF2-40B4-BE49-F238E27FC236}">
                  <a16:creationId xmlns:a16="http://schemas.microsoft.com/office/drawing/2014/main" id="{00000000-0008-0000-0800-0000018C0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46</xdr:row>
          <xdr:rowOff>0</xdr:rowOff>
        </xdr:from>
        <xdr:to>
          <xdr:col>4</xdr:col>
          <xdr:colOff>114300</xdr:colOff>
          <xdr:row>47</xdr:row>
          <xdr:rowOff>38100</xdr:rowOff>
        </xdr:to>
        <xdr:sp macro="" textlink="">
          <xdr:nvSpPr>
            <xdr:cNvPr id="35842" name="HEADER" hidden="1">
              <a:extLst>
                <a:ext uri="{63B3BB69-23CF-44E3-9099-C40C66FF867C}">
                  <a14:compatExt spid="_x0000_s35842"/>
                </a:ext>
                <a:ext uri="{FF2B5EF4-FFF2-40B4-BE49-F238E27FC236}">
                  <a16:creationId xmlns:a16="http://schemas.microsoft.com/office/drawing/2014/main" id="{00000000-0008-0000-0800-0000028C0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7.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3</xdr:row>
          <xdr:rowOff>0</xdr:rowOff>
        </xdr:from>
        <xdr:to>
          <xdr:col>0</xdr:col>
          <xdr:colOff>914400</xdr:colOff>
          <xdr:row>4</xdr:row>
          <xdr:rowOff>66675</xdr:rowOff>
        </xdr:to>
        <xdr:sp macro="" textlink="">
          <xdr:nvSpPr>
            <xdr:cNvPr id="2049" name="FILTER" hidden="1">
              <a:extLst>
                <a:ext uri="{63B3BB69-23CF-44E3-9099-C40C66FF867C}">
                  <a14:compatExt spid="_x0000_s2049"/>
                </a:ext>
                <a:ext uri="{FF2B5EF4-FFF2-40B4-BE49-F238E27FC236}">
                  <a16:creationId xmlns:a16="http://schemas.microsoft.com/office/drawing/2014/main" id="{00000000-0008-0000-0B00-000001080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3</xdr:row>
          <xdr:rowOff>0</xdr:rowOff>
        </xdr:from>
        <xdr:to>
          <xdr:col>0</xdr:col>
          <xdr:colOff>914400</xdr:colOff>
          <xdr:row>4</xdr:row>
          <xdr:rowOff>66675</xdr:rowOff>
        </xdr:to>
        <xdr:sp macro="" textlink="">
          <xdr:nvSpPr>
            <xdr:cNvPr id="2050" name="HEADER" hidden="1">
              <a:extLst>
                <a:ext uri="{63B3BB69-23CF-44E3-9099-C40C66FF867C}">
                  <a14:compatExt spid="_x0000_s2050"/>
                </a:ext>
                <a:ext uri="{FF2B5EF4-FFF2-40B4-BE49-F238E27FC236}">
                  <a16:creationId xmlns:a16="http://schemas.microsoft.com/office/drawing/2014/main" id="{00000000-0008-0000-0B00-000002080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8.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4</xdr:col>
          <xdr:colOff>114300</xdr:colOff>
          <xdr:row>1</xdr:row>
          <xdr:rowOff>28575</xdr:rowOff>
        </xdr:to>
        <xdr:sp macro="" textlink="">
          <xdr:nvSpPr>
            <xdr:cNvPr id="19457" name="FILTER" hidden="1">
              <a:extLst>
                <a:ext uri="{63B3BB69-23CF-44E3-9099-C40C66FF867C}">
                  <a14:compatExt spid="_x0000_s19457"/>
                </a:ext>
                <a:ext uri="{FF2B5EF4-FFF2-40B4-BE49-F238E27FC236}">
                  <a16:creationId xmlns:a16="http://schemas.microsoft.com/office/drawing/2014/main" id="{00000000-0008-0000-0C00-0000014C0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4</xdr:col>
          <xdr:colOff>114300</xdr:colOff>
          <xdr:row>1</xdr:row>
          <xdr:rowOff>28575</xdr:rowOff>
        </xdr:to>
        <xdr:sp macro="" textlink="">
          <xdr:nvSpPr>
            <xdr:cNvPr id="19458" name="HEADER" hidden="1">
              <a:extLst>
                <a:ext uri="{63B3BB69-23CF-44E3-9099-C40C66FF867C}">
                  <a14:compatExt spid="_x0000_s19458"/>
                </a:ext>
                <a:ext uri="{FF2B5EF4-FFF2-40B4-BE49-F238E27FC236}">
                  <a16:creationId xmlns:a16="http://schemas.microsoft.com/office/drawing/2014/main" id="{00000000-0008-0000-0C00-0000024C0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9.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4</xdr:col>
          <xdr:colOff>114300</xdr:colOff>
          <xdr:row>1</xdr:row>
          <xdr:rowOff>28575</xdr:rowOff>
        </xdr:to>
        <xdr:sp macro="" textlink="">
          <xdr:nvSpPr>
            <xdr:cNvPr id="20481" name="FILTER" hidden="1">
              <a:extLst>
                <a:ext uri="{63B3BB69-23CF-44E3-9099-C40C66FF867C}">
                  <a14:compatExt spid="_x0000_s20481"/>
                </a:ext>
                <a:ext uri="{FF2B5EF4-FFF2-40B4-BE49-F238E27FC236}">
                  <a16:creationId xmlns:a16="http://schemas.microsoft.com/office/drawing/2014/main" id="{00000000-0008-0000-0D00-000001500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4</xdr:col>
          <xdr:colOff>114300</xdr:colOff>
          <xdr:row>1</xdr:row>
          <xdr:rowOff>28575</xdr:rowOff>
        </xdr:to>
        <xdr:sp macro="" textlink="">
          <xdr:nvSpPr>
            <xdr:cNvPr id="20482" name="HEADER" hidden="1">
              <a:extLst>
                <a:ext uri="{63B3BB69-23CF-44E3-9099-C40C66FF867C}">
                  <a14:compatExt spid="_x0000_s20482"/>
                </a:ext>
                <a:ext uri="{FF2B5EF4-FFF2-40B4-BE49-F238E27FC236}">
                  <a16:creationId xmlns:a16="http://schemas.microsoft.com/office/drawing/2014/main" id="{00000000-0008-0000-0D00-000002500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J:\CCL%20Exco\12Excomar04Final%20.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Audit1\d\DRAFTS%20TO%20BE%20FINALISED\Tropical%20Fish%20-%20Draft%20%20Accounts\Accounts%202009\TFI%202009.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cisintlcom-my.sharepoint.com/Users/Deepthi%20Chiranjala/Desktop/Deepthi/Draft%20Accounts%20Audit%2031%2012%202016/TFI%20Draft%20Accouts%20-YE%202016.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Z:\Users\Isuru_J\Downloads\TB%20%202015%20123.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Z:\Users\Isuru_J\Downloads\Ceylon%20Tea%20Plantation%20FS-SLFRS%202015%20Detail%20(1).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S-SME%202016%20TFI%20FINA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2"/>
      <sheetName val="Sheet1"/>
      <sheetName val="M"/>
      <sheetName val="Y"/>
      <sheetName val="Working"/>
      <sheetName val="EXPENC"/>
      <sheetName val="EXPENH"/>
      <sheetName val="EXPENS"/>
      <sheetName val="EXPENCM"/>
      <sheetName val="EXPENHM"/>
      <sheetName val="EXPENSM"/>
      <sheetName val="PLCONCM"/>
      <sheetName val="PLCONC"/>
      <sheetName val="cqf"/>
      <sheetName val="cqd"/>
      <sheetName val="KFC"/>
      <sheetName val="C"/>
      <sheetName val="CClBud"/>
      <sheetName val="ConBud"/>
      <sheetName val="SEC"/>
      <sheetName val="Var"/>
      <sheetName val="AddRec"/>
      <sheetName val="Sheet3"/>
    </sheetNames>
    <sheetDataSet>
      <sheetData sheetId="0" refreshError="1"/>
      <sheetData sheetId="1" refreshError="1"/>
      <sheetData sheetId="2" refreshError="1">
        <row r="3">
          <cell r="B3">
            <v>1</v>
          </cell>
          <cell r="P3">
            <v>0</v>
          </cell>
          <cell r="T3" t="str">
            <v>Schedule 3</v>
          </cell>
        </row>
        <row r="4">
          <cell r="B4" t="str">
            <v>CARGILLS ( CEYLON ) LTD</v>
          </cell>
        </row>
        <row r="6">
          <cell r="B6" t="str">
            <v xml:space="preserve"> Direct Expenses by Profit Centres/Divisions - Month of March 2004 </v>
          </cell>
        </row>
        <row r="7">
          <cell r="C7" t="str">
            <v>MTH V MTH</v>
          </cell>
          <cell r="U7">
            <v>38154.357810300928</v>
          </cell>
        </row>
        <row r="8">
          <cell r="B8" t="str">
            <v>Profit Centre</v>
          </cell>
          <cell r="D8" t="str">
            <v>Staff Related</v>
          </cell>
          <cell r="G8" t="str">
            <v xml:space="preserve">Administration </v>
          </cell>
          <cell r="J8" t="str">
            <v xml:space="preserve">Establishment </v>
          </cell>
          <cell r="M8" t="str">
            <v>Selling &amp; Distribution</v>
          </cell>
          <cell r="P8" t="str">
            <v>Direct Expenses</v>
          </cell>
          <cell r="S8" t="str">
            <v>D&amp;A and Finance</v>
          </cell>
        </row>
        <row r="9">
          <cell r="D9">
            <v>38047</v>
          </cell>
          <cell r="E9">
            <v>37681</v>
          </cell>
          <cell r="F9" t="str">
            <v>Var %</v>
          </cell>
          <cell r="G9">
            <v>38047</v>
          </cell>
          <cell r="H9">
            <v>37681</v>
          </cell>
          <cell r="I9" t="str">
            <v>Var %</v>
          </cell>
          <cell r="J9">
            <v>38047</v>
          </cell>
          <cell r="K9">
            <v>37681</v>
          </cell>
          <cell r="L9" t="str">
            <v>Var %</v>
          </cell>
          <cell r="M9">
            <v>38047</v>
          </cell>
          <cell r="N9">
            <v>37681</v>
          </cell>
          <cell r="O9" t="str">
            <v>Var %</v>
          </cell>
          <cell r="P9">
            <v>38047</v>
          </cell>
          <cell r="Q9">
            <v>37681</v>
          </cell>
          <cell r="R9" t="str">
            <v>Var %</v>
          </cell>
          <cell r="S9">
            <v>38047</v>
          </cell>
          <cell r="T9">
            <v>37681</v>
          </cell>
          <cell r="U9" t="str">
            <v>Var %</v>
          </cell>
        </row>
        <row r="10">
          <cell r="C10" t="str">
            <v>Staples Street</v>
          </cell>
          <cell r="D10">
            <v>693.08024</v>
          </cell>
          <cell r="E10">
            <v>871.23317999999995</v>
          </cell>
          <cell r="F10">
            <v>20.44836492567925</v>
          </cell>
          <cell r="G10">
            <v>121.32003</v>
          </cell>
          <cell r="H10">
            <v>117.09367</v>
          </cell>
          <cell r="I10">
            <v>-3.609383837742894</v>
          </cell>
          <cell r="J10">
            <v>2541.9154400000002</v>
          </cell>
          <cell r="K10">
            <v>1711.74389</v>
          </cell>
          <cell r="L10">
            <v>-48.498584096012181</v>
          </cell>
          <cell r="M10">
            <v>2742.06403</v>
          </cell>
          <cell r="N10">
            <v>925.41292999999996</v>
          </cell>
          <cell r="O10">
            <v>-196.30707991080266</v>
          </cell>
          <cell r="P10">
            <v>6098.3797400000003</v>
          </cell>
          <cell r="Q10">
            <v>3625.4836700000001</v>
          </cell>
          <cell r="R10">
            <v>-68.208721789664011</v>
          </cell>
          <cell r="S10">
            <v>479.34224</v>
          </cell>
          <cell r="T10">
            <v>487.80425000000002</v>
          </cell>
          <cell r="U10">
            <v>1.7347142834446443</v>
          </cell>
        </row>
        <row r="11">
          <cell r="C11" t="str">
            <v>Kandy</v>
          </cell>
          <cell r="D11">
            <v>429.89188999999999</v>
          </cell>
          <cell r="E11">
            <v>600.18055000000004</v>
          </cell>
          <cell r="F11">
            <v>28.372905453200715</v>
          </cell>
          <cell r="G11">
            <v>83.570949999999996</v>
          </cell>
          <cell r="H11">
            <v>124.65146</v>
          </cell>
          <cell r="I11">
            <v>32.95630071240241</v>
          </cell>
          <cell r="J11">
            <v>1001.91651</v>
          </cell>
          <cell r="K11">
            <v>1124.00524</v>
          </cell>
          <cell r="L11">
            <v>10.861936017308954</v>
          </cell>
          <cell r="M11">
            <v>1815.66957</v>
          </cell>
          <cell r="N11">
            <v>590.25658999999996</v>
          </cell>
          <cell r="O11">
            <v>-207.6068273968784</v>
          </cell>
          <cell r="P11">
            <v>3331.0489200000002</v>
          </cell>
          <cell r="Q11">
            <v>2439.09384</v>
          </cell>
          <cell r="R11">
            <v>-36.569116996335005</v>
          </cell>
          <cell r="S11">
            <v>397.74952000000002</v>
          </cell>
          <cell r="T11">
            <v>318.19204000000002</v>
          </cell>
          <cell r="U11">
            <v>-25.00297619010205</v>
          </cell>
        </row>
        <row r="12">
          <cell r="C12" t="str">
            <v>Mount Lavinia</v>
          </cell>
          <cell r="D12">
            <v>350.42135999999999</v>
          </cell>
          <cell r="E12">
            <v>303.48169999999999</v>
          </cell>
          <cell r="F12">
            <v>-15.467047930731903</v>
          </cell>
          <cell r="G12">
            <v>63.384999999999998</v>
          </cell>
          <cell r="H12">
            <v>40.509500000000003</v>
          </cell>
          <cell r="I12">
            <v>-56.469470124291817</v>
          </cell>
          <cell r="J12">
            <v>916.12744999999995</v>
          </cell>
          <cell r="K12">
            <v>561.36001999999996</v>
          </cell>
          <cell r="L12">
            <v>-63.197844050240704</v>
          </cell>
          <cell r="M12">
            <v>1026.20373</v>
          </cell>
          <cell r="N12">
            <v>263.25031999999999</v>
          </cell>
          <cell r="O12">
            <v>-289.82050620109408</v>
          </cell>
          <cell r="P12">
            <v>2356.1375399999997</v>
          </cell>
          <cell r="Q12">
            <v>1168.6015400000001</v>
          </cell>
          <cell r="R12">
            <v>-101.6202665623733</v>
          </cell>
          <cell r="S12">
            <v>84.512299999999996</v>
          </cell>
          <cell r="T12">
            <v>91.80565</v>
          </cell>
          <cell r="U12">
            <v>7.9443367592299641</v>
          </cell>
        </row>
        <row r="13">
          <cell r="C13" t="str">
            <v>Wellawatte</v>
          </cell>
          <cell r="D13">
            <v>275.94310000000002</v>
          </cell>
          <cell r="E13">
            <v>188.79155</v>
          </cell>
          <cell r="F13">
            <v>-46.162844682402373</v>
          </cell>
          <cell r="G13">
            <v>88.060400000000001</v>
          </cell>
          <cell r="H13">
            <v>-60.9268</v>
          </cell>
          <cell r="I13">
            <v>-244.53475317922494</v>
          </cell>
          <cell r="J13">
            <v>792.79363999999998</v>
          </cell>
          <cell r="K13">
            <v>312.7647</v>
          </cell>
          <cell r="L13">
            <v>-153.47925772953278</v>
          </cell>
          <cell r="M13">
            <v>481.03205000000003</v>
          </cell>
          <cell r="N13">
            <v>135.43687</v>
          </cell>
          <cell r="O13">
            <v>-255.17067841275423</v>
          </cell>
          <cell r="P13">
            <v>1637.8291900000002</v>
          </cell>
          <cell r="Q13">
            <v>576.06632000000002</v>
          </cell>
          <cell r="R13">
            <v>-184.31261004809306</v>
          </cell>
          <cell r="S13">
            <v>26.886500000000002</v>
          </cell>
          <cell r="T13">
            <v>29.9407</v>
          </cell>
          <cell r="U13">
            <v>10.200830307908626</v>
          </cell>
        </row>
        <row r="14">
          <cell r="C14" t="str">
            <v>Bambalapitiya</v>
          </cell>
          <cell r="D14">
            <v>242.83768000000001</v>
          </cell>
          <cell r="E14">
            <v>414.07641000000001</v>
          </cell>
          <cell r="F14">
            <v>41.354379497252694</v>
          </cell>
          <cell r="G14">
            <v>64.960499999999996</v>
          </cell>
          <cell r="H14">
            <v>23.131150000000002</v>
          </cell>
          <cell r="I14">
            <v>-180.83558318544468</v>
          </cell>
          <cell r="J14">
            <v>1135.6367499999999</v>
          </cell>
          <cell r="K14">
            <v>1135.99406</v>
          </cell>
          <cell r="L14">
            <v>3.1453509536845441E-2</v>
          </cell>
          <cell r="M14">
            <v>779.16762000000006</v>
          </cell>
          <cell r="N14">
            <v>309.84872000000001</v>
          </cell>
          <cell r="O14">
            <v>-151.46710949782204</v>
          </cell>
          <cell r="P14">
            <v>2222.6025500000001</v>
          </cell>
          <cell r="Q14">
            <v>1883.05034</v>
          </cell>
          <cell r="R14">
            <v>-18.032030412952214</v>
          </cell>
          <cell r="S14">
            <v>66.259770000000003</v>
          </cell>
          <cell r="T14">
            <v>66.600210000000004</v>
          </cell>
          <cell r="U14">
            <v>0.51116955937526465</v>
          </cell>
        </row>
        <row r="15">
          <cell r="C15" t="str">
            <v>Nuwara Eliya</v>
          </cell>
          <cell r="D15">
            <v>195.86983000000001</v>
          </cell>
          <cell r="E15">
            <v>182.98084</v>
          </cell>
          <cell r="F15">
            <v>-7.043901427056519</v>
          </cell>
          <cell r="G15">
            <v>56.381500000000003</v>
          </cell>
          <cell r="H15">
            <v>39.889499999999998</v>
          </cell>
          <cell r="I15">
            <v>-41.344213389488473</v>
          </cell>
          <cell r="J15">
            <v>476.97615999999999</v>
          </cell>
          <cell r="K15">
            <v>400.81025</v>
          </cell>
          <cell r="L15">
            <v>-19.002984579361431</v>
          </cell>
          <cell r="M15">
            <v>530.25190999999995</v>
          </cell>
          <cell r="N15">
            <v>103.93787</v>
          </cell>
          <cell r="O15">
            <v>-410.16237873645088</v>
          </cell>
          <cell r="P15">
            <v>1259.4793999999999</v>
          </cell>
          <cell r="Q15">
            <v>727.61845999999991</v>
          </cell>
          <cell r="R15">
            <v>-73.096130628681422</v>
          </cell>
          <cell r="S15">
            <v>163.31492999999998</v>
          </cell>
          <cell r="T15">
            <v>186.25728000000001</v>
          </cell>
          <cell r="U15">
            <v>12.317558808976505</v>
          </cell>
        </row>
        <row r="16">
          <cell r="C16" t="str">
            <v>Bandarawela</v>
          </cell>
          <cell r="D16">
            <v>256.53089</v>
          </cell>
          <cell r="E16">
            <v>226.77322000000001</v>
          </cell>
          <cell r="F16">
            <v>-13.122215224531358</v>
          </cell>
          <cell r="G16">
            <v>51.689100000000003</v>
          </cell>
          <cell r="H16">
            <v>54.969200000000001</v>
          </cell>
          <cell r="I16">
            <v>5.967159791301305</v>
          </cell>
          <cell r="J16">
            <v>519.26328999999998</v>
          </cell>
          <cell r="K16">
            <v>296.01594</v>
          </cell>
          <cell r="L16">
            <v>-75.417340701314927</v>
          </cell>
          <cell r="M16">
            <v>706.29639999999995</v>
          </cell>
          <cell r="N16">
            <v>152.41955999999999</v>
          </cell>
          <cell r="O16">
            <v>-363.38960695070892</v>
          </cell>
          <cell r="P16">
            <v>1533.7796799999999</v>
          </cell>
          <cell r="Q16">
            <v>730.17792000000009</v>
          </cell>
          <cell r="R16">
            <v>-110.05560946022577</v>
          </cell>
          <cell r="S16">
            <v>46.043670000000006</v>
          </cell>
          <cell r="T16">
            <v>49.369170000000004</v>
          </cell>
          <cell r="U16">
            <v>6.7359852312688222</v>
          </cell>
        </row>
        <row r="17">
          <cell r="C17" t="str">
            <v>Maharagama</v>
          </cell>
          <cell r="D17">
            <v>402.02895999999998</v>
          </cell>
          <cell r="E17">
            <v>264.79538000000002</v>
          </cell>
          <cell r="F17">
            <v>-51.826274310375034</v>
          </cell>
          <cell r="G17">
            <v>51.408000000000001</v>
          </cell>
          <cell r="H17">
            <v>36.203949999999999</v>
          </cell>
          <cell r="I17">
            <v>-41.99555573355947</v>
          </cell>
          <cell r="J17">
            <v>805.99531000000002</v>
          </cell>
          <cell r="K17">
            <v>671.05730000000005</v>
          </cell>
          <cell r="L17">
            <v>-20.10826944286277</v>
          </cell>
          <cell r="M17">
            <v>844.90738999999996</v>
          </cell>
          <cell r="N17">
            <v>289.95231999999999</v>
          </cell>
          <cell r="O17">
            <v>-191.39528526621206</v>
          </cell>
          <cell r="P17">
            <v>2104.3396600000001</v>
          </cell>
          <cell r="Q17">
            <v>1262.0089499999999</v>
          </cell>
          <cell r="R17">
            <v>-66.745224746623251</v>
          </cell>
          <cell r="S17">
            <v>74.417500000000004</v>
          </cell>
          <cell r="T17">
            <v>83.376300000000001</v>
          </cell>
          <cell r="U17">
            <v>10.745019867756181</v>
          </cell>
        </row>
        <row r="18">
          <cell r="C18" t="str">
            <v>Kiribathgoda</v>
          </cell>
          <cell r="D18">
            <v>119.52327</v>
          </cell>
          <cell r="E18">
            <v>289.63936999999999</v>
          </cell>
          <cell r="F18">
            <v>58.733762609689421</v>
          </cell>
          <cell r="G18">
            <v>34.316099999999999</v>
          </cell>
          <cell r="H18">
            <v>35.815100000000001</v>
          </cell>
          <cell r="I18">
            <v>4.1853854938280293</v>
          </cell>
          <cell r="J18">
            <v>-338.86518999999998</v>
          </cell>
          <cell r="K18">
            <v>460.81121999999999</v>
          </cell>
          <cell r="L18">
            <v>173.53666214984958</v>
          </cell>
          <cell r="M18">
            <v>440.45791000000003</v>
          </cell>
          <cell r="N18">
            <v>223.49553</v>
          </cell>
          <cell r="O18">
            <v>-97.076831916951548</v>
          </cell>
          <cell r="P18">
            <v>255.43209000000004</v>
          </cell>
          <cell r="Q18">
            <v>1009.76122</v>
          </cell>
          <cell r="R18">
            <v>74.703713616571648</v>
          </cell>
          <cell r="S18">
            <v>37.235500000000002</v>
          </cell>
          <cell r="T18">
            <v>43.111899999999999</v>
          </cell>
          <cell r="U18">
            <v>13.630575316791877</v>
          </cell>
        </row>
        <row r="19">
          <cell r="C19" t="str">
            <v>Nugegoda</v>
          </cell>
          <cell r="D19">
            <v>516.22911999999997</v>
          </cell>
          <cell r="E19">
            <v>414.82091000000003</v>
          </cell>
          <cell r="F19">
            <v>-24.446262846296715</v>
          </cell>
          <cell r="G19">
            <v>58.896250000000002</v>
          </cell>
          <cell r="H19">
            <v>15.286619999999999</v>
          </cell>
          <cell r="I19">
            <v>-285.27974136859558</v>
          </cell>
          <cell r="J19">
            <v>1000.90592</v>
          </cell>
          <cell r="K19">
            <v>909.66035999999997</v>
          </cell>
          <cell r="L19">
            <v>-10.030728391858261</v>
          </cell>
          <cell r="M19">
            <v>995.98940000000005</v>
          </cell>
          <cell r="N19">
            <v>398.25878999999998</v>
          </cell>
          <cell r="O19">
            <v>-150.0859805253765</v>
          </cell>
          <cell r="P19">
            <v>2572.0206899999998</v>
          </cell>
          <cell r="Q19">
            <v>1738.0266799999999</v>
          </cell>
          <cell r="R19">
            <v>-47.98510975677312</v>
          </cell>
          <cell r="S19">
            <v>130.95752999999999</v>
          </cell>
          <cell r="T19">
            <v>72.309299999999993</v>
          </cell>
          <cell r="U19">
            <v>-81.107450908804267</v>
          </cell>
        </row>
        <row r="20">
          <cell r="C20" t="str">
            <v>Fort</v>
          </cell>
          <cell r="D20">
            <v>252.23845</v>
          </cell>
          <cell r="E20">
            <v>262.06578999999999</v>
          </cell>
          <cell r="F20">
            <v>3.7499514911885266</v>
          </cell>
          <cell r="G20">
            <v>26.823599999999999</v>
          </cell>
          <cell r="H20">
            <v>25.10313</v>
          </cell>
          <cell r="I20">
            <v>-6.8536074983478104</v>
          </cell>
          <cell r="J20">
            <v>41.446420000000003</v>
          </cell>
          <cell r="K20">
            <v>32.671329999999998</v>
          </cell>
          <cell r="L20">
            <v>-26.858686193675023</v>
          </cell>
          <cell r="M20">
            <v>585.06223999999997</v>
          </cell>
          <cell r="N20">
            <v>126.4986</v>
          </cell>
          <cell r="O20">
            <v>-362.50491309785247</v>
          </cell>
          <cell r="P20">
            <v>905.57070999999996</v>
          </cell>
          <cell r="Q20">
            <v>446.33885000000004</v>
          </cell>
          <cell r="R20">
            <v>-102.88861478224445</v>
          </cell>
          <cell r="S20">
            <v>35.716500000000003</v>
          </cell>
          <cell r="T20">
            <v>42.454900000000002</v>
          </cell>
          <cell r="U20">
            <v>15.87190171216985</v>
          </cell>
        </row>
        <row r="21">
          <cell r="C21" t="str">
            <v>Malabe</v>
          </cell>
          <cell r="D21">
            <v>343.91464000000002</v>
          </cell>
          <cell r="E21">
            <v>271.13704999999999</v>
          </cell>
          <cell r="F21">
            <v>-26.84162492731998</v>
          </cell>
          <cell r="G21">
            <v>62.695970000000003</v>
          </cell>
          <cell r="H21">
            <v>32.339680000000001</v>
          </cell>
          <cell r="I21">
            <v>-93.867007960499308</v>
          </cell>
          <cell r="J21">
            <v>699.40904</v>
          </cell>
          <cell r="K21">
            <v>623.89119000000005</v>
          </cell>
          <cell r="L21">
            <v>-12.104330243868318</v>
          </cell>
          <cell r="M21">
            <v>739.24459999999999</v>
          </cell>
          <cell r="N21">
            <v>226.3561</v>
          </cell>
          <cell r="O21">
            <v>-226.58479272261718</v>
          </cell>
          <cell r="P21">
            <v>1845.2642499999999</v>
          </cell>
          <cell r="Q21">
            <v>1153.7240200000001</v>
          </cell>
          <cell r="R21">
            <v>-59.939831191171677</v>
          </cell>
          <cell r="S21">
            <v>55.165500000000002</v>
          </cell>
          <cell r="T21">
            <v>141.03598</v>
          </cell>
          <cell r="U21">
            <v>60.885513044260044</v>
          </cell>
        </row>
        <row r="22">
          <cell r="C22" t="str">
            <v>Negombo</v>
          </cell>
          <cell r="D22">
            <v>501.03336999999999</v>
          </cell>
          <cell r="E22">
            <v>251.50537</v>
          </cell>
          <cell r="F22">
            <v>-99.213786170847968</v>
          </cell>
          <cell r="G22">
            <v>53.185699999999997</v>
          </cell>
          <cell r="H22">
            <v>54.563699999999997</v>
          </cell>
          <cell r="I22">
            <v>2.5254885574108799</v>
          </cell>
          <cell r="J22">
            <v>741.38544999999999</v>
          </cell>
          <cell r="K22">
            <v>782.17538999999999</v>
          </cell>
          <cell r="L22">
            <v>5.2149352333880001</v>
          </cell>
          <cell r="M22">
            <v>980.37922000000003</v>
          </cell>
          <cell r="N22">
            <v>278.75407000000001</v>
          </cell>
          <cell r="O22">
            <v>-251.70041463430474</v>
          </cell>
          <cell r="P22">
            <v>2275.9837399999997</v>
          </cell>
          <cell r="Q22">
            <v>1366.9985299999998</v>
          </cell>
          <cell r="R22">
            <v>-66.494966165033105</v>
          </cell>
          <cell r="S22">
            <v>98.669499999999999</v>
          </cell>
          <cell r="T22">
            <v>189.93198000000001</v>
          </cell>
          <cell r="U22">
            <v>48.050086141364929</v>
          </cell>
        </row>
        <row r="23">
          <cell r="C23" t="str">
            <v>Rajagiriya</v>
          </cell>
          <cell r="D23">
            <v>254.56054</v>
          </cell>
          <cell r="E23">
            <v>322.10933</v>
          </cell>
          <cell r="F23">
            <v>20.970764802124794</v>
          </cell>
          <cell r="G23">
            <v>50.311799999999998</v>
          </cell>
          <cell r="H23">
            <v>37.240200000000002</v>
          </cell>
          <cell r="I23">
            <v>-35.100778191309381</v>
          </cell>
          <cell r="J23">
            <v>450.70882999999998</v>
          </cell>
          <cell r="K23">
            <v>193.32135</v>
          </cell>
          <cell r="L23">
            <v>-133.13970753876899</v>
          </cell>
          <cell r="M23">
            <v>672.02503000000002</v>
          </cell>
          <cell r="N23">
            <v>233.33235999999999</v>
          </cell>
          <cell r="O23">
            <v>-188.01192856404487</v>
          </cell>
          <cell r="P23">
            <v>1427.6061999999999</v>
          </cell>
          <cell r="Q23">
            <v>786.00324000000001</v>
          </cell>
          <cell r="R23">
            <v>-81.628538834012943</v>
          </cell>
          <cell r="S23">
            <v>77.872010000000003</v>
          </cell>
          <cell r="T23">
            <v>121.9652</v>
          </cell>
          <cell r="U23">
            <v>36.152271303617752</v>
          </cell>
        </row>
        <row r="24">
          <cell r="C24" t="str">
            <v>Boralesgamuwa</v>
          </cell>
          <cell r="D24">
            <v>226.21503000000001</v>
          </cell>
          <cell r="E24">
            <v>105.97452</v>
          </cell>
          <cell r="F24">
            <v>-113.46171702405448</v>
          </cell>
          <cell r="G24">
            <v>44.0381</v>
          </cell>
          <cell r="H24">
            <v>40.165199999999999</v>
          </cell>
          <cell r="I24">
            <v>-9.6424267774093035</v>
          </cell>
          <cell r="J24">
            <v>387.56169</v>
          </cell>
          <cell r="K24">
            <v>437.70578</v>
          </cell>
          <cell r="L24">
            <v>11.456117851585146</v>
          </cell>
          <cell r="M24">
            <v>288.64237000000003</v>
          </cell>
          <cell r="N24">
            <v>119.01706</v>
          </cell>
          <cell r="O24">
            <v>-142.52184518757227</v>
          </cell>
          <cell r="P24">
            <v>946.45719000000008</v>
          </cell>
          <cell r="Q24">
            <v>702.86256000000003</v>
          </cell>
          <cell r="R24">
            <v>-34.657505444592189</v>
          </cell>
          <cell r="S24">
            <v>49.658499999999997</v>
          </cell>
          <cell r="T24">
            <v>93.006360000000001</v>
          </cell>
          <cell r="U24">
            <v>46.607414804750988</v>
          </cell>
        </row>
        <row r="25">
          <cell r="C25" t="str">
            <v>Pitakotte</v>
          </cell>
          <cell r="D25">
            <v>257.78820000000002</v>
          </cell>
          <cell r="E25">
            <v>323.44051999999999</v>
          </cell>
          <cell r="F25">
            <v>20.298112308253764</v>
          </cell>
          <cell r="G25">
            <v>75.822299999999998</v>
          </cell>
          <cell r="H25">
            <v>34.264870000000002</v>
          </cell>
          <cell r="I25">
            <v>-121.28290578659715</v>
          </cell>
          <cell r="J25">
            <v>505.27066000000002</v>
          </cell>
          <cell r="K25">
            <v>443.09142000000003</v>
          </cell>
          <cell r="L25">
            <v>-14.033049883926886</v>
          </cell>
          <cell r="M25">
            <v>574.14368999999999</v>
          </cell>
          <cell r="N25">
            <v>241.25063</v>
          </cell>
          <cell r="O25">
            <v>-137.98640028421894</v>
          </cell>
          <cell r="P25">
            <v>1413.02485</v>
          </cell>
          <cell r="Q25">
            <v>1042.0474400000001</v>
          </cell>
          <cell r="R25">
            <v>-35.600817751637095</v>
          </cell>
          <cell r="S25">
            <v>177.22165000000001</v>
          </cell>
          <cell r="T25">
            <v>191.60685000000001</v>
          </cell>
          <cell r="U25">
            <v>7.507664783383265</v>
          </cell>
        </row>
        <row r="26">
          <cell r="C26" t="str">
            <v>Panadura</v>
          </cell>
          <cell r="D26">
            <v>360.67907000000002</v>
          </cell>
          <cell r="E26">
            <v>280.02116000000001</v>
          </cell>
          <cell r="F26">
            <v>-28.804219652543406</v>
          </cell>
          <cell r="G26">
            <v>37.171300000000002</v>
          </cell>
          <cell r="H26">
            <v>18.693249999999999</v>
          </cell>
          <cell r="I26">
            <v>-98.848782314471833</v>
          </cell>
          <cell r="J26">
            <v>661.87895000000003</v>
          </cell>
          <cell r="K26">
            <v>600.46302000000003</v>
          </cell>
          <cell r="L26">
            <v>-10.228095312180924</v>
          </cell>
          <cell r="M26">
            <v>683.52056000000005</v>
          </cell>
          <cell r="N26">
            <v>250.58458999999999</v>
          </cell>
          <cell r="O26">
            <v>-172.77038863403376</v>
          </cell>
          <cell r="P26">
            <v>1743.2498799999998</v>
          </cell>
          <cell r="Q26">
            <v>1149.7620199999999</v>
          </cell>
          <cell r="R26">
            <v>-51.618321850638274</v>
          </cell>
          <cell r="S26">
            <v>260.17698999999999</v>
          </cell>
          <cell r="T26">
            <v>246.77200999999999</v>
          </cell>
          <cell r="U26">
            <v>-5.4321314641802347</v>
          </cell>
        </row>
        <row r="27">
          <cell r="C27" t="str">
            <v>Kurunagala</v>
          </cell>
          <cell r="D27">
            <v>249.59397999999999</v>
          </cell>
          <cell r="E27">
            <v>254.74244999999999</v>
          </cell>
          <cell r="F27">
            <v>2.0210491027310145</v>
          </cell>
          <cell r="G27">
            <v>54.293900000000001</v>
          </cell>
          <cell r="H27">
            <v>34.804139999999997</v>
          </cell>
          <cell r="I27">
            <v>-55.998395593167963</v>
          </cell>
          <cell r="J27">
            <v>669.71970999999996</v>
          </cell>
          <cell r="K27">
            <v>544.83707000000004</v>
          </cell>
          <cell r="L27">
            <v>-22.921098228503418</v>
          </cell>
          <cell r="M27">
            <v>603.70924000000002</v>
          </cell>
          <cell r="N27">
            <v>133.26078999999999</v>
          </cell>
          <cell r="O27">
            <v>-353.02841143295046</v>
          </cell>
          <cell r="P27">
            <v>1577.31683</v>
          </cell>
          <cell r="Q27">
            <v>967.64445000000001</v>
          </cell>
          <cell r="R27">
            <v>-63.005826158564751</v>
          </cell>
          <cell r="S27">
            <v>272.19900000000001</v>
          </cell>
          <cell r="T27">
            <v>288.44740000000002</v>
          </cell>
          <cell r="U27">
            <v>5.6330547614573758</v>
          </cell>
        </row>
        <row r="28">
          <cell r="C28" t="str">
            <v>Matara</v>
          </cell>
          <cell r="D28">
            <v>310.35829999999999</v>
          </cell>
          <cell r="E28">
            <v>387.63585999999998</v>
          </cell>
          <cell r="F28">
            <v>19.935606576749631</v>
          </cell>
          <cell r="G28">
            <v>41.290849999999999</v>
          </cell>
          <cell r="H28">
            <v>48.984650000000002</v>
          </cell>
          <cell r="I28">
            <v>15.706552971185877</v>
          </cell>
          <cell r="J28">
            <v>588.89985000000001</v>
          </cell>
          <cell r="K28">
            <v>597.94611999999995</v>
          </cell>
          <cell r="L28">
            <v>1.5128904925413573</v>
          </cell>
          <cell r="M28">
            <v>496.80673999999999</v>
          </cell>
          <cell r="N28">
            <v>181.37633</v>
          </cell>
          <cell r="O28">
            <v>-173.90935741174164</v>
          </cell>
          <cell r="P28">
            <v>1437.35574</v>
          </cell>
          <cell r="Q28">
            <v>1215.9429599999999</v>
          </cell>
          <cell r="R28">
            <v>-18.209141981462697</v>
          </cell>
          <cell r="S28">
            <v>250.77728999999999</v>
          </cell>
          <cell r="T28">
            <v>233.63173999999998</v>
          </cell>
          <cell r="U28">
            <v>-7.3387074889738928</v>
          </cell>
        </row>
        <row r="29">
          <cell r="C29" t="str">
            <v>Wattala</v>
          </cell>
          <cell r="D29">
            <v>350.86479000000003</v>
          </cell>
          <cell r="E29">
            <v>384.39035999999999</v>
          </cell>
          <cell r="F29">
            <v>8.7217509825168253</v>
          </cell>
          <cell r="G29">
            <v>42.68535</v>
          </cell>
          <cell r="H29">
            <v>41.2044</v>
          </cell>
          <cell r="I29">
            <v>-3.5941549931560708</v>
          </cell>
          <cell r="J29">
            <v>672.61296000000004</v>
          </cell>
          <cell r="K29">
            <v>783.07005000000004</v>
          </cell>
          <cell r="L29">
            <v>14.105646104074596</v>
          </cell>
          <cell r="M29">
            <v>653.44637999999998</v>
          </cell>
          <cell r="N29">
            <v>182.06641999999999</v>
          </cell>
          <cell r="O29">
            <v>-258.90549174306824</v>
          </cell>
          <cell r="P29">
            <v>1719.6094800000001</v>
          </cell>
          <cell r="Q29">
            <v>1390.7312299999999</v>
          </cell>
          <cell r="R29">
            <v>-23.647865447013817</v>
          </cell>
          <cell r="S29">
            <v>378.21424000000002</v>
          </cell>
          <cell r="T29">
            <v>381.45708999999999</v>
          </cell>
          <cell r="U29">
            <v>0.85012183152762366</v>
          </cell>
        </row>
        <row r="30">
          <cell r="C30" t="str">
            <v>Pelawatte</v>
          </cell>
          <cell r="D30">
            <v>340.30056999999999</v>
          </cell>
          <cell r="E30">
            <v>280.03555</v>
          </cell>
          <cell r="F30">
            <v>-21.520489095045249</v>
          </cell>
          <cell r="G30">
            <v>67.288250000000005</v>
          </cell>
          <cell r="H30">
            <v>51.21125</v>
          </cell>
          <cell r="I30">
            <v>-31.393492640777183</v>
          </cell>
          <cell r="J30">
            <v>684.47702000000004</v>
          </cell>
          <cell r="K30">
            <v>653.52354000000003</v>
          </cell>
          <cell r="L30">
            <v>-4.7363986307210926</v>
          </cell>
          <cell r="M30">
            <v>793.59259999999995</v>
          </cell>
          <cell r="N30">
            <v>261.14665000000002</v>
          </cell>
          <cell r="O30">
            <v>-203.88771979269114</v>
          </cell>
          <cell r="P30">
            <v>1885.6584399999999</v>
          </cell>
          <cell r="Q30">
            <v>1245.9169900000002</v>
          </cell>
          <cell r="R30">
            <v>-51.347036370376465</v>
          </cell>
          <cell r="S30">
            <v>274.25358</v>
          </cell>
          <cell r="T30">
            <v>287.36268000000001</v>
          </cell>
          <cell r="U30">
            <v>4.5618658623311878</v>
          </cell>
        </row>
        <row r="31">
          <cell r="C31" t="str">
            <v>Gampaha</v>
          </cell>
          <cell r="D31">
            <v>285.26652000000001</v>
          </cell>
          <cell r="E31">
            <v>370.78672999999998</v>
          </cell>
          <cell r="F31">
            <v>23.064528226239371</v>
          </cell>
          <cell r="G31">
            <v>52.173009999999998</v>
          </cell>
          <cell r="H31">
            <v>29.509699999999999</v>
          </cell>
          <cell r="I31">
            <v>-76.799526935211134</v>
          </cell>
          <cell r="J31">
            <v>750.64089999999999</v>
          </cell>
          <cell r="K31">
            <v>463.65841</v>
          </cell>
          <cell r="L31">
            <v>-61.89524093825883</v>
          </cell>
          <cell r="M31">
            <v>612.94344000000001</v>
          </cell>
          <cell r="N31">
            <v>170.45459</v>
          </cell>
          <cell r="O31">
            <v>-259.59339082626059</v>
          </cell>
          <cell r="P31">
            <v>1701.02387</v>
          </cell>
          <cell r="Q31">
            <v>1034.4094299999999</v>
          </cell>
          <cell r="R31">
            <v>-64.443963934087506</v>
          </cell>
          <cell r="S31">
            <v>431.85446000000002</v>
          </cell>
          <cell r="T31">
            <v>433.32252</v>
          </cell>
          <cell r="U31">
            <v>0.33879153107481697</v>
          </cell>
        </row>
        <row r="32">
          <cell r="C32" t="str">
            <v>Ja-ela</v>
          </cell>
          <cell r="D32">
            <v>330.66305999999997</v>
          </cell>
          <cell r="E32">
            <v>468.16519</v>
          </cell>
          <cell r="F32">
            <v>29.370430125315387</v>
          </cell>
          <cell r="G32">
            <v>48.4801</v>
          </cell>
          <cell r="H32">
            <v>33.862749999999998</v>
          </cell>
          <cell r="I32">
            <v>-43.166458719389304</v>
          </cell>
          <cell r="J32">
            <v>678.11557000000005</v>
          </cell>
          <cell r="K32">
            <v>794.79825000000005</v>
          </cell>
          <cell r="L32">
            <v>14.680792263948744</v>
          </cell>
          <cell r="M32">
            <v>719.90760999999998</v>
          </cell>
          <cell r="N32">
            <v>239.46503999999999</v>
          </cell>
          <cell r="O32">
            <v>-200.63161202988127</v>
          </cell>
          <cell r="P32">
            <v>1777.16634</v>
          </cell>
          <cell r="Q32">
            <v>1536.29123</v>
          </cell>
          <cell r="R32">
            <v>-15.67900052387853</v>
          </cell>
          <cell r="S32">
            <v>577.78900999999996</v>
          </cell>
          <cell r="T32">
            <v>300.00049999999999</v>
          </cell>
          <cell r="U32">
            <v>-92.596015673307207</v>
          </cell>
        </row>
        <row r="33">
          <cell r="C33" t="str">
            <v>Piliyandala</v>
          </cell>
          <cell r="D33">
            <v>267.26711999999998</v>
          </cell>
          <cell r="E33">
            <v>457.56065999999998</v>
          </cell>
          <cell r="F33">
            <v>41.588702140607978</v>
          </cell>
          <cell r="G33">
            <v>40.944800000000001</v>
          </cell>
          <cell r="H33">
            <v>16.2578</v>
          </cell>
          <cell r="I33">
            <v>-151.84711338557491</v>
          </cell>
          <cell r="J33">
            <v>589.33425999999997</v>
          </cell>
          <cell r="K33">
            <v>578.52530000000002</v>
          </cell>
          <cell r="L33">
            <v>-1.8683642703266317</v>
          </cell>
          <cell r="M33">
            <v>504.19000999999997</v>
          </cell>
          <cell r="N33">
            <v>109.08538</v>
          </cell>
          <cell r="O33">
            <v>-362.19760154843846</v>
          </cell>
          <cell r="P33">
            <v>1401.7361899999999</v>
          </cell>
          <cell r="Q33">
            <v>1161.42914</v>
          </cell>
          <cell r="R33">
            <v>-20.690633782444952</v>
          </cell>
          <cell r="S33">
            <v>520.00062000000003</v>
          </cell>
          <cell r="T33">
            <v>0</v>
          </cell>
          <cell r="U33">
            <v>0</v>
          </cell>
        </row>
        <row r="34">
          <cell r="C34" t="str">
            <v>Chilaw</v>
          </cell>
          <cell r="D34">
            <v>312.82927999999998</v>
          </cell>
          <cell r="E34">
            <v>373.28566000000001</v>
          </cell>
          <cell r="F34">
            <v>16.195741352614515</v>
          </cell>
          <cell r="G34">
            <v>51.351750000000003</v>
          </cell>
          <cell r="H34">
            <v>59.630299999999998</v>
          </cell>
          <cell r="I34">
            <v>13.883126531310417</v>
          </cell>
          <cell r="J34">
            <v>652.94575999999995</v>
          </cell>
          <cell r="K34">
            <v>547.25243999999998</v>
          </cell>
          <cell r="L34">
            <v>-19.313448835422271</v>
          </cell>
          <cell r="M34">
            <v>387.81688000000003</v>
          </cell>
          <cell r="N34">
            <v>131.61913999999999</v>
          </cell>
          <cell r="O34">
            <v>-194.65082358082577</v>
          </cell>
          <cell r="P34">
            <v>1404.9436699999999</v>
          </cell>
          <cell r="Q34">
            <v>1111.78754</v>
          </cell>
          <cell r="R34">
            <v>-26.367999231220008</v>
          </cell>
          <cell r="S34">
            <v>382.76053000000002</v>
          </cell>
          <cell r="T34">
            <v>0</v>
          </cell>
          <cell r="U34">
            <v>0</v>
          </cell>
        </row>
        <row r="35">
          <cell r="C35" t="str">
            <v>Ratnapura</v>
          </cell>
          <cell r="D35">
            <v>394.69646</v>
          </cell>
          <cell r="E35">
            <v>459.85901999999999</v>
          </cell>
          <cell r="F35">
            <v>14.170116745780041</v>
          </cell>
          <cell r="G35">
            <v>59.543950000000002</v>
          </cell>
          <cell r="H35">
            <v>53.5139</v>
          </cell>
          <cell r="I35">
            <v>-11.268193871125078</v>
          </cell>
          <cell r="J35">
            <v>773.10793999999999</v>
          </cell>
          <cell r="K35">
            <v>481.36864000000003</v>
          </cell>
          <cell r="L35">
            <v>-60.6062123199384</v>
          </cell>
          <cell r="M35">
            <v>642.82802000000004</v>
          </cell>
          <cell r="N35">
            <v>165.48415</v>
          </cell>
          <cell r="O35">
            <v>-288.45292434350966</v>
          </cell>
          <cell r="P35">
            <v>1870.1763700000001</v>
          </cell>
          <cell r="Q35">
            <v>1160.2257100000002</v>
          </cell>
          <cell r="R35">
            <v>-61.190736757591743</v>
          </cell>
          <cell r="S35">
            <v>607.11377000000005</v>
          </cell>
          <cell r="T35">
            <v>0</v>
          </cell>
          <cell r="U35">
            <v>0</v>
          </cell>
        </row>
        <row r="36">
          <cell r="C36" t="str">
            <v>Nawala</v>
          </cell>
          <cell r="D36">
            <v>488.14201000000003</v>
          </cell>
          <cell r="E36">
            <v>509.38914</v>
          </cell>
          <cell r="F36">
            <v>4.1710999178349129</v>
          </cell>
          <cell r="G36">
            <v>104.60025</v>
          </cell>
          <cell r="H36">
            <v>63.974499999999999</v>
          </cell>
          <cell r="I36">
            <v>-63.5030363660521</v>
          </cell>
          <cell r="J36">
            <v>668.34802999999999</v>
          </cell>
          <cell r="K36">
            <v>507.14201000000003</v>
          </cell>
          <cell r="L36">
            <v>-31.787155633192359</v>
          </cell>
          <cell r="M36">
            <v>1115.3623299999999</v>
          </cell>
          <cell r="N36">
            <v>242.13892999999999</v>
          </cell>
          <cell r="O36">
            <v>-360.62908182504981</v>
          </cell>
          <cell r="P36">
            <v>2376.45262</v>
          </cell>
          <cell r="Q36">
            <v>1322.6445800000001</v>
          </cell>
          <cell r="R36">
            <v>-79.674317343817322</v>
          </cell>
          <cell r="S36">
            <v>631.88324999999998</v>
          </cell>
          <cell r="T36">
            <v>0</v>
          </cell>
          <cell r="U36">
            <v>0</v>
          </cell>
        </row>
        <row r="37">
          <cell r="C37" t="str">
            <v>Collupitiya</v>
          </cell>
          <cell r="D37">
            <v>346.37317000000002</v>
          </cell>
          <cell r="E37">
            <v>607.31845999999996</v>
          </cell>
          <cell r="F37">
            <v>42.966797024414497</v>
          </cell>
          <cell r="G37">
            <v>57.771830000000001</v>
          </cell>
          <cell r="H37">
            <v>55.360239999999997</v>
          </cell>
          <cell r="I37">
            <v>-4.3561769240884871</v>
          </cell>
          <cell r="J37">
            <v>996.04542000000004</v>
          </cell>
          <cell r="K37">
            <v>655.45645000000002</v>
          </cell>
          <cell r="L37">
            <v>-51.962105186393394</v>
          </cell>
          <cell r="M37">
            <v>279.93856</v>
          </cell>
          <cell r="N37">
            <v>234.62532999999999</v>
          </cell>
          <cell r="O37">
            <v>-19.31301705574586</v>
          </cell>
          <cell r="P37">
            <v>1680.1289800000002</v>
          </cell>
          <cell r="Q37">
            <v>1552.7604800000001</v>
          </cell>
          <cell r="R37">
            <v>-8.2027139176030559</v>
          </cell>
          <cell r="S37">
            <v>258.31835999999998</v>
          </cell>
          <cell r="T37">
            <v>0</v>
          </cell>
          <cell r="U37">
            <v>0</v>
          </cell>
        </row>
        <row r="38">
          <cell r="C38" t="str">
            <v>Dehiwala</v>
          </cell>
          <cell r="D38">
            <v>402.13414</v>
          </cell>
          <cell r="E38">
            <v>599.35487999999998</v>
          </cell>
          <cell r="F38">
            <v>32.9055033305143</v>
          </cell>
          <cell r="G38">
            <v>64.2333</v>
          </cell>
          <cell r="H38">
            <v>57.03349</v>
          </cell>
          <cell r="I38">
            <v>-12.623828561078762</v>
          </cell>
          <cell r="J38">
            <v>848.88949000000002</v>
          </cell>
          <cell r="K38">
            <v>545.53998000000001</v>
          </cell>
          <cell r="L38">
            <v>-55.605367364643008</v>
          </cell>
          <cell r="M38">
            <v>900.1943</v>
          </cell>
          <cell r="N38">
            <v>269.01038999999997</v>
          </cell>
          <cell r="O38">
            <v>-234.63179619196123</v>
          </cell>
          <cell r="P38">
            <v>2215.4512300000001</v>
          </cell>
          <cell r="Q38">
            <v>1470.9387400000001</v>
          </cell>
          <cell r="R38">
            <v>-50.614785630025629</v>
          </cell>
          <cell r="S38">
            <v>166.23991000000001</v>
          </cell>
          <cell r="T38">
            <v>0</v>
          </cell>
          <cell r="U38">
            <v>0</v>
          </cell>
        </row>
        <row r="39">
          <cell r="C39" t="str">
            <v>Thimbirigasyaya</v>
          </cell>
          <cell r="D39">
            <v>270.58535000000001</v>
          </cell>
          <cell r="E39">
            <v>458.0163</v>
          </cell>
          <cell r="F39">
            <v>40.922331803475117</v>
          </cell>
          <cell r="G39">
            <v>40.438000000000002</v>
          </cell>
          <cell r="H39">
            <v>16.611699999999999</v>
          </cell>
          <cell r="I39">
            <v>-143.43083489347873</v>
          </cell>
          <cell r="J39">
            <v>411.52114</v>
          </cell>
          <cell r="K39">
            <v>458.96156999999999</v>
          </cell>
          <cell r="L39">
            <v>10.336471090596975</v>
          </cell>
          <cell r="M39">
            <v>456.51711999999998</v>
          </cell>
          <cell r="N39">
            <v>170.32444000000001</v>
          </cell>
          <cell r="O39">
            <v>-168.02795887660042</v>
          </cell>
          <cell r="P39">
            <v>1179.06161</v>
          </cell>
          <cell r="Q39">
            <v>1103.91401</v>
          </cell>
          <cell r="R39">
            <v>-6.8073780493102003</v>
          </cell>
          <cell r="S39">
            <v>167.40797000000001</v>
          </cell>
          <cell r="T39">
            <v>0</v>
          </cell>
          <cell r="U39">
            <v>0</v>
          </cell>
        </row>
        <row r="40">
          <cell r="C40" t="str">
            <v>Moratuwa</v>
          </cell>
          <cell r="D40">
            <v>293.70281</v>
          </cell>
          <cell r="E40">
            <v>552.37845000000004</v>
          </cell>
          <cell r="F40">
            <v>46.829422835014654</v>
          </cell>
          <cell r="G40">
            <v>44.777009999999997</v>
          </cell>
          <cell r="H40">
            <v>25.513439999999999</v>
          </cell>
          <cell r="I40">
            <v>-75.503616917201271</v>
          </cell>
          <cell r="J40">
            <v>699.01206999999999</v>
          </cell>
          <cell r="K40">
            <v>575.81719999999996</v>
          </cell>
          <cell r="L40">
            <v>-21.394788137624239</v>
          </cell>
          <cell r="M40">
            <v>722.72125000000005</v>
          </cell>
          <cell r="N40">
            <v>216.70770999999999</v>
          </cell>
          <cell r="O40">
            <v>-233.50047859395499</v>
          </cell>
          <cell r="P40">
            <v>1760.2131400000001</v>
          </cell>
          <cell r="Q40">
            <v>1370.4167999999997</v>
          </cell>
          <cell r="R40">
            <v>-28.443634082711217</v>
          </cell>
          <cell r="S40">
            <v>300.87083000000001</v>
          </cell>
          <cell r="T40">
            <v>0</v>
          </cell>
          <cell r="U40">
            <v>0</v>
          </cell>
        </row>
        <row r="41">
          <cell r="C41" t="str">
            <v>Kegalle</v>
          </cell>
          <cell r="D41">
            <v>470.00596000000002</v>
          </cell>
          <cell r="E41">
            <v>75.3994</v>
          </cell>
          <cell r="F41">
            <v>-523.35503996053023</v>
          </cell>
          <cell r="G41">
            <v>82.316379999999995</v>
          </cell>
          <cell r="H41">
            <v>0</v>
          </cell>
          <cell r="I41">
            <v>0</v>
          </cell>
          <cell r="J41">
            <v>595.07141000000001</v>
          </cell>
          <cell r="K41">
            <v>0</v>
          </cell>
          <cell r="L41">
            <v>0</v>
          </cell>
          <cell r="M41">
            <v>333.48329000000001</v>
          </cell>
          <cell r="N41">
            <v>0</v>
          </cell>
          <cell r="O41">
            <v>0</v>
          </cell>
          <cell r="P41">
            <v>1480.8770400000003</v>
          </cell>
          <cell r="Q41">
            <v>75.3994</v>
          </cell>
          <cell r="R41">
            <v>-1864.0435335029197</v>
          </cell>
          <cell r="S41">
            <v>0</v>
          </cell>
          <cell r="T41">
            <v>0</v>
          </cell>
          <cell r="U41">
            <v>0</v>
          </cell>
        </row>
        <row r="42">
          <cell r="C42" t="str">
            <v>Kadawatha</v>
          </cell>
          <cell r="D42">
            <v>450.13319999999999</v>
          </cell>
          <cell r="E42">
            <v>144.51281</v>
          </cell>
          <cell r="F42">
            <v>-211.48325189995268</v>
          </cell>
          <cell r="G42">
            <v>45.820749999999997</v>
          </cell>
          <cell r="H42">
            <v>25.56175</v>
          </cell>
          <cell r="I42">
            <v>-79.25513707003627</v>
          </cell>
          <cell r="J42">
            <v>448.23511000000002</v>
          </cell>
          <cell r="K42">
            <v>0</v>
          </cell>
          <cell r="L42">
            <v>0</v>
          </cell>
          <cell r="M42">
            <v>318.56459999999998</v>
          </cell>
          <cell r="N42">
            <v>7.2004999999999999</v>
          </cell>
          <cell r="O42">
            <v>-4324.2010971460313</v>
          </cell>
          <cell r="P42">
            <v>1262.7536599999999</v>
          </cell>
          <cell r="Q42">
            <v>177.27506</v>
          </cell>
          <cell r="R42">
            <v>-612.3132041247087</v>
          </cell>
          <cell r="S42">
            <v>0</v>
          </cell>
          <cell r="T42">
            <v>0</v>
          </cell>
          <cell r="U42">
            <v>0</v>
          </cell>
        </row>
        <row r="43">
          <cell r="C43" t="str">
            <v>Aluthgama</v>
          </cell>
          <cell r="D43">
            <v>534.00334999999995</v>
          </cell>
          <cell r="E43">
            <v>0</v>
          </cell>
          <cell r="F43">
            <v>0</v>
          </cell>
          <cell r="G43">
            <v>46.194400000000002</v>
          </cell>
          <cell r="H43">
            <v>0</v>
          </cell>
          <cell r="I43">
            <v>0</v>
          </cell>
          <cell r="J43">
            <v>591.05787999999995</v>
          </cell>
          <cell r="K43">
            <v>0</v>
          </cell>
          <cell r="L43">
            <v>0</v>
          </cell>
          <cell r="M43">
            <v>326.51693999999998</v>
          </cell>
          <cell r="N43">
            <v>0</v>
          </cell>
          <cell r="O43">
            <v>0</v>
          </cell>
          <cell r="P43">
            <v>1497.7725699999999</v>
          </cell>
          <cell r="Q43">
            <v>0</v>
          </cell>
          <cell r="R43">
            <v>0</v>
          </cell>
          <cell r="S43">
            <v>0</v>
          </cell>
          <cell r="T43">
            <v>0</v>
          </cell>
          <cell r="U43">
            <v>0</v>
          </cell>
        </row>
        <row r="44">
          <cell r="C44" t="str">
            <v>Park Road</v>
          </cell>
          <cell r="D44">
            <v>519.61461999999995</v>
          </cell>
          <cell r="E44">
            <v>0</v>
          </cell>
          <cell r="F44">
            <v>0</v>
          </cell>
          <cell r="G44">
            <v>84.526949999999999</v>
          </cell>
          <cell r="H44">
            <v>0</v>
          </cell>
          <cell r="I44">
            <v>0</v>
          </cell>
          <cell r="J44">
            <v>543.34118000000001</v>
          </cell>
          <cell r="K44">
            <v>0</v>
          </cell>
          <cell r="L44">
            <v>0</v>
          </cell>
          <cell r="M44">
            <v>456.13558999999998</v>
          </cell>
          <cell r="N44">
            <v>0</v>
          </cell>
          <cell r="O44">
            <v>0</v>
          </cell>
          <cell r="P44">
            <v>1603.61834</v>
          </cell>
          <cell r="Q44">
            <v>0</v>
          </cell>
          <cell r="R44">
            <v>0</v>
          </cell>
          <cell r="S44">
            <v>0</v>
          </cell>
          <cell r="T44">
            <v>0</v>
          </cell>
          <cell r="U44">
            <v>0</v>
          </cell>
        </row>
        <row r="45">
          <cell r="C45" t="str">
            <v>Kotahena</v>
          </cell>
          <cell r="D45">
            <v>578.90506000000005</v>
          </cell>
          <cell r="E45">
            <v>0</v>
          </cell>
          <cell r="F45">
            <v>0</v>
          </cell>
          <cell r="G45">
            <v>53.040750000000003</v>
          </cell>
          <cell r="H45">
            <v>0</v>
          </cell>
          <cell r="I45">
            <v>0</v>
          </cell>
          <cell r="J45">
            <v>849.76238000000001</v>
          </cell>
          <cell r="K45">
            <v>0</v>
          </cell>
          <cell r="L45">
            <v>0</v>
          </cell>
          <cell r="M45">
            <v>556.42573000000004</v>
          </cell>
          <cell r="N45">
            <v>0</v>
          </cell>
          <cell r="O45">
            <v>0</v>
          </cell>
          <cell r="P45">
            <v>2038.1339200000002</v>
          </cell>
          <cell r="Q45">
            <v>0</v>
          </cell>
          <cell r="R45">
            <v>0</v>
          </cell>
          <cell r="S45">
            <v>0</v>
          </cell>
          <cell r="T45">
            <v>0</v>
          </cell>
          <cell r="U45">
            <v>0</v>
          </cell>
        </row>
        <row r="46">
          <cell r="C46" t="str">
            <v>Ambalangoda</v>
          </cell>
          <cell r="D46">
            <v>318.53757999999999</v>
          </cell>
          <cell r="E46">
            <v>0</v>
          </cell>
          <cell r="F46">
            <v>0</v>
          </cell>
          <cell r="G46">
            <v>60.231650000000002</v>
          </cell>
          <cell r="H46">
            <v>0</v>
          </cell>
          <cell r="I46">
            <v>0</v>
          </cell>
          <cell r="J46">
            <v>615.73725999999999</v>
          </cell>
          <cell r="K46">
            <v>0</v>
          </cell>
          <cell r="L46">
            <v>0</v>
          </cell>
          <cell r="M46">
            <v>269.16412000000003</v>
          </cell>
          <cell r="N46">
            <v>0</v>
          </cell>
          <cell r="O46">
            <v>0</v>
          </cell>
          <cell r="P46">
            <v>1263.6706100000001</v>
          </cell>
          <cell r="Q46">
            <v>0</v>
          </cell>
          <cell r="R46">
            <v>0</v>
          </cell>
          <cell r="S46">
            <v>5.4705000000000004</v>
          </cell>
          <cell r="T46">
            <v>0</v>
          </cell>
          <cell r="U46">
            <v>0</v>
          </cell>
        </row>
        <row r="47">
          <cell r="C47" t="str">
            <v>Katugastota</v>
          </cell>
          <cell r="D47">
            <v>553.48224000000005</v>
          </cell>
          <cell r="E47">
            <v>0</v>
          </cell>
          <cell r="F47">
            <v>0</v>
          </cell>
          <cell r="G47">
            <v>68.206100000000006</v>
          </cell>
          <cell r="H47">
            <v>0</v>
          </cell>
          <cell r="I47">
            <v>0</v>
          </cell>
          <cell r="J47">
            <v>569.03363000000002</v>
          </cell>
          <cell r="K47">
            <v>0</v>
          </cell>
          <cell r="L47">
            <v>0</v>
          </cell>
          <cell r="M47">
            <v>430.14994999999999</v>
          </cell>
          <cell r="N47">
            <v>0</v>
          </cell>
          <cell r="O47">
            <v>0</v>
          </cell>
          <cell r="P47">
            <v>1620.87192</v>
          </cell>
          <cell r="Q47">
            <v>0</v>
          </cell>
          <cell r="R47">
            <v>0</v>
          </cell>
          <cell r="S47">
            <v>0</v>
          </cell>
          <cell r="T47">
            <v>0</v>
          </cell>
          <cell r="U47">
            <v>0</v>
          </cell>
        </row>
        <row r="48">
          <cell r="C48" t="str">
            <v>Beruwela</v>
          </cell>
          <cell r="D48">
            <v>386.98424999999997</v>
          </cell>
          <cell r="E48">
            <v>0</v>
          </cell>
          <cell r="F48">
            <v>0</v>
          </cell>
          <cell r="G48">
            <v>52.204999999999998</v>
          </cell>
          <cell r="H48">
            <v>0</v>
          </cell>
          <cell r="I48">
            <v>0</v>
          </cell>
          <cell r="J48">
            <v>485.65926999999999</v>
          </cell>
          <cell r="K48">
            <v>0</v>
          </cell>
          <cell r="L48">
            <v>0</v>
          </cell>
          <cell r="M48">
            <v>233.65019000000001</v>
          </cell>
          <cell r="N48">
            <v>0</v>
          </cell>
          <cell r="O48">
            <v>0</v>
          </cell>
          <cell r="P48">
            <v>1158.4987100000001</v>
          </cell>
          <cell r="Q48">
            <v>0</v>
          </cell>
          <cell r="R48">
            <v>0</v>
          </cell>
          <cell r="S48">
            <v>1.1677500000000001</v>
          </cell>
          <cell r="T48">
            <v>0</v>
          </cell>
          <cell r="U48">
            <v>0</v>
          </cell>
        </row>
        <row r="49">
          <cell r="C49" t="str">
            <v>Warakapola</v>
          </cell>
          <cell r="D49">
            <v>450.86182000000002</v>
          </cell>
          <cell r="E49">
            <v>0</v>
          </cell>
          <cell r="F49">
            <v>0</v>
          </cell>
          <cell r="G49">
            <v>57.688699999999997</v>
          </cell>
          <cell r="H49">
            <v>0</v>
          </cell>
          <cell r="I49">
            <v>0</v>
          </cell>
          <cell r="J49">
            <v>494.46107999999998</v>
          </cell>
          <cell r="K49">
            <v>0</v>
          </cell>
          <cell r="L49">
            <v>0</v>
          </cell>
          <cell r="M49">
            <v>205.35404</v>
          </cell>
          <cell r="N49">
            <v>0</v>
          </cell>
          <cell r="O49">
            <v>0</v>
          </cell>
          <cell r="P49">
            <v>1208.36564</v>
          </cell>
          <cell r="Q49">
            <v>0</v>
          </cell>
          <cell r="R49">
            <v>0</v>
          </cell>
          <cell r="S49">
            <v>0.30049999999999999</v>
          </cell>
          <cell r="T49">
            <v>0</v>
          </cell>
          <cell r="U49">
            <v>0</v>
          </cell>
        </row>
        <row r="50">
          <cell r="C50" t="str">
            <v>Karagampitiya</v>
          </cell>
          <cell r="D50">
            <v>396.74459000000002</v>
          </cell>
          <cell r="E50">
            <v>0</v>
          </cell>
          <cell r="F50">
            <v>0</v>
          </cell>
          <cell r="G50">
            <v>41.771070000000002</v>
          </cell>
          <cell r="H50">
            <v>0</v>
          </cell>
          <cell r="I50">
            <v>0</v>
          </cell>
          <cell r="J50">
            <v>739.05440999999996</v>
          </cell>
          <cell r="K50">
            <v>0</v>
          </cell>
          <cell r="L50">
            <v>0</v>
          </cell>
          <cell r="M50">
            <v>226.63793000000001</v>
          </cell>
          <cell r="N50">
            <v>0</v>
          </cell>
          <cell r="O50">
            <v>0</v>
          </cell>
          <cell r="P50">
            <v>1404.2080000000001</v>
          </cell>
          <cell r="Q50">
            <v>0</v>
          </cell>
          <cell r="R50">
            <v>0</v>
          </cell>
          <cell r="S50">
            <v>0</v>
          </cell>
          <cell r="T50">
            <v>0</v>
          </cell>
          <cell r="U50">
            <v>0</v>
          </cell>
        </row>
        <row r="51">
          <cell r="C51" t="str">
            <v>Mathale</v>
          </cell>
          <cell r="D51">
            <v>382.10122000000001</v>
          </cell>
          <cell r="E51">
            <v>0</v>
          </cell>
          <cell r="F51">
            <v>0</v>
          </cell>
          <cell r="G51">
            <v>54.4193</v>
          </cell>
          <cell r="H51">
            <v>0</v>
          </cell>
          <cell r="I51">
            <v>0</v>
          </cell>
          <cell r="J51">
            <v>699.68250999999998</v>
          </cell>
          <cell r="K51">
            <v>0</v>
          </cell>
          <cell r="L51">
            <v>0</v>
          </cell>
          <cell r="M51">
            <v>279.27307000000002</v>
          </cell>
          <cell r="N51">
            <v>0</v>
          </cell>
          <cell r="O51">
            <v>0</v>
          </cell>
          <cell r="P51">
            <v>1415.4761000000001</v>
          </cell>
          <cell r="Q51">
            <v>0</v>
          </cell>
          <cell r="R51">
            <v>0</v>
          </cell>
          <cell r="S51">
            <v>0.30049999999999999</v>
          </cell>
          <cell r="T51">
            <v>0</v>
          </cell>
          <cell r="U51">
            <v>0</v>
          </cell>
        </row>
        <row r="52">
          <cell r="C52" t="str">
            <v>Peliyagoda</v>
          </cell>
          <cell r="D52">
            <v>329.95190000000002</v>
          </cell>
          <cell r="E52">
            <v>0</v>
          </cell>
          <cell r="F52">
            <v>0</v>
          </cell>
          <cell r="G52">
            <v>65.916349999999994</v>
          </cell>
          <cell r="H52">
            <v>0</v>
          </cell>
          <cell r="I52">
            <v>0</v>
          </cell>
          <cell r="J52">
            <v>601.20821000000001</v>
          </cell>
          <cell r="K52">
            <v>0</v>
          </cell>
          <cell r="L52">
            <v>0</v>
          </cell>
          <cell r="M52">
            <v>135.7304</v>
          </cell>
          <cell r="N52">
            <v>0</v>
          </cell>
          <cell r="O52">
            <v>0</v>
          </cell>
          <cell r="P52">
            <v>1132.8068599999999</v>
          </cell>
          <cell r="Q52">
            <v>0</v>
          </cell>
          <cell r="R52">
            <v>0</v>
          </cell>
          <cell r="S52">
            <v>0</v>
          </cell>
          <cell r="T52">
            <v>0</v>
          </cell>
          <cell r="U52">
            <v>0</v>
          </cell>
        </row>
        <row r="53">
          <cell r="C53" t="str">
            <v>Kelaniya</v>
          </cell>
          <cell r="D53">
            <v>345.05063999999999</v>
          </cell>
          <cell r="E53">
            <v>0</v>
          </cell>
          <cell r="F53">
            <v>0</v>
          </cell>
          <cell r="G53">
            <v>44.893900000000002</v>
          </cell>
          <cell r="H53">
            <v>0</v>
          </cell>
          <cell r="I53">
            <v>0</v>
          </cell>
          <cell r="J53">
            <v>518.02782999999999</v>
          </cell>
          <cell r="K53">
            <v>0</v>
          </cell>
          <cell r="L53">
            <v>0</v>
          </cell>
          <cell r="M53">
            <v>192.14313999999999</v>
          </cell>
          <cell r="N53">
            <v>0</v>
          </cell>
          <cell r="O53">
            <v>0</v>
          </cell>
          <cell r="P53">
            <v>1100.1155099999999</v>
          </cell>
          <cell r="Q53">
            <v>0</v>
          </cell>
          <cell r="R53">
            <v>0</v>
          </cell>
          <cell r="S53">
            <v>0</v>
          </cell>
          <cell r="T53">
            <v>0</v>
          </cell>
          <cell r="U53">
            <v>0</v>
          </cell>
        </row>
        <row r="54">
          <cell r="C54" t="str">
            <v>Demategoda</v>
          </cell>
          <cell r="D54">
            <v>349.77481</v>
          </cell>
          <cell r="E54">
            <v>0</v>
          </cell>
          <cell r="F54">
            <v>0</v>
          </cell>
          <cell r="G54">
            <v>38.58811</v>
          </cell>
          <cell r="H54">
            <v>0</v>
          </cell>
          <cell r="I54">
            <v>0</v>
          </cell>
          <cell r="J54">
            <v>641.88688999999999</v>
          </cell>
          <cell r="K54">
            <v>0</v>
          </cell>
          <cell r="L54">
            <v>0</v>
          </cell>
          <cell r="M54">
            <v>197.93379999999999</v>
          </cell>
          <cell r="N54">
            <v>0</v>
          </cell>
          <cell r="O54">
            <v>0</v>
          </cell>
          <cell r="P54">
            <v>1228.18361</v>
          </cell>
          <cell r="Q54">
            <v>0</v>
          </cell>
          <cell r="R54">
            <v>0</v>
          </cell>
          <cell r="S54">
            <v>0</v>
          </cell>
          <cell r="T54">
            <v>0</v>
          </cell>
          <cell r="U54">
            <v>0</v>
          </cell>
        </row>
        <row r="55">
          <cell r="C55" t="str">
            <v>Kolannawa</v>
          </cell>
          <cell r="D55">
            <v>270.85023000000001</v>
          </cell>
          <cell r="E55">
            <v>0</v>
          </cell>
          <cell r="F55">
            <v>0</v>
          </cell>
          <cell r="G55">
            <v>38.56485</v>
          </cell>
          <cell r="H55">
            <v>0</v>
          </cell>
          <cell r="I55">
            <v>0</v>
          </cell>
          <cell r="J55">
            <v>301.33366000000001</v>
          </cell>
          <cell r="K55">
            <v>0</v>
          </cell>
          <cell r="L55">
            <v>0</v>
          </cell>
          <cell r="M55">
            <v>224.11713</v>
          </cell>
          <cell r="N55">
            <v>0</v>
          </cell>
          <cell r="O55">
            <v>0</v>
          </cell>
          <cell r="P55">
            <v>834.86586999999997</v>
          </cell>
          <cell r="Q55">
            <v>0</v>
          </cell>
          <cell r="R55">
            <v>0</v>
          </cell>
          <cell r="S55">
            <v>0</v>
          </cell>
          <cell r="T55">
            <v>0</v>
          </cell>
          <cell r="U55">
            <v>0</v>
          </cell>
        </row>
        <row r="56">
          <cell r="C56" t="str">
            <v>Avissawella</v>
          </cell>
          <cell r="D56">
            <v>376.63992999999999</v>
          </cell>
          <cell r="E56">
            <v>0</v>
          </cell>
          <cell r="F56">
            <v>0</v>
          </cell>
          <cell r="G56">
            <v>49.604500000000002</v>
          </cell>
          <cell r="H56">
            <v>0</v>
          </cell>
          <cell r="I56">
            <v>0</v>
          </cell>
          <cell r="J56">
            <v>350.72633999999999</v>
          </cell>
          <cell r="K56">
            <v>0</v>
          </cell>
          <cell r="L56">
            <v>0</v>
          </cell>
          <cell r="M56">
            <v>169.99892</v>
          </cell>
          <cell r="N56">
            <v>0</v>
          </cell>
          <cell r="O56">
            <v>0</v>
          </cell>
          <cell r="P56">
            <v>946.9696899999999</v>
          </cell>
          <cell r="Q56">
            <v>0</v>
          </cell>
          <cell r="R56">
            <v>0</v>
          </cell>
          <cell r="S56">
            <v>0</v>
          </cell>
          <cell r="T56">
            <v>0</v>
          </cell>
          <cell r="U56">
            <v>0</v>
          </cell>
        </row>
        <row r="57">
          <cell r="C57" t="str">
            <v>Homagama</v>
          </cell>
          <cell r="D57">
            <v>376.08026000000001</v>
          </cell>
          <cell r="E57">
            <v>0</v>
          </cell>
          <cell r="F57">
            <v>0</v>
          </cell>
          <cell r="G57">
            <v>46.696919999999999</v>
          </cell>
          <cell r="H57">
            <v>0</v>
          </cell>
          <cell r="I57">
            <v>0</v>
          </cell>
          <cell r="J57">
            <v>591.87307999999996</v>
          </cell>
          <cell r="K57">
            <v>0</v>
          </cell>
          <cell r="L57">
            <v>0</v>
          </cell>
          <cell r="M57">
            <v>264.39976999999999</v>
          </cell>
          <cell r="N57">
            <v>0</v>
          </cell>
          <cell r="O57">
            <v>0</v>
          </cell>
          <cell r="P57">
            <v>1279.0500299999999</v>
          </cell>
          <cell r="Q57">
            <v>0</v>
          </cell>
          <cell r="R57">
            <v>0</v>
          </cell>
          <cell r="S57">
            <v>0</v>
          </cell>
          <cell r="T57">
            <v>0</v>
          </cell>
          <cell r="U57">
            <v>0</v>
          </cell>
        </row>
        <row r="58">
          <cell r="C58" t="str">
            <v>Galle</v>
          </cell>
          <cell r="D58">
            <v>399.29016999999999</v>
          </cell>
          <cell r="E58">
            <v>0</v>
          </cell>
          <cell r="F58">
            <v>0</v>
          </cell>
          <cell r="G58">
            <v>50.920850000000002</v>
          </cell>
          <cell r="H58">
            <v>0</v>
          </cell>
          <cell r="I58">
            <v>0</v>
          </cell>
          <cell r="J58">
            <v>432.72500000000002</v>
          </cell>
          <cell r="K58">
            <v>0</v>
          </cell>
          <cell r="L58">
            <v>0</v>
          </cell>
          <cell r="M58">
            <v>312.02825000000001</v>
          </cell>
          <cell r="N58">
            <v>0</v>
          </cell>
          <cell r="O58">
            <v>0</v>
          </cell>
          <cell r="P58">
            <v>1194.9642699999999</v>
          </cell>
          <cell r="Q58">
            <v>0</v>
          </cell>
          <cell r="R58">
            <v>0</v>
          </cell>
          <cell r="S58">
            <v>0</v>
          </cell>
          <cell r="T58">
            <v>0</v>
          </cell>
          <cell r="U58">
            <v>0</v>
          </cell>
        </row>
        <row r="59">
          <cell r="C59" t="str">
            <v>Kohuwela</v>
          </cell>
          <cell r="D59">
            <v>459.38492000000002</v>
          </cell>
          <cell r="E59">
            <v>0</v>
          </cell>
          <cell r="F59">
            <v>0</v>
          </cell>
          <cell r="G59">
            <v>37.952800000000003</v>
          </cell>
          <cell r="H59">
            <v>0</v>
          </cell>
          <cell r="I59">
            <v>0</v>
          </cell>
          <cell r="J59">
            <v>301.96931999999998</v>
          </cell>
          <cell r="K59">
            <v>0</v>
          </cell>
          <cell r="L59">
            <v>0</v>
          </cell>
          <cell r="M59">
            <v>248.59379999999999</v>
          </cell>
          <cell r="N59">
            <v>0</v>
          </cell>
          <cell r="O59">
            <v>0</v>
          </cell>
          <cell r="P59">
            <v>1047.90084</v>
          </cell>
          <cell r="Q59">
            <v>0</v>
          </cell>
          <cell r="R59">
            <v>0</v>
          </cell>
          <cell r="S59">
            <v>0</v>
          </cell>
          <cell r="T59">
            <v>0</v>
          </cell>
          <cell r="U59">
            <v>0</v>
          </cell>
        </row>
        <row r="60">
          <cell r="C60" t="str">
            <v>Mt lavinia-STC</v>
          </cell>
          <cell r="D60">
            <v>257.03228999999999</v>
          </cell>
          <cell r="E60">
            <v>0</v>
          </cell>
          <cell r="F60">
            <v>0</v>
          </cell>
          <cell r="G60">
            <v>102.56440000000001</v>
          </cell>
          <cell r="H60">
            <v>0</v>
          </cell>
          <cell r="I60">
            <v>0</v>
          </cell>
          <cell r="J60">
            <v>603.42277000000001</v>
          </cell>
          <cell r="K60">
            <v>0</v>
          </cell>
          <cell r="L60">
            <v>0</v>
          </cell>
          <cell r="M60">
            <v>309.77672999999999</v>
          </cell>
          <cell r="N60">
            <v>0</v>
          </cell>
          <cell r="O60">
            <v>0</v>
          </cell>
          <cell r="P60">
            <v>1272.79619</v>
          </cell>
          <cell r="Q60">
            <v>0</v>
          </cell>
          <cell r="R60">
            <v>0</v>
          </cell>
          <cell r="S60">
            <v>0</v>
          </cell>
          <cell r="T60">
            <v>0</v>
          </cell>
          <cell r="U60">
            <v>0</v>
          </cell>
        </row>
        <row r="61">
          <cell r="C61" t="str">
            <v>Express Matara</v>
          </cell>
          <cell r="D61">
            <v>4.7727500000000003</v>
          </cell>
          <cell r="E61">
            <v>2.7711000000000001</v>
          </cell>
          <cell r="F61">
            <v>-72.233048247988165</v>
          </cell>
          <cell r="G61">
            <v>10.018750000000001</v>
          </cell>
          <cell r="H61">
            <v>13.82893</v>
          </cell>
          <cell r="I61">
            <v>27.552240122699288</v>
          </cell>
          <cell r="J61">
            <v>140.37851000000001</v>
          </cell>
          <cell r="K61">
            <v>154.31888000000001</v>
          </cell>
          <cell r="L61">
            <v>9.0334831356992744</v>
          </cell>
          <cell r="M61">
            <v>45.45438</v>
          </cell>
          <cell r="N61">
            <v>28.222840000000001</v>
          </cell>
          <cell r="O61">
            <v>-61.055301309152441</v>
          </cell>
          <cell r="P61">
            <v>200.62439000000001</v>
          </cell>
          <cell r="Q61">
            <v>199.14175</v>
          </cell>
          <cell r="R61">
            <v>-0.74451489956275041</v>
          </cell>
          <cell r="S61">
            <v>0</v>
          </cell>
          <cell r="T61">
            <v>0</v>
          </cell>
          <cell r="U61">
            <v>0</v>
          </cell>
        </row>
        <row r="62">
          <cell r="C62" t="str">
            <v>Express Maligawatte</v>
          </cell>
          <cell r="D62">
            <v>70.042060000000006</v>
          </cell>
          <cell r="E62">
            <v>0</v>
          </cell>
          <cell r="F62">
            <v>0</v>
          </cell>
          <cell r="G62">
            <v>12.616</v>
          </cell>
          <cell r="H62">
            <v>0</v>
          </cell>
          <cell r="I62">
            <v>0</v>
          </cell>
          <cell r="J62">
            <v>41.986800000000002</v>
          </cell>
          <cell r="K62">
            <v>0</v>
          </cell>
          <cell r="L62">
            <v>0</v>
          </cell>
          <cell r="M62">
            <v>27.250039999999998</v>
          </cell>
          <cell r="N62">
            <v>0</v>
          </cell>
          <cell r="O62">
            <v>0</v>
          </cell>
          <cell r="P62">
            <v>151.89490000000001</v>
          </cell>
          <cell r="Q62">
            <v>0</v>
          </cell>
          <cell r="R62">
            <v>0</v>
          </cell>
          <cell r="S62">
            <v>0</v>
          </cell>
          <cell r="T62">
            <v>0</v>
          </cell>
          <cell r="U62">
            <v>0</v>
          </cell>
        </row>
        <row r="63">
          <cell r="C63" t="str">
            <v>Express Peradeniya</v>
          </cell>
          <cell r="D63">
            <v>61.566699999999997</v>
          </cell>
          <cell r="E63">
            <v>0</v>
          </cell>
          <cell r="F63">
            <v>0</v>
          </cell>
          <cell r="G63">
            <v>11.695399999999999</v>
          </cell>
          <cell r="H63">
            <v>0</v>
          </cell>
          <cell r="I63">
            <v>0</v>
          </cell>
          <cell r="J63">
            <v>-132.0087</v>
          </cell>
          <cell r="K63">
            <v>0</v>
          </cell>
          <cell r="L63">
            <v>0</v>
          </cell>
          <cell r="M63">
            <v>19.865300000000001</v>
          </cell>
          <cell r="N63">
            <v>0</v>
          </cell>
          <cell r="O63">
            <v>0</v>
          </cell>
          <cell r="P63">
            <v>-38.881299999999996</v>
          </cell>
          <cell r="Q63">
            <v>0</v>
          </cell>
          <cell r="R63">
            <v>0</v>
          </cell>
          <cell r="S63">
            <v>0</v>
          </cell>
          <cell r="T63">
            <v>0</v>
          </cell>
          <cell r="U63">
            <v>0</v>
          </cell>
        </row>
        <row r="64">
          <cell r="C64" t="str">
            <v>Express Alexandra Place</v>
          </cell>
          <cell r="D64">
            <v>160.33175</v>
          </cell>
          <cell r="E64">
            <v>0</v>
          </cell>
          <cell r="F64">
            <v>0</v>
          </cell>
          <cell r="G64">
            <v>22.18075</v>
          </cell>
          <cell r="H64">
            <v>0</v>
          </cell>
          <cell r="I64">
            <v>0</v>
          </cell>
          <cell r="J64">
            <v>141.38813999999999</v>
          </cell>
          <cell r="K64">
            <v>0</v>
          </cell>
          <cell r="L64">
            <v>0</v>
          </cell>
          <cell r="M64">
            <v>28.996510000000001</v>
          </cell>
          <cell r="N64">
            <v>0</v>
          </cell>
          <cell r="O64">
            <v>0</v>
          </cell>
          <cell r="P64">
            <v>352.89714999999995</v>
          </cell>
          <cell r="Q64">
            <v>0</v>
          </cell>
          <cell r="R64">
            <v>0</v>
          </cell>
          <cell r="S64">
            <v>0</v>
          </cell>
          <cell r="T64">
            <v>0</v>
          </cell>
          <cell r="U64">
            <v>0</v>
          </cell>
        </row>
        <row r="65">
          <cell r="C65" t="str">
            <v>Express Boralla</v>
          </cell>
          <cell r="D65">
            <v>54.385060000000003</v>
          </cell>
          <cell r="E65">
            <v>0</v>
          </cell>
          <cell r="F65">
            <v>0</v>
          </cell>
          <cell r="G65">
            <v>11.813499999999999</v>
          </cell>
          <cell r="H65">
            <v>0</v>
          </cell>
          <cell r="I65">
            <v>0</v>
          </cell>
          <cell r="J65">
            <v>59.539700000000003</v>
          </cell>
          <cell r="K65">
            <v>0</v>
          </cell>
          <cell r="L65">
            <v>0</v>
          </cell>
          <cell r="M65">
            <v>0.93838999999999995</v>
          </cell>
          <cell r="N65">
            <v>0</v>
          </cell>
          <cell r="O65">
            <v>0</v>
          </cell>
          <cell r="P65">
            <v>126.67665</v>
          </cell>
          <cell r="Q65">
            <v>0</v>
          </cell>
          <cell r="R65">
            <v>0</v>
          </cell>
          <cell r="S65">
            <v>0</v>
          </cell>
          <cell r="T65">
            <v>0</v>
          </cell>
          <cell r="U65">
            <v>0</v>
          </cell>
        </row>
        <row r="66">
          <cell r="C66" t="str">
            <v>Express Havelock Road</v>
          </cell>
          <cell r="D66">
            <v>64.534800000000004</v>
          </cell>
          <cell r="E66">
            <v>0</v>
          </cell>
          <cell r="F66">
            <v>0</v>
          </cell>
          <cell r="G66">
            <v>15.4335</v>
          </cell>
          <cell r="H66">
            <v>0</v>
          </cell>
          <cell r="I66">
            <v>0</v>
          </cell>
          <cell r="J66">
            <v>97.042699999999996</v>
          </cell>
          <cell r="K66">
            <v>0</v>
          </cell>
          <cell r="L66">
            <v>0</v>
          </cell>
          <cell r="M66">
            <v>5.8313499999999996</v>
          </cell>
          <cell r="N66">
            <v>0</v>
          </cell>
          <cell r="O66">
            <v>0</v>
          </cell>
          <cell r="P66">
            <v>182.84234999999998</v>
          </cell>
          <cell r="Q66">
            <v>0</v>
          </cell>
          <cell r="R66">
            <v>0</v>
          </cell>
          <cell r="S66">
            <v>0</v>
          </cell>
          <cell r="T66">
            <v>0</v>
          </cell>
          <cell r="U66">
            <v>0</v>
          </cell>
        </row>
        <row r="67">
          <cell r="C67" t="str">
            <v>Express Maradana</v>
          </cell>
          <cell r="D67">
            <v>14.133699999999999</v>
          </cell>
          <cell r="E67">
            <v>0</v>
          </cell>
          <cell r="F67">
            <v>0</v>
          </cell>
          <cell r="G67">
            <v>24.403300000000002</v>
          </cell>
          <cell r="H67">
            <v>0</v>
          </cell>
          <cell r="I67">
            <v>0</v>
          </cell>
          <cell r="J67">
            <v>16.640059999999998</v>
          </cell>
          <cell r="K67">
            <v>0</v>
          </cell>
          <cell r="L67">
            <v>0</v>
          </cell>
          <cell r="M67">
            <v>15.03125</v>
          </cell>
          <cell r="N67">
            <v>0</v>
          </cell>
          <cell r="O67">
            <v>0</v>
          </cell>
          <cell r="P67">
            <v>70.208309999999997</v>
          </cell>
          <cell r="Q67">
            <v>0</v>
          </cell>
          <cell r="R67">
            <v>0</v>
          </cell>
          <cell r="S67">
            <v>0</v>
          </cell>
          <cell r="T67">
            <v>0</v>
          </cell>
          <cell r="U67">
            <v>0</v>
          </cell>
        </row>
        <row r="68">
          <cell r="C68" t="str">
            <v>Food City</v>
          </cell>
          <cell r="D68">
            <v>18956.759060000004</v>
          </cell>
          <cell r="E68">
            <v>11958.62887</v>
          </cell>
          <cell r="F68">
            <v>-58.519503080790926</v>
          </cell>
          <cell r="G68">
            <v>3024.1938800000012</v>
          </cell>
          <cell r="H68">
            <v>1295.8563199999996</v>
          </cell>
          <cell r="I68">
            <v>-133.37416604952023</v>
          </cell>
          <cell r="J68">
            <v>33363.232870000014</v>
          </cell>
          <cell r="K68">
            <v>19039.758370000007</v>
          </cell>
          <cell r="L68">
            <v>-75.22928716663121</v>
          </cell>
          <cell r="M68">
            <v>29608.476809999993</v>
          </cell>
          <cell r="N68">
            <v>7610.251540000002</v>
          </cell>
          <cell r="O68">
            <v>-289.06042269924745</v>
          </cell>
          <cell r="P68">
            <v>84952.662620000003</v>
          </cell>
          <cell r="Q68">
            <v>39904.4951</v>
          </cell>
          <cell r="R68">
            <v>-112.88995740231782</v>
          </cell>
          <cell r="S68">
            <v>7488.1221800000003</v>
          </cell>
          <cell r="T68">
            <v>4379.7620100000004</v>
          </cell>
          <cell r="U68">
            <v>-70.97098342108319</v>
          </cell>
        </row>
        <row r="69">
          <cell r="D69">
            <v>18820.377550000005</v>
          </cell>
          <cell r="G69">
            <v>2989.8637300000009</v>
          </cell>
          <cell r="J69">
            <v>33312.876260000012</v>
          </cell>
          <cell r="M69">
            <v>29515.907089999993</v>
          </cell>
        </row>
        <row r="71">
          <cell r="B71">
            <v>1</v>
          </cell>
          <cell r="T71" t="str">
            <v>Schedule 3</v>
          </cell>
        </row>
        <row r="72">
          <cell r="B72" t="str">
            <v>CARGILLS ( CEYLON ) LTD</v>
          </cell>
        </row>
        <row r="74">
          <cell r="B74" t="str">
            <v xml:space="preserve"> Direct Expenses by Profit Centres/Divisions - Month of March 2004 </v>
          </cell>
        </row>
        <row r="75">
          <cell r="C75" t="str">
            <v>MTH V MTH</v>
          </cell>
          <cell r="U75">
            <v>38154.357810300928</v>
          </cell>
        </row>
        <row r="76">
          <cell r="B76" t="str">
            <v>Profit Centre</v>
          </cell>
          <cell r="D76" t="str">
            <v>Staff Related</v>
          </cell>
          <cell r="G76" t="str">
            <v xml:space="preserve">Administration </v>
          </cell>
          <cell r="J76" t="str">
            <v xml:space="preserve">Establishment </v>
          </cell>
          <cell r="M76" t="str">
            <v>Selling &amp; Distribution</v>
          </cell>
          <cell r="P76" t="str">
            <v>Direct Expenses</v>
          </cell>
          <cell r="S76" t="str">
            <v>D&amp;A and Finance</v>
          </cell>
        </row>
        <row r="77">
          <cell r="D77">
            <v>38047</v>
          </cell>
          <cell r="E77">
            <v>37681</v>
          </cell>
          <cell r="F77" t="str">
            <v>Var %</v>
          </cell>
          <cell r="G77">
            <v>38047</v>
          </cell>
          <cell r="H77">
            <v>37681</v>
          </cell>
          <cell r="I77" t="str">
            <v>Var %</v>
          </cell>
          <cell r="J77">
            <v>38047</v>
          </cell>
          <cell r="K77">
            <v>37681</v>
          </cell>
          <cell r="L77" t="str">
            <v>Var %</v>
          </cell>
          <cell r="M77">
            <v>38047</v>
          </cell>
          <cell r="N77">
            <v>37681</v>
          </cell>
          <cell r="O77" t="str">
            <v>Var %</v>
          </cell>
          <cell r="P77">
            <v>38047</v>
          </cell>
          <cell r="Q77">
            <v>37681</v>
          </cell>
          <cell r="R77" t="str">
            <v>Var %</v>
          </cell>
          <cell r="S77">
            <v>38047</v>
          </cell>
          <cell r="T77">
            <v>37681</v>
          </cell>
          <cell r="U77" t="str">
            <v>Var %</v>
          </cell>
        </row>
        <row r="78">
          <cell r="C78" t="str">
            <v>Department Store</v>
          </cell>
          <cell r="D78">
            <v>51.941209999999998</v>
          </cell>
          <cell r="E78">
            <v>26.241060000000001</v>
          </cell>
          <cell r="F78">
            <v>-97.938688452371963</v>
          </cell>
          <cell r="G78">
            <v>0.71250000000000002</v>
          </cell>
          <cell r="H78">
            <v>5.8999999999999997E-2</v>
          </cell>
          <cell r="I78">
            <v>-1107.6271186440679</v>
          </cell>
          <cell r="J78">
            <v>0</v>
          </cell>
          <cell r="K78">
            <v>4.734E-2</v>
          </cell>
          <cell r="L78">
            <v>100</v>
          </cell>
          <cell r="M78">
            <v>2.9966400000000002</v>
          </cell>
          <cell r="N78">
            <v>0.34649999999999997</v>
          </cell>
          <cell r="O78">
            <v>-764.83116883116895</v>
          </cell>
          <cell r="P78">
            <v>55.650349999999996</v>
          </cell>
          <cell r="Q78">
            <v>26.693899999999999</v>
          </cell>
          <cell r="R78">
            <v>-108.47590648050678</v>
          </cell>
          <cell r="S78">
            <v>6.0000000000000001E-3</v>
          </cell>
          <cell r="T78">
            <v>3.6600000000000001E-2</v>
          </cell>
          <cell r="U78">
            <v>83.606557377049185</v>
          </cell>
        </row>
        <row r="79">
          <cell r="C79" t="str">
            <v>Books &amp; Stationery</v>
          </cell>
          <cell r="D79">
            <v>223.49693000000002</v>
          </cell>
          <cell r="E79">
            <v>175.80788999999999</v>
          </cell>
          <cell r="F79">
            <v>-27.125654030658147</v>
          </cell>
          <cell r="G79">
            <v>26.082090000000001</v>
          </cell>
          <cell r="H79">
            <v>21.392889999999998</v>
          </cell>
          <cell r="I79">
            <v>-21.919432110388097</v>
          </cell>
          <cell r="J79">
            <v>144.91909000000001</v>
          </cell>
          <cell r="K79">
            <v>164.89400999999998</v>
          </cell>
          <cell r="L79">
            <v>12.113793581707407</v>
          </cell>
          <cell r="M79">
            <v>7.6789700000000005</v>
          </cell>
          <cell r="N79">
            <v>10.94561</v>
          </cell>
          <cell r="O79">
            <v>29.84429373968193</v>
          </cell>
          <cell r="P79">
            <v>402.17707999999999</v>
          </cell>
          <cell r="Q79">
            <v>373.04039999999998</v>
          </cell>
          <cell r="R79">
            <v>-7.8105963858070098</v>
          </cell>
          <cell r="S79">
            <v>4.024</v>
          </cell>
          <cell r="T79">
            <v>6.3455499999999994</v>
          </cell>
          <cell r="U79">
            <v>36.585481163965298</v>
          </cell>
        </row>
        <row r="80">
          <cell r="C80" t="str">
            <v>Hatton Liquor</v>
          </cell>
          <cell r="D80">
            <v>21.972999999999999</v>
          </cell>
          <cell r="E80">
            <v>21.00637</v>
          </cell>
          <cell r="F80">
            <v>-4.6016041800653733</v>
          </cell>
          <cell r="G80">
            <v>5.4332000000000003</v>
          </cell>
          <cell r="H80">
            <v>6.3239999999999998</v>
          </cell>
          <cell r="I80">
            <v>14.086021505376339</v>
          </cell>
          <cell r="J80">
            <v>4.5754999999999999</v>
          </cell>
          <cell r="K80">
            <v>3.4754999999999998</v>
          </cell>
          <cell r="L80">
            <v>-31.650122284563377</v>
          </cell>
          <cell r="M80">
            <v>92.401719999999997</v>
          </cell>
          <cell r="N80">
            <v>87.811970000000002</v>
          </cell>
          <cell r="O80">
            <v>-5.2267931126018414</v>
          </cell>
          <cell r="P80">
            <v>124.38342</v>
          </cell>
          <cell r="Q80">
            <v>118.61784</v>
          </cell>
          <cell r="R80">
            <v>-4.8606347915288293</v>
          </cell>
          <cell r="S80">
            <v>0</v>
          </cell>
          <cell r="T80">
            <v>0</v>
          </cell>
          <cell r="U80">
            <v>0</v>
          </cell>
        </row>
        <row r="81">
          <cell r="C81" t="str">
            <v>Retail Division</v>
          </cell>
          <cell r="D81">
            <v>19254.170200000004</v>
          </cell>
          <cell r="E81">
            <v>12181.68419</v>
          </cell>
          <cell r="F81">
            <v>-58.05835958057294</v>
          </cell>
          <cell r="G81">
            <v>3056.4216700000011</v>
          </cell>
          <cell r="H81">
            <v>1323.6322099999995</v>
          </cell>
          <cell r="I81">
            <v>-130.91170242827516</v>
          </cell>
          <cell r="J81">
            <v>33512.727460000016</v>
          </cell>
          <cell r="K81">
            <v>19208.175220000008</v>
          </cell>
          <cell r="L81">
            <v>-74.471166970123065</v>
          </cell>
          <cell r="M81">
            <v>29711.554139999993</v>
          </cell>
          <cell r="N81">
            <v>7709.3556200000021</v>
          </cell>
          <cell r="O81">
            <v>-285.39607724049944</v>
          </cell>
          <cell r="P81">
            <v>85534.873470000006</v>
          </cell>
          <cell r="Q81">
            <v>40422.847240000003</v>
          </cell>
          <cell r="R81">
            <v>-111.60031840943623</v>
          </cell>
          <cell r="S81">
            <v>7492.15218</v>
          </cell>
          <cell r="T81">
            <v>4386.1441600000007</v>
          </cell>
          <cell r="U81">
            <v>-70.814088791828468</v>
          </cell>
        </row>
        <row r="82">
          <cell r="C82" t="str">
            <v>Commercial Division</v>
          </cell>
          <cell r="D82">
            <v>1457.1918499999999</v>
          </cell>
          <cell r="E82">
            <v>599.93955000000005</v>
          </cell>
          <cell r="F82">
            <v>-142.88977947861576</v>
          </cell>
          <cell r="G82">
            <v>906.1092799999999</v>
          </cell>
          <cell r="H82">
            <v>393.58544000000001</v>
          </cell>
          <cell r="I82">
            <v>-130.21920729587958</v>
          </cell>
          <cell r="J82">
            <v>216.25443999999999</v>
          </cell>
          <cell r="K82">
            <v>239.61190999999999</v>
          </cell>
          <cell r="L82">
            <v>9.7480421570029652</v>
          </cell>
          <cell r="M82">
            <v>884.08150000000001</v>
          </cell>
          <cell r="N82">
            <v>234.21950000000001</v>
          </cell>
          <cell r="O82">
            <v>-277.45853782456197</v>
          </cell>
          <cell r="P82">
            <v>3463.6370699999998</v>
          </cell>
          <cell r="Q82">
            <v>1467.3564000000001</v>
          </cell>
          <cell r="R82">
            <v>-136.04606692688972</v>
          </cell>
          <cell r="S82">
            <v>63.005749999999999</v>
          </cell>
          <cell r="T82">
            <v>83.200659999999999</v>
          </cell>
          <cell r="U82">
            <v>24.272535818826437</v>
          </cell>
        </row>
        <row r="83">
          <cell r="C83" t="str">
            <v>Hampers</v>
          </cell>
          <cell r="D83">
            <v>13.650499999999999</v>
          </cell>
          <cell r="E83">
            <v>0</v>
          </cell>
          <cell r="F83">
            <v>0</v>
          </cell>
          <cell r="G83">
            <v>0.3034</v>
          </cell>
          <cell r="H83">
            <v>0</v>
          </cell>
          <cell r="I83">
            <v>0</v>
          </cell>
          <cell r="J83">
            <v>0</v>
          </cell>
          <cell r="K83">
            <v>0</v>
          </cell>
          <cell r="L83">
            <v>0</v>
          </cell>
          <cell r="M83">
            <v>14.8005</v>
          </cell>
          <cell r="N83">
            <v>1.5055000000000001</v>
          </cell>
          <cell r="O83">
            <v>-883.09531717037521</v>
          </cell>
          <cell r="P83">
            <v>28.754399999999997</v>
          </cell>
          <cell r="Q83">
            <v>1.5055000000000001</v>
          </cell>
          <cell r="R83">
            <v>-1809.956824975091</v>
          </cell>
          <cell r="S83">
            <v>0</v>
          </cell>
          <cell r="T83">
            <v>0</v>
          </cell>
          <cell r="U83">
            <v>0</v>
          </cell>
        </row>
        <row r="84">
          <cell r="C84" t="str">
            <v xml:space="preserve">Wines &amp; Spirits </v>
          </cell>
          <cell r="D84">
            <v>498.68086</v>
          </cell>
          <cell r="E84">
            <v>184.32666</v>
          </cell>
          <cell r="F84">
            <v>-170.5419064176609</v>
          </cell>
          <cell r="G84">
            <v>102.47063</v>
          </cell>
          <cell r="H84">
            <v>126.1001</v>
          </cell>
          <cell r="I84">
            <v>18.73866079408343</v>
          </cell>
          <cell r="J84">
            <v>0.68049999999999999</v>
          </cell>
          <cell r="K84">
            <v>2.0074999999999998</v>
          </cell>
          <cell r="L84">
            <v>66.102117061021175</v>
          </cell>
          <cell r="M84">
            <v>225.05161000000001</v>
          </cell>
          <cell r="N84">
            <v>560.50175999999999</v>
          </cell>
          <cell r="O84">
            <v>59.848188523083323</v>
          </cell>
          <cell r="P84">
            <v>826.8836</v>
          </cell>
          <cell r="Q84">
            <v>872.93601999999998</v>
          </cell>
          <cell r="R84">
            <v>5.275577928380133</v>
          </cell>
          <cell r="S84">
            <v>-47.245239999999995</v>
          </cell>
          <cell r="T84">
            <v>-78.75648000000001</v>
          </cell>
          <cell r="U84">
            <v>-40.010980683748194</v>
          </cell>
        </row>
        <row r="85">
          <cell r="C85" t="str">
            <v>Total</v>
          </cell>
          <cell r="D85">
            <v>21223.693410000003</v>
          </cell>
          <cell r="E85">
            <v>12965.9504</v>
          </cell>
          <cell r="F85">
            <v>-63.687911454605008</v>
          </cell>
          <cell r="G85">
            <v>4065.3049800000008</v>
          </cell>
          <cell r="H85">
            <v>1843.3177499999997</v>
          </cell>
          <cell r="I85">
            <v>-120.54282176797796</v>
          </cell>
          <cell r="J85">
            <v>33729.662400000016</v>
          </cell>
          <cell r="K85">
            <v>19449.794630000008</v>
          </cell>
          <cell r="L85">
            <v>-73.419118513335178</v>
          </cell>
          <cell r="M85">
            <v>30835.487749999993</v>
          </cell>
          <cell r="N85">
            <v>8505.5823800000016</v>
          </cell>
          <cell r="O85">
            <v>-262.53235078301589</v>
          </cell>
          <cell r="P85">
            <v>89854.148540000009</v>
          </cell>
          <cell r="Q85">
            <v>42764.64516</v>
          </cell>
          <cell r="R85">
            <v>-110.11316287980164</v>
          </cell>
          <cell r="S85">
            <v>7507.9126900000001</v>
          </cell>
          <cell r="T85">
            <v>4390.5883400000012</v>
          </cell>
          <cell r="U85">
            <v>-71.000150972933113</v>
          </cell>
        </row>
        <row r="88">
          <cell r="D88">
            <v>0.30658999999650405</v>
          </cell>
        </row>
        <row r="98">
          <cell r="B98">
            <v>2</v>
          </cell>
          <cell r="T98" t="str">
            <v>Schedule 2</v>
          </cell>
          <cell r="U98">
            <v>0</v>
          </cell>
        </row>
        <row r="99">
          <cell r="B99" t="str">
            <v>CARGILLS ( CEYLON ) LTD</v>
          </cell>
        </row>
        <row r="101">
          <cell r="B101" t="str">
            <v xml:space="preserve"> Contribution by Profit Centres/Divisions - Month of March 2004</v>
          </cell>
        </row>
        <row r="102">
          <cell r="C102" t="str">
            <v>MTH V MTH</v>
          </cell>
          <cell r="U102">
            <v>38154.357810300928</v>
          </cell>
        </row>
        <row r="103">
          <cell r="B103" t="str">
            <v>Profit Centre</v>
          </cell>
          <cell r="D103" t="str">
            <v>Gross Turnover</v>
          </cell>
          <cell r="G103" t="str">
            <v>Achieved Gross Profit</v>
          </cell>
          <cell r="J103" t="str">
            <v>Other Income</v>
          </cell>
          <cell r="M103" t="str">
            <v>Direct Expenses</v>
          </cell>
          <cell r="P103" t="str">
            <v>D&amp;A and Finance</v>
          </cell>
          <cell r="S103" t="str">
            <v>Contribution</v>
          </cell>
        </row>
        <row r="104">
          <cell r="D104">
            <v>38047</v>
          </cell>
          <cell r="E104">
            <v>37681</v>
          </cell>
          <cell r="F104" t="str">
            <v>Var %</v>
          </cell>
          <cell r="G104">
            <v>38047</v>
          </cell>
          <cell r="H104">
            <v>37681</v>
          </cell>
          <cell r="I104" t="str">
            <v>Var %</v>
          </cell>
          <cell r="J104">
            <v>38047</v>
          </cell>
          <cell r="K104">
            <v>37681</v>
          </cell>
          <cell r="L104" t="str">
            <v>Var %</v>
          </cell>
          <cell r="M104">
            <v>38047</v>
          </cell>
          <cell r="N104">
            <v>37681</v>
          </cell>
          <cell r="O104" t="str">
            <v>Var %</v>
          </cell>
          <cell r="P104">
            <v>38047</v>
          </cell>
          <cell r="Q104">
            <v>37681</v>
          </cell>
          <cell r="R104" t="str">
            <v>Var %</v>
          </cell>
          <cell r="S104">
            <v>38047</v>
          </cell>
          <cell r="T104">
            <v>37681</v>
          </cell>
          <cell r="U104" t="str">
            <v>Var %</v>
          </cell>
        </row>
        <row r="105">
          <cell r="C105" t="str">
            <v>Staples Street</v>
          </cell>
          <cell r="D105">
            <v>50953.344799999999</v>
          </cell>
          <cell r="E105">
            <v>45538.596550000002</v>
          </cell>
          <cell r="F105">
            <v>11.890459215304904</v>
          </cell>
          <cell r="G105">
            <v>7793.8919299999998</v>
          </cell>
          <cell r="H105">
            <v>7339.4277000000002</v>
          </cell>
          <cell r="I105">
            <v>6.1920935606464189</v>
          </cell>
          <cell r="J105">
            <v>720.24698000000001</v>
          </cell>
          <cell r="K105">
            <v>669.08273999999994</v>
          </cell>
          <cell r="L105">
            <v>7.6469227109340867</v>
          </cell>
          <cell r="M105">
            <v>6098.3797400000003</v>
          </cell>
          <cell r="N105">
            <v>3625.4836700000001</v>
          </cell>
          <cell r="O105">
            <v>-68.208721789664011</v>
          </cell>
          <cell r="P105">
            <v>479.34224</v>
          </cell>
          <cell r="Q105">
            <v>487.80425000000002</v>
          </cell>
          <cell r="R105">
            <v>1.7347142834446443</v>
          </cell>
          <cell r="S105">
            <v>1936.4169299999994</v>
          </cell>
          <cell r="T105">
            <v>3895.2225200000003</v>
          </cell>
          <cell r="U105">
            <v>-50.287386149123023</v>
          </cell>
        </row>
        <row r="106">
          <cell r="C106" t="str">
            <v>Kandy</v>
          </cell>
          <cell r="D106">
            <v>43226.673849999999</v>
          </cell>
          <cell r="E106">
            <v>34976.819000000003</v>
          </cell>
          <cell r="F106">
            <v>23.586635622867806</v>
          </cell>
          <cell r="G106">
            <v>5161.4625999999998</v>
          </cell>
          <cell r="H106">
            <v>4522.9411700000001</v>
          </cell>
          <cell r="I106">
            <v>14.117394102652009</v>
          </cell>
          <cell r="J106">
            <v>305.32407999999998</v>
          </cell>
          <cell r="K106">
            <v>403.61878999999999</v>
          </cell>
          <cell r="L106">
            <v>-24.35335332133571</v>
          </cell>
          <cell r="M106">
            <v>3331.0489200000002</v>
          </cell>
          <cell r="N106">
            <v>2439.09384</v>
          </cell>
          <cell r="O106">
            <v>-36.569116996335005</v>
          </cell>
          <cell r="P106">
            <v>397.74952000000002</v>
          </cell>
          <cell r="Q106">
            <v>318.19204000000002</v>
          </cell>
          <cell r="R106">
            <v>-25.00297619010205</v>
          </cell>
          <cell r="S106">
            <v>1737.9882399999999</v>
          </cell>
          <cell r="T106">
            <v>2169.2740800000006</v>
          </cell>
          <cell r="U106">
            <v>-19.881574392849455</v>
          </cell>
        </row>
        <row r="107">
          <cell r="C107" t="str">
            <v>Mount Lavinia</v>
          </cell>
          <cell r="D107">
            <v>25776.7238</v>
          </cell>
          <cell r="E107">
            <v>19909.472399999999</v>
          </cell>
          <cell r="F107">
            <v>29.469647824519956</v>
          </cell>
          <cell r="G107">
            <v>2768.2224500000002</v>
          </cell>
          <cell r="H107">
            <v>2176.7368999999999</v>
          </cell>
          <cell r="I107">
            <v>27.173038229838454</v>
          </cell>
          <cell r="J107">
            <v>-74.541259999999994</v>
          </cell>
          <cell r="K107">
            <v>179.47989000000001</v>
          </cell>
          <cell r="L107">
            <v>-141.53181729719134</v>
          </cell>
          <cell r="M107">
            <v>2356.1375399999997</v>
          </cell>
          <cell r="N107">
            <v>1168.6015400000001</v>
          </cell>
          <cell r="O107">
            <v>-101.6202665623733</v>
          </cell>
          <cell r="P107">
            <v>84.512299999999996</v>
          </cell>
          <cell r="Q107">
            <v>91.80565</v>
          </cell>
          <cell r="R107">
            <v>7.9443367592299641</v>
          </cell>
          <cell r="S107">
            <v>253.03135000000054</v>
          </cell>
          <cell r="T107">
            <v>1095.8095999999998</v>
          </cell>
          <cell r="U107">
            <v>-76.909186595919536</v>
          </cell>
        </row>
        <row r="108">
          <cell r="C108" t="str">
            <v>Wellawatte</v>
          </cell>
          <cell r="D108">
            <v>10074.426799999999</v>
          </cell>
          <cell r="E108">
            <v>6950.7560000000003</v>
          </cell>
          <cell r="F108">
            <v>44.94001515806336</v>
          </cell>
          <cell r="G108">
            <v>1381.62337</v>
          </cell>
          <cell r="H108">
            <v>1170.62293</v>
          </cell>
          <cell r="I108">
            <v>18.024628989626919</v>
          </cell>
          <cell r="J108">
            <v>94.166539999999998</v>
          </cell>
          <cell r="K108">
            <v>49.788629999999998</v>
          </cell>
          <cell r="L108">
            <v>89.132619234552152</v>
          </cell>
          <cell r="M108">
            <v>1637.8291900000002</v>
          </cell>
          <cell r="N108">
            <v>576.06632000000002</v>
          </cell>
          <cell r="O108">
            <v>-184.31261004809306</v>
          </cell>
          <cell r="P108">
            <v>26.886500000000002</v>
          </cell>
          <cell r="Q108">
            <v>29.9407</v>
          </cell>
          <cell r="R108">
            <v>10.200830307908626</v>
          </cell>
          <cell r="S108">
            <v>-188.9257800000002</v>
          </cell>
          <cell r="T108">
            <v>614.40454</v>
          </cell>
          <cell r="U108">
            <v>-130.74941145454432</v>
          </cell>
        </row>
        <row r="109">
          <cell r="C109" t="str">
            <v>Bambalapitiya</v>
          </cell>
          <cell r="D109">
            <v>16224.57915</v>
          </cell>
          <cell r="E109">
            <v>15744.4184</v>
          </cell>
          <cell r="F109">
            <v>3.0497204647457736</v>
          </cell>
          <cell r="G109">
            <v>2379.5506099999998</v>
          </cell>
          <cell r="H109">
            <v>2473.0450999999998</v>
          </cell>
          <cell r="I109">
            <v>-3.780541244476296</v>
          </cell>
          <cell r="J109">
            <v>295.97003000000001</v>
          </cell>
          <cell r="K109">
            <v>277.93068</v>
          </cell>
          <cell r="L109">
            <v>6.4905932659179673</v>
          </cell>
          <cell r="M109">
            <v>2222.6025500000001</v>
          </cell>
          <cell r="N109">
            <v>1883.05034</v>
          </cell>
          <cell r="O109">
            <v>-18.032030412952214</v>
          </cell>
          <cell r="P109">
            <v>66.259770000000003</v>
          </cell>
          <cell r="Q109">
            <v>66.600210000000004</v>
          </cell>
          <cell r="R109">
            <v>0.51116955937526465</v>
          </cell>
          <cell r="S109">
            <v>386.65831999999966</v>
          </cell>
          <cell r="T109">
            <v>801.32522999999969</v>
          </cell>
          <cell r="U109">
            <v>-51.747641840754241</v>
          </cell>
        </row>
        <row r="110">
          <cell r="C110" t="str">
            <v>Nuwara Eliya</v>
          </cell>
          <cell r="D110">
            <v>9985.8201499999996</v>
          </cell>
          <cell r="E110">
            <v>7261.64545</v>
          </cell>
          <cell r="F110">
            <v>37.514564966814781</v>
          </cell>
          <cell r="G110">
            <v>1234.4378999999999</v>
          </cell>
          <cell r="H110">
            <v>874.13211000000001</v>
          </cell>
          <cell r="I110">
            <v>41.218688328472439</v>
          </cell>
          <cell r="J110">
            <v>23.408080000000002</v>
          </cell>
          <cell r="K110">
            <v>174.63765000000001</v>
          </cell>
          <cell r="L110">
            <v>-86.596200761977727</v>
          </cell>
          <cell r="M110">
            <v>1259.4793999999999</v>
          </cell>
          <cell r="N110">
            <v>727.61845999999991</v>
          </cell>
          <cell r="O110">
            <v>-73.096130628681422</v>
          </cell>
          <cell r="P110">
            <v>163.31492999999998</v>
          </cell>
          <cell r="Q110">
            <v>186.25728000000001</v>
          </cell>
          <cell r="R110">
            <v>12.317558808976505</v>
          </cell>
          <cell r="S110">
            <v>-164.94835000000009</v>
          </cell>
          <cell r="T110">
            <v>134.89402000000021</v>
          </cell>
          <cell r="U110">
            <v>-222.27995725829791</v>
          </cell>
        </row>
        <row r="111">
          <cell r="C111" t="str">
            <v>Bandarawela</v>
          </cell>
          <cell r="D111">
            <v>21797.806400000001</v>
          </cell>
          <cell r="E111">
            <v>17678.9915</v>
          </cell>
          <cell r="F111">
            <v>23.297793315868731</v>
          </cell>
          <cell r="G111">
            <v>1591.4372000000001</v>
          </cell>
          <cell r="H111">
            <v>1298.4295</v>
          </cell>
          <cell r="I111">
            <v>22.566315691379479</v>
          </cell>
          <cell r="J111">
            <v>-203.71975</v>
          </cell>
          <cell r="K111">
            <v>91.160849999999996</v>
          </cell>
          <cell r="L111">
            <v>-323.47285046157424</v>
          </cell>
          <cell r="M111">
            <v>1533.7796799999999</v>
          </cell>
          <cell r="N111">
            <v>730.17792000000009</v>
          </cell>
          <cell r="O111">
            <v>-110.05560946022577</v>
          </cell>
          <cell r="P111">
            <v>46.043670000000006</v>
          </cell>
          <cell r="Q111">
            <v>49.369170000000004</v>
          </cell>
          <cell r="R111">
            <v>6.7359852312688222</v>
          </cell>
          <cell r="S111">
            <v>-192.10589999999979</v>
          </cell>
          <cell r="T111">
            <v>610.0432599999998</v>
          </cell>
          <cell r="U111">
            <v>-131.49053724485046</v>
          </cell>
        </row>
        <row r="112">
          <cell r="C112" t="str">
            <v>Maharagama</v>
          </cell>
          <cell r="D112">
            <v>18128.947899999999</v>
          </cell>
          <cell r="E112">
            <v>13869.589900000001</v>
          </cell>
          <cell r="F112">
            <v>30.710050049857625</v>
          </cell>
          <cell r="G112">
            <v>2775.8892099999998</v>
          </cell>
          <cell r="H112">
            <v>2277.2432800000001</v>
          </cell>
          <cell r="I112">
            <v>21.896910812269457</v>
          </cell>
          <cell r="J112">
            <v>195.14322999999999</v>
          </cell>
          <cell r="K112">
            <v>2.3718599999999999</v>
          </cell>
          <cell r="L112">
            <v>8127.4345872016056</v>
          </cell>
          <cell r="M112">
            <v>2104.3396600000001</v>
          </cell>
          <cell r="N112">
            <v>1262.0089499999999</v>
          </cell>
          <cell r="O112">
            <v>-66.745224746623251</v>
          </cell>
          <cell r="P112">
            <v>74.417500000000004</v>
          </cell>
          <cell r="Q112">
            <v>83.376300000000001</v>
          </cell>
          <cell r="R112">
            <v>10.745019867756181</v>
          </cell>
          <cell r="S112">
            <v>792.27527999999984</v>
          </cell>
          <cell r="T112">
            <v>934.22989000000041</v>
          </cell>
          <cell r="U112">
            <v>-15.194826404023587</v>
          </cell>
        </row>
        <row r="113">
          <cell r="C113" t="str">
            <v>Kiribathgoda</v>
          </cell>
          <cell r="D113">
            <v>7457.2150000000001</v>
          </cell>
          <cell r="E113">
            <v>11227.549150000001</v>
          </cell>
          <cell r="F113">
            <v>-33.581096814882351</v>
          </cell>
          <cell r="G113">
            <v>1049.63474</v>
          </cell>
          <cell r="H113">
            <v>1760.2980399999999</v>
          </cell>
          <cell r="I113">
            <v>-40.371760000369029</v>
          </cell>
          <cell r="J113">
            <v>89.226730000000003</v>
          </cell>
          <cell r="K113">
            <v>90.25421</v>
          </cell>
          <cell r="L113">
            <v>-1.1384288888019705</v>
          </cell>
          <cell r="M113">
            <v>255.43209000000004</v>
          </cell>
          <cell r="N113">
            <v>1009.76122</v>
          </cell>
          <cell r="O113">
            <v>74.703713616571648</v>
          </cell>
          <cell r="P113">
            <v>37.235500000000002</v>
          </cell>
          <cell r="Q113">
            <v>43.111899999999999</v>
          </cell>
          <cell r="R113">
            <v>13.630575316791877</v>
          </cell>
          <cell r="S113">
            <v>846.19388000000004</v>
          </cell>
          <cell r="T113">
            <v>797.67912999999999</v>
          </cell>
          <cell r="U113">
            <v>6.0819881297383391</v>
          </cell>
        </row>
        <row r="114">
          <cell r="C114" t="str">
            <v>Nugegoda</v>
          </cell>
          <cell r="D114">
            <v>19144.190050000001</v>
          </cell>
          <cell r="E114">
            <v>17691.716349999999</v>
          </cell>
          <cell r="F114">
            <v>8.209908362000176</v>
          </cell>
          <cell r="G114">
            <v>2821.28458</v>
          </cell>
          <cell r="H114">
            <v>2715.9064800000001</v>
          </cell>
          <cell r="I114">
            <v>3.8800341902788902</v>
          </cell>
          <cell r="J114">
            <v>375.66217999999998</v>
          </cell>
          <cell r="K114">
            <v>295.71132</v>
          </cell>
          <cell r="L114">
            <v>27.036793856927755</v>
          </cell>
          <cell r="M114">
            <v>2572.0206899999998</v>
          </cell>
          <cell r="N114">
            <v>1738.0266799999999</v>
          </cell>
          <cell r="O114">
            <v>-47.98510975677312</v>
          </cell>
          <cell r="P114">
            <v>130.95752999999999</v>
          </cell>
          <cell r="Q114">
            <v>72.309299999999993</v>
          </cell>
          <cell r="R114">
            <v>-81.107450908804267</v>
          </cell>
          <cell r="S114">
            <v>493.96853999999996</v>
          </cell>
          <cell r="T114">
            <v>1201.2818200000002</v>
          </cell>
          <cell r="U114">
            <v>-58.879878828100473</v>
          </cell>
        </row>
        <row r="115">
          <cell r="C115" t="str">
            <v>Fort</v>
          </cell>
          <cell r="D115">
            <v>13438.687449999999</v>
          </cell>
          <cell r="E115">
            <v>11708.384</v>
          </cell>
          <cell r="F115">
            <v>14.778328503745685</v>
          </cell>
          <cell r="G115">
            <v>1502.5535299999999</v>
          </cell>
          <cell r="H115">
            <v>1312.4418599999999</v>
          </cell>
          <cell r="I115">
            <v>14.485340325856416</v>
          </cell>
          <cell r="J115">
            <v>17.708069999999999</v>
          </cell>
          <cell r="K115">
            <v>118.69438</v>
          </cell>
          <cell r="L115">
            <v>-85.08095328523558</v>
          </cell>
          <cell r="M115">
            <v>905.57070999999996</v>
          </cell>
          <cell r="N115">
            <v>446.33885000000004</v>
          </cell>
          <cell r="O115">
            <v>-102.88861478224445</v>
          </cell>
          <cell r="P115">
            <v>35.716500000000003</v>
          </cell>
          <cell r="Q115">
            <v>42.454900000000002</v>
          </cell>
          <cell r="R115">
            <v>15.87190171216985</v>
          </cell>
          <cell r="S115">
            <v>578.97438999999986</v>
          </cell>
          <cell r="T115">
            <v>942.34248999999977</v>
          </cell>
          <cell r="U115">
            <v>-38.560088699810194</v>
          </cell>
        </row>
        <row r="116">
          <cell r="C116" t="str">
            <v>Malabe</v>
          </cell>
          <cell r="D116">
            <v>15556.33165</v>
          </cell>
          <cell r="E116">
            <v>11203.84425</v>
          </cell>
          <cell r="F116">
            <v>38.848160532042378</v>
          </cell>
          <cell r="G116">
            <v>2040.3655100000001</v>
          </cell>
          <cell r="H116">
            <v>1696.78036</v>
          </cell>
          <cell r="I116">
            <v>20.249241333745761</v>
          </cell>
          <cell r="J116">
            <v>155.12173000000001</v>
          </cell>
          <cell r="K116">
            <v>124.42113000000001</v>
          </cell>
          <cell r="L116">
            <v>24.674747769932655</v>
          </cell>
          <cell r="M116">
            <v>1845.2642499999999</v>
          </cell>
          <cell r="N116">
            <v>1153.7240200000001</v>
          </cell>
          <cell r="O116">
            <v>-59.939831191171677</v>
          </cell>
          <cell r="P116">
            <v>55.165500000000002</v>
          </cell>
          <cell r="Q116">
            <v>141.03598</v>
          </cell>
          <cell r="R116">
            <v>60.885513044260044</v>
          </cell>
          <cell r="S116">
            <v>295.05748999999997</v>
          </cell>
          <cell r="T116">
            <v>526.44148999999982</v>
          </cell>
          <cell r="U116">
            <v>-43.952462789359544</v>
          </cell>
        </row>
        <row r="117">
          <cell r="C117" t="str">
            <v>Negombo</v>
          </cell>
          <cell r="D117">
            <v>22187.870050000001</v>
          </cell>
          <cell r="E117">
            <v>17911.385750000001</v>
          </cell>
          <cell r="F117">
            <v>23.875786941833908</v>
          </cell>
          <cell r="G117">
            <v>2529.34159</v>
          </cell>
          <cell r="H117">
            <v>2284.0308399999999</v>
          </cell>
          <cell r="I117">
            <v>10.740255591294909</v>
          </cell>
          <cell r="J117">
            <v>540.59082999999998</v>
          </cell>
          <cell r="K117">
            <v>281.09395999999998</v>
          </cell>
          <cell r="L117">
            <v>92.316771943445545</v>
          </cell>
          <cell r="M117">
            <v>2275.9837399999997</v>
          </cell>
          <cell r="N117">
            <v>1366.9985299999998</v>
          </cell>
          <cell r="O117">
            <v>-66.494966165033105</v>
          </cell>
          <cell r="P117">
            <v>98.669499999999999</v>
          </cell>
          <cell r="Q117">
            <v>189.93198000000001</v>
          </cell>
          <cell r="R117">
            <v>48.050086141364929</v>
          </cell>
          <cell r="S117">
            <v>695.27918000000045</v>
          </cell>
          <cell r="T117">
            <v>1008.1942900000001</v>
          </cell>
          <cell r="U117">
            <v>-31.037183319100098</v>
          </cell>
        </row>
        <row r="118">
          <cell r="C118" t="str">
            <v>Rajagiriya</v>
          </cell>
          <cell r="D118">
            <v>11876.105149999999</v>
          </cell>
          <cell r="E118">
            <v>9354.1792999999998</v>
          </cell>
          <cell r="F118">
            <v>26.960418109582307</v>
          </cell>
          <cell r="G118">
            <v>2160.95462</v>
          </cell>
          <cell r="H118">
            <v>1525.7094</v>
          </cell>
          <cell r="I118">
            <v>41.636055988119367</v>
          </cell>
          <cell r="J118">
            <v>120.80484</v>
          </cell>
          <cell r="K118">
            <v>95.396050000000002</v>
          </cell>
          <cell r="L118">
            <v>26.635054596076042</v>
          </cell>
          <cell r="M118">
            <v>1427.6061999999999</v>
          </cell>
          <cell r="N118">
            <v>786.00324000000001</v>
          </cell>
          <cell r="O118">
            <v>-81.628538834012943</v>
          </cell>
          <cell r="P118">
            <v>77.872010000000003</v>
          </cell>
          <cell r="Q118">
            <v>121.9652</v>
          </cell>
          <cell r="R118">
            <v>36.152271303617752</v>
          </cell>
          <cell r="S118">
            <v>776.28124999999977</v>
          </cell>
          <cell r="T118">
            <v>713.13701000000003</v>
          </cell>
          <cell r="U118">
            <v>8.8544331754706906</v>
          </cell>
        </row>
        <row r="119">
          <cell r="C119" t="str">
            <v>Boralesgamuwa</v>
          </cell>
          <cell r="D119">
            <v>6539.9362000000001</v>
          </cell>
          <cell r="E119">
            <v>4486.5346499999996</v>
          </cell>
          <cell r="F119">
            <v>45.768097433505851</v>
          </cell>
          <cell r="G119">
            <v>683.83014000000003</v>
          </cell>
          <cell r="H119">
            <v>676.34915999999998</v>
          </cell>
          <cell r="I119">
            <v>1.1060825447022133</v>
          </cell>
          <cell r="J119">
            <v>49.498249999999999</v>
          </cell>
          <cell r="K119">
            <v>55.195819999999998</v>
          </cell>
          <cell r="L119">
            <v>-10.322466447640418</v>
          </cell>
          <cell r="M119">
            <v>946.45719000000008</v>
          </cell>
          <cell r="N119">
            <v>702.86256000000003</v>
          </cell>
          <cell r="O119">
            <v>-34.657505444592189</v>
          </cell>
          <cell r="P119">
            <v>49.658499999999997</v>
          </cell>
          <cell r="Q119">
            <v>93.006360000000001</v>
          </cell>
          <cell r="R119">
            <v>46.607414804750988</v>
          </cell>
          <cell r="S119">
            <v>-262.78730000000007</v>
          </cell>
          <cell r="T119">
            <v>-64.323940000000022</v>
          </cell>
          <cell r="U119">
            <v>-308.53731907591475</v>
          </cell>
        </row>
        <row r="120">
          <cell r="C120" t="str">
            <v>Pitakotte</v>
          </cell>
          <cell r="D120">
            <v>11808.36665</v>
          </cell>
          <cell r="E120">
            <v>9434.7543499999992</v>
          </cell>
          <cell r="F120">
            <v>25.158178071695115</v>
          </cell>
          <cell r="G120">
            <v>1863.4870599999999</v>
          </cell>
          <cell r="H120">
            <v>1558.4112500000001</v>
          </cell>
          <cell r="I120">
            <v>19.576078522277083</v>
          </cell>
          <cell r="J120">
            <v>148.57875000000001</v>
          </cell>
          <cell r="K120">
            <v>137.62916000000001</v>
          </cell>
          <cell r="L120">
            <v>7.9558648763096427</v>
          </cell>
          <cell r="M120">
            <v>1413.02485</v>
          </cell>
          <cell r="N120">
            <v>1042.0474400000001</v>
          </cell>
          <cell r="O120">
            <v>-35.600817751637095</v>
          </cell>
          <cell r="P120">
            <v>177.22165000000001</v>
          </cell>
          <cell r="Q120">
            <v>191.60685000000001</v>
          </cell>
          <cell r="R120">
            <v>7.507664783383265</v>
          </cell>
          <cell r="S120">
            <v>421.81931000000003</v>
          </cell>
          <cell r="T120">
            <v>462.38612000000001</v>
          </cell>
          <cell r="U120">
            <v>-8.7733624011032116</v>
          </cell>
        </row>
        <row r="121">
          <cell r="C121" t="str">
            <v>Panadura</v>
          </cell>
          <cell r="D121">
            <v>15938.220950000001</v>
          </cell>
          <cell r="E121">
            <v>9879.7424499999997</v>
          </cell>
          <cell r="F121">
            <v>61.322231127593831</v>
          </cell>
          <cell r="G121">
            <v>2232.0362799999998</v>
          </cell>
          <cell r="H121">
            <v>1624.50641</v>
          </cell>
          <cell r="I121">
            <v>37.397813037869135</v>
          </cell>
          <cell r="J121">
            <v>135.93084999999999</v>
          </cell>
          <cell r="K121">
            <v>101.51125</v>
          </cell>
          <cell r="L121">
            <v>33.907177775862266</v>
          </cell>
          <cell r="M121">
            <v>1743.2498799999998</v>
          </cell>
          <cell r="N121">
            <v>1149.7620199999999</v>
          </cell>
          <cell r="O121">
            <v>-51.618321850638274</v>
          </cell>
          <cell r="P121">
            <v>260.17698999999999</v>
          </cell>
          <cell r="Q121">
            <v>246.77200999999999</v>
          </cell>
          <cell r="R121">
            <v>-5.4321314641802347</v>
          </cell>
          <cell r="S121">
            <v>364.54026000000016</v>
          </cell>
          <cell r="T121">
            <v>329.48363000000006</v>
          </cell>
          <cell r="U121">
            <v>10.63987002935475</v>
          </cell>
        </row>
        <row r="122">
          <cell r="C122" t="str">
            <v>Kurunagala</v>
          </cell>
          <cell r="D122">
            <v>15260.20665</v>
          </cell>
          <cell r="E122">
            <v>6972.2764999999999</v>
          </cell>
          <cell r="F122">
            <v>118.86978593003303</v>
          </cell>
          <cell r="G122">
            <v>1914.5135700000001</v>
          </cell>
          <cell r="H122">
            <v>1149.73578</v>
          </cell>
          <cell r="I122">
            <v>66.517699396986686</v>
          </cell>
          <cell r="J122">
            <v>156.64478</v>
          </cell>
          <cell r="K122">
            <v>137.55056999999999</v>
          </cell>
          <cell r="L122">
            <v>13.881592784384686</v>
          </cell>
          <cell r="M122">
            <v>1577.31683</v>
          </cell>
          <cell r="N122">
            <v>967.64445000000001</v>
          </cell>
          <cell r="O122">
            <v>-63.005826158564751</v>
          </cell>
          <cell r="P122">
            <v>272.19900000000001</v>
          </cell>
          <cell r="Q122">
            <v>288.44740000000002</v>
          </cell>
          <cell r="R122">
            <v>5.6330547614573758</v>
          </cell>
          <cell r="S122">
            <v>221.64252000000016</v>
          </cell>
          <cell r="T122">
            <v>31.194499999999834</v>
          </cell>
          <cell r="U122">
            <v>610.51794386831432</v>
          </cell>
        </row>
        <row r="123">
          <cell r="C123" t="str">
            <v>Matara</v>
          </cell>
          <cell r="D123">
            <v>12818.55725</v>
          </cell>
          <cell r="E123">
            <v>6868.9380000000001</v>
          </cell>
          <cell r="F123">
            <v>86.616289883530754</v>
          </cell>
          <cell r="G123">
            <v>1732.70803</v>
          </cell>
          <cell r="H123">
            <v>1163.6280200000001</v>
          </cell>
          <cell r="I123">
            <v>48.905664028269094</v>
          </cell>
          <cell r="J123">
            <v>88.813569999999999</v>
          </cell>
          <cell r="K123">
            <v>85.155529999999999</v>
          </cell>
          <cell r="L123">
            <v>4.2957163204785402</v>
          </cell>
          <cell r="M123">
            <v>1437.35574</v>
          </cell>
          <cell r="N123">
            <v>1215.9429599999999</v>
          </cell>
          <cell r="O123">
            <v>-18.209141981462697</v>
          </cell>
          <cell r="P123">
            <v>250.77728999999999</v>
          </cell>
          <cell r="Q123">
            <v>233.63173999999998</v>
          </cell>
          <cell r="R123">
            <v>-7.3387074889738928</v>
          </cell>
          <cell r="S123">
            <v>133.38857000000007</v>
          </cell>
          <cell r="T123">
            <v>-200.79114999999973</v>
          </cell>
          <cell r="U123">
            <v>166.43149859941548</v>
          </cell>
        </row>
        <row r="124">
          <cell r="C124" t="str">
            <v>Wattala</v>
          </cell>
          <cell r="D124">
            <v>16340.98605</v>
          </cell>
          <cell r="E124">
            <v>8232.0346000000009</v>
          </cell>
          <cell r="F124">
            <v>98.504827105561461</v>
          </cell>
          <cell r="G124">
            <v>1386.27009</v>
          </cell>
          <cell r="H124">
            <v>770.12721999999997</v>
          </cell>
          <cell r="I124">
            <v>80.005336001498563</v>
          </cell>
          <cell r="J124">
            <v>314.89728000000002</v>
          </cell>
          <cell r="K124">
            <v>135.81182999999999</v>
          </cell>
          <cell r="L124">
            <v>131.86292387047581</v>
          </cell>
          <cell r="M124">
            <v>1719.6094800000001</v>
          </cell>
          <cell r="N124">
            <v>1390.7312299999999</v>
          </cell>
          <cell r="O124">
            <v>-23.647865447013817</v>
          </cell>
          <cell r="P124">
            <v>378.21424000000002</v>
          </cell>
          <cell r="Q124">
            <v>381.45708999999999</v>
          </cell>
          <cell r="R124">
            <v>0.85012183152762366</v>
          </cell>
          <cell r="S124">
            <v>-396.65634999999997</v>
          </cell>
          <cell r="T124">
            <v>-866.24926999999991</v>
          </cell>
          <cell r="U124">
            <v>54.209906578045363</v>
          </cell>
        </row>
        <row r="125">
          <cell r="C125" t="str">
            <v>Pelawatte</v>
          </cell>
          <cell r="D125">
            <v>15843.4694</v>
          </cell>
          <cell r="E125">
            <v>12195.657149999999</v>
          </cell>
          <cell r="F125">
            <v>29.910747777949805</v>
          </cell>
          <cell r="G125">
            <v>2335.3323799999998</v>
          </cell>
          <cell r="H125">
            <v>2113.4704099999999</v>
          </cell>
          <cell r="I125">
            <v>10.497519574925109</v>
          </cell>
          <cell r="J125">
            <v>169.69927999999999</v>
          </cell>
          <cell r="K125">
            <v>136.12397000000001</v>
          </cell>
          <cell r="L125">
            <v>24.665244482657954</v>
          </cell>
          <cell r="M125">
            <v>1885.6584399999999</v>
          </cell>
          <cell r="N125">
            <v>1245.9169900000002</v>
          </cell>
          <cell r="O125">
            <v>-51.347036370376465</v>
          </cell>
          <cell r="P125">
            <v>274.25358</v>
          </cell>
          <cell r="Q125">
            <v>287.36268000000001</v>
          </cell>
          <cell r="R125">
            <v>4.5618658623311878</v>
          </cell>
          <cell r="S125">
            <v>345.11963999999972</v>
          </cell>
          <cell r="T125">
            <v>716.31470999999988</v>
          </cell>
          <cell r="U125">
            <v>-51.820109906719658</v>
          </cell>
        </row>
        <row r="126">
          <cell r="C126" t="str">
            <v>Gampaha</v>
          </cell>
          <cell r="D126">
            <v>13884.46675</v>
          </cell>
          <cell r="E126">
            <v>7370.9713499999998</v>
          </cell>
          <cell r="F126">
            <v>88.366852762221086</v>
          </cell>
          <cell r="G126">
            <v>1545.8888899999999</v>
          </cell>
          <cell r="H126">
            <v>1357.47057</v>
          </cell>
          <cell r="I126">
            <v>13.880103492777748</v>
          </cell>
          <cell r="J126">
            <v>234.98</v>
          </cell>
          <cell r="K126">
            <v>166.29704000000001</v>
          </cell>
          <cell r="L126">
            <v>41.301372531946434</v>
          </cell>
          <cell r="M126">
            <v>1701.02387</v>
          </cell>
          <cell r="N126">
            <v>1034.4094299999999</v>
          </cell>
          <cell r="O126">
            <v>-64.443963934087506</v>
          </cell>
          <cell r="P126">
            <v>431.85446000000002</v>
          </cell>
          <cell r="Q126">
            <v>433.32252</v>
          </cell>
          <cell r="R126">
            <v>0.33879153107481697</v>
          </cell>
          <cell r="S126">
            <v>-352.00944000000004</v>
          </cell>
          <cell r="T126">
            <v>56.03565999999995</v>
          </cell>
          <cell r="U126">
            <v>-728.18826440163343</v>
          </cell>
        </row>
        <row r="127">
          <cell r="C127" t="str">
            <v>Ja-ela</v>
          </cell>
          <cell r="D127">
            <v>13606.359399999999</v>
          </cell>
          <cell r="E127">
            <v>8893.2572999999993</v>
          </cell>
          <cell r="F127">
            <v>52.996353765678187</v>
          </cell>
          <cell r="G127">
            <v>1970.9730500000001</v>
          </cell>
          <cell r="H127">
            <v>1513.00513</v>
          </cell>
          <cell r="I127">
            <v>30.268761877892647</v>
          </cell>
          <cell r="J127">
            <v>434.07758999999999</v>
          </cell>
          <cell r="K127">
            <v>391.67734000000002</v>
          </cell>
          <cell r="L127">
            <v>10.8253007437193</v>
          </cell>
          <cell r="M127">
            <v>1777.16634</v>
          </cell>
          <cell r="N127">
            <v>1536.29123</v>
          </cell>
          <cell r="O127">
            <v>-15.67900052387853</v>
          </cell>
          <cell r="P127">
            <v>577.78900999999996</v>
          </cell>
          <cell r="Q127">
            <v>300.00049999999999</v>
          </cell>
          <cell r="R127">
            <v>-92.596015673307207</v>
          </cell>
          <cell r="S127">
            <v>50.095289999999977</v>
          </cell>
          <cell r="T127">
            <v>68.390739999999937</v>
          </cell>
          <cell r="U127">
            <v>-26.751355519767699</v>
          </cell>
        </row>
        <row r="128">
          <cell r="C128" t="str">
            <v>Piliyandala</v>
          </cell>
          <cell r="D128">
            <v>13386.82545</v>
          </cell>
          <cell r="E128">
            <v>5315.7843999999996</v>
          </cell>
          <cell r="F128">
            <v>151.83161021353692</v>
          </cell>
          <cell r="G128">
            <v>1588.67336</v>
          </cell>
          <cell r="H128">
            <v>826.99027999999998</v>
          </cell>
          <cell r="I128">
            <v>92.103026894100864</v>
          </cell>
          <cell r="J128">
            <v>115.66813</v>
          </cell>
          <cell r="K128">
            <v>99.087620000000001</v>
          </cell>
          <cell r="L128">
            <v>16.73318018941216</v>
          </cell>
          <cell r="M128">
            <v>1401.7361899999999</v>
          </cell>
          <cell r="N128">
            <v>1161.42914</v>
          </cell>
          <cell r="O128">
            <v>-20.690633782444952</v>
          </cell>
          <cell r="P128">
            <v>520.00062000000003</v>
          </cell>
          <cell r="Q128">
            <v>0</v>
          </cell>
          <cell r="R128">
            <v>0</v>
          </cell>
          <cell r="S128">
            <v>-217.39531999999986</v>
          </cell>
          <cell r="T128">
            <v>-235.35123999999996</v>
          </cell>
          <cell r="U128">
            <v>7.6294138072100699</v>
          </cell>
        </row>
        <row r="129">
          <cell r="C129" t="str">
            <v>Chilaw</v>
          </cell>
          <cell r="D129">
            <v>9529.3418500000007</v>
          </cell>
          <cell r="E129">
            <v>4515.3804</v>
          </cell>
          <cell r="F129">
            <v>111.04183935422142</v>
          </cell>
          <cell r="G129">
            <v>1203.39489</v>
          </cell>
          <cell r="H129">
            <v>692.42754000000002</v>
          </cell>
          <cell r="I129">
            <v>73.793620340404146</v>
          </cell>
          <cell r="J129">
            <v>137.42142999999999</v>
          </cell>
          <cell r="K129">
            <v>92.584320000000005</v>
          </cell>
          <cell r="L129">
            <v>48.428405587468781</v>
          </cell>
          <cell r="M129">
            <v>1404.9436699999999</v>
          </cell>
          <cell r="N129">
            <v>1111.78754</v>
          </cell>
          <cell r="O129">
            <v>-26.367999231220008</v>
          </cell>
          <cell r="P129">
            <v>382.76053000000002</v>
          </cell>
          <cell r="Q129">
            <v>0</v>
          </cell>
          <cell r="R129">
            <v>0</v>
          </cell>
          <cell r="S129">
            <v>-446.88788</v>
          </cell>
          <cell r="T129">
            <v>-326.77567999999997</v>
          </cell>
          <cell r="U129">
            <v>-36.756774555560575</v>
          </cell>
        </row>
        <row r="130">
          <cell r="C130" t="str">
            <v>Ratnapura</v>
          </cell>
          <cell r="D130">
            <v>17283.22005</v>
          </cell>
          <cell r="E130">
            <v>6412.3376500000004</v>
          </cell>
          <cell r="F130">
            <v>169.53072332365403</v>
          </cell>
          <cell r="G130">
            <v>1627.2352699999999</v>
          </cell>
          <cell r="H130">
            <v>785.63305000000003</v>
          </cell>
          <cell r="I130">
            <v>107.12408547476457</v>
          </cell>
          <cell r="J130">
            <v>379.74126000000001</v>
          </cell>
          <cell r="K130">
            <v>131.30212</v>
          </cell>
          <cell r="L130">
            <v>189.21182689205628</v>
          </cell>
          <cell r="M130">
            <v>1870.1763700000001</v>
          </cell>
          <cell r="N130">
            <v>1160.2257100000002</v>
          </cell>
          <cell r="O130">
            <v>-61.190736757591743</v>
          </cell>
          <cell r="P130">
            <v>607.11377000000005</v>
          </cell>
          <cell r="Q130">
            <v>0</v>
          </cell>
          <cell r="R130">
            <v>0</v>
          </cell>
          <cell r="S130">
            <v>-470.31361000000027</v>
          </cell>
          <cell r="T130">
            <v>-243.29054000000019</v>
          </cell>
          <cell r="U130">
            <v>-93.313562459107487</v>
          </cell>
        </row>
        <row r="131">
          <cell r="C131" t="str">
            <v>Nawala</v>
          </cell>
          <cell r="D131">
            <v>24257.456750000001</v>
          </cell>
          <cell r="E131">
            <v>12471.79975</v>
          </cell>
          <cell r="F131">
            <v>94.498446385013523</v>
          </cell>
          <cell r="G131">
            <v>3053.7750900000001</v>
          </cell>
          <cell r="H131">
            <v>2008.44067</v>
          </cell>
          <cell r="I131">
            <v>0</v>
          </cell>
          <cell r="J131">
            <v>560.62379999999996</v>
          </cell>
          <cell r="K131">
            <v>193.12530000000001</v>
          </cell>
          <cell r="L131">
            <v>0</v>
          </cell>
          <cell r="M131">
            <v>2376.45262</v>
          </cell>
          <cell r="N131">
            <v>1322.6445800000001</v>
          </cell>
          <cell r="O131">
            <v>-79.674317343817322</v>
          </cell>
          <cell r="P131">
            <v>631.88324999999998</v>
          </cell>
          <cell r="Q131">
            <v>0</v>
          </cell>
          <cell r="R131">
            <v>0</v>
          </cell>
          <cell r="S131">
            <v>606.06301999999994</v>
          </cell>
          <cell r="T131">
            <v>878.92138999999997</v>
          </cell>
          <cell r="U131">
            <v>0</v>
          </cell>
        </row>
        <row r="132">
          <cell r="C132" t="str">
            <v>Collupitiya</v>
          </cell>
          <cell r="D132">
            <v>12465.393400000001</v>
          </cell>
          <cell r="E132">
            <v>10600.969849999999</v>
          </cell>
          <cell r="F132">
            <v>17.587292260811417</v>
          </cell>
          <cell r="G132">
            <v>1843.8887099999999</v>
          </cell>
          <cell r="H132">
            <v>1711.4461799999999</v>
          </cell>
          <cell r="I132">
            <v>7.7386324821502734</v>
          </cell>
          <cell r="J132">
            <v>118.06963</v>
          </cell>
          <cell r="K132">
            <v>74.477429999999998</v>
          </cell>
          <cell r="L132">
            <v>58.530752202378636</v>
          </cell>
          <cell r="M132">
            <v>1680.1289800000002</v>
          </cell>
          <cell r="N132">
            <v>1552.7604800000001</v>
          </cell>
          <cell r="O132">
            <v>-8.2027139176030559</v>
          </cell>
          <cell r="P132">
            <v>258.31835999999998</v>
          </cell>
          <cell r="Q132">
            <v>0</v>
          </cell>
          <cell r="R132">
            <v>0</v>
          </cell>
          <cell r="S132">
            <v>23.51099999999974</v>
          </cell>
          <cell r="T132">
            <v>233.16312999999968</v>
          </cell>
          <cell r="U132">
            <v>-89.916501807125442</v>
          </cell>
        </row>
        <row r="133">
          <cell r="C133" t="str">
            <v>Dehiwala</v>
          </cell>
          <cell r="D133">
            <v>11224.807699999999</v>
          </cell>
          <cell r="E133">
            <v>10389.58985</v>
          </cell>
          <cell r="F133">
            <v>8.0389876988262348</v>
          </cell>
          <cell r="G133">
            <v>1600.44496</v>
          </cell>
          <cell r="H133">
            <v>1622.56303</v>
          </cell>
          <cell r="I133">
            <v>-1.3631562898360867</v>
          </cell>
          <cell r="J133">
            <v>140.07907</v>
          </cell>
          <cell r="K133">
            <v>79.084199999999996</v>
          </cell>
          <cell r="L133">
            <v>0</v>
          </cell>
          <cell r="M133">
            <v>2215.4512300000001</v>
          </cell>
          <cell r="N133">
            <v>1470.9387400000001</v>
          </cell>
          <cell r="O133">
            <v>-50.614785630025629</v>
          </cell>
          <cell r="P133">
            <v>166.23991000000001</v>
          </cell>
          <cell r="Q133">
            <v>0</v>
          </cell>
          <cell r="R133">
            <v>0</v>
          </cell>
          <cell r="S133">
            <v>-641.16711000000009</v>
          </cell>
          <cell r="T133">
            <v>230.70848999999998</v>
          </cell>
          <cell r="U133">
            <v>-377.91223027813157</v>
          </cell>
        </row>
        <row r="134">
          <cell r="C134" t="str">
            <v>Thimbirigasyaya</v>
          </cell>
          <cell r="D134">
            <v>8366.5553500000005</v>
          </cell>
          <cell r="E134">
            <v>6862.5653000000002</v>
          </cell>
          <cell r="F134">
            <v>21.915857762402645</v>
          </cell>
          <cell r="G134">
            <v>1247.24306</v>
          </cell>
          <cell r="H134">
            <v>1084.8035500000001</v>
          </cell>
          <cell r="I134">
            <v>14.974094618329733</v>
          </cell>
          <cell r="J134">
            <v>29.575140000000001</v>
          </cell>
          <cell r="K134">
            <v>10.058680000000001</v>
          </cell>
          <cell r="L134">
            <v>0</v>
          </cell>
          <cell r="M134">
            <v>1179.06161</v>
          </cell>
          <cell r="N134">
            <v>1103.91401</v>
          </cell>
          <cell r="O134">
            <v>-6.8073780493102003</v>
          </cell>
          <cell r="P134">
            <v>167.40797000000001</v>
          </cell>
          <cell r="Q134">
            <v>0</v>
          </cell>
          <cell r="R134">
            <v>0</v>
          </cell>
          <cell r="S134">
            <v>-69.651380000000046</v>
          </cell>
          <cell r="T134">
            <v>-9.0517799999997806</v>
          </cell>
          <cell r="U134">
            <v>-669.47716360761899</v>
          </cell>
        </row>
        <row r="135">
          <cell r="C135" t="str">
            <v>Moratuwa</v>
          </cell>
          <cell r="D135">
            <v>18185.849200000001</v>
          </cell>
          <cell r="E135">
            <v>8098.1611000000003</v>
          </cell>
          <cell r="F135">
            <v>124.56763918909934</v>
          </cell>
          <cell r="G135">
            <v>2662.2320599999998</v>
          </cell>
          <cell r="H135">
            <v>1298.1395399999999</v>
          </cell>
          <cell r="I135">
            <v>0</v>
          </cell>
          <cell r="J135">
            <v>180.68156999999999</v>
          </cell>
          <cell r="K135">
            <v>89.022620000000003</v>
          </cell>
          <cell r="L135">
            <v>0</v>
          </cell>
          <cell r="M135">
            <v>1760.2131400000001</v>
          </cell>
          <cell r="N135">
            <v>1370.4167999999997</v>
          </cell>
          <cell r="O135">
            <v>-28.443634082711217</v>
          </cell>
          <cell r="P135">
            <v>300.87083000000001</v>
          </cell>
          <cell r="Q135">
            <v>0</v>
          </cell>
          <cell r="R135">
            <v>0</v>
          </cell>
          <cell r="S135">
            <v>781.82965999999988</v>
          </cell>
          <cell r="T135">
            <v>16.745360000000119</v>
          </cell>
          <cell r="U135">
            <v>0</v>
          </cell>
        </row>
        <row r="136">
          <cell r="C136" t="str">
            <v>Kegalle</v>
          </cell>
          <cell r="D136">
            <v>9795.4645500000006</v>
          </cell>
          <cell r="E136">
            <v>0</v>
          </cell>
          <cell r="F136">
            <v>0</v>
          </cell>
          <cell r="G136">
            <v>848.40715</v>
          </cell>
          <cell r="H136">
            <v>6.5119800000000003</v>
          </cell>
          <cell r="I136">
            <v>0</v>
          </cell>
          <cell r="J136">
            <v>87.376080000000002</v>
          </cell>
          <cell r="K136">
            <v>5.0000000000000001E-4</v>
          </cell>
          <cell r="L136">
            <v>0</v>
          </cell>
          <cell r="M136">
            <v>1480.8770400000003</v>
          </cell>
          <cell r="N136">
            <v>75.3994</v>
          </cell>
          <cell r="O136">
            <v>-1864.0435335029197</v>
          </cell>
          <cell r="P136">
            <v>0</v>
          </cell>
          <cell r="Q136">
            <v>0</v>
          </cell>
          <cell r="R136">
            <v>0</v>
          </cell>
          <cell r="S136">
            <v>-545.0938100000003</v>
          </cell>
          <cell r="T136">
            <v>-68.886920000000003</v>
          </cell>
          <cell r="U136">
            <v>0</v>
          </cell>
        </row>
        <row r="137">
          <cell r="C137" t="str">
            <v>Kadawatha</v>
          </cell>
          <cell r="D137">
            <v>6489.8042500000001</v>
          </cell>
          <cell r="E137">
            <v>0</v>
          </cell>
          <cell r="F137">
            <v>0</v>
          </cell>
          <cell r="G137">
            <v>965.92587000000003</v>
          </cell>
          <cell r="H137">
            <v>-2.2936899999999998</v>
          </cell>
          <cell r="I137">
            <v>0</v>
          </cell>
          <cell r="J137">
            <v>86.652460000000005</v>
          </cell>
          <cell r="K137">
            <v>5.0000000000000001E-4</v>
          </cell>
          <cell r="L137">
            <v>0</v>
          </cell>
          <cell r="M137">
            <v>1262.7536599999999</v>
          </cell>
          <cell r="N137">
            <v>177.27506</v>
          </cell>
          <cell r="O137">
            <v>-612.3132041247087</v>
          </cell>
          <cell r="P137">
            <v>0</v>
          </cell>
          <cell r="Q137">
            <v>0</v>
          </cell>
          <cell r="R137">
            <v>0</v>
          </cell>
          <cell r="S137">
            <v>-210.1753299999998</v>
          </cell>
          <cell r="T137">
            <v>-179.56825000000001</v>
          </cell>
          <cell r="U137">
            <v>0</v>
          </cell>
        </row>
        <row r="138">
          <cell r="C138" t="str">
            <v>Aluthgama</v>
          </cell>
          <cell r="D138">
            <v>8325.7654500000008</v>
          </cell>
          <cell r="E138">
            <v>0</v>
          </cell>
          <cell r="F138">
            <v>0</v>
          </cell>
          <cell r="G138">
            <v>1349.3875700000001</v>
          </cell>
          <cell r="H138">
            <v>5.0000000000000001E-4</v>
          </cell>
          <cell r="I138">
            <v>0</v>
          </cell>
          <cell r="J138">
            <v>90.766350000000003</v>
          </cell>
          <cell r="K138">
            <v>5.0000000000000001E-4</v>
          </cell>
          <cell r="L138">
            <v>0</v>
          </cell>
          <cell r="M138">
            <v>1497.7725699999999</v>
          </cell>
          <cell r="N138">
            <v>0</v>
          </cell>
          <cell r="O138">
            <v>0</v>
          </cell>
          <cell r="P138">
            <v>0</v>
          </cell>
          <cell r="Q138">
            <v>0</v>
          </cell>
          <cell r="R138">
            <v>0</v>
          </cell>
          <cell r="S138">
            <v>-57.618649999999661</v>
          </cell>
          <cell r="T138">
            <v>1E-3</v>
          </cell>
          <cell r="U138">
            <v>0</v>
          </cell>
        </row>
        <row r="139">
          <cell r="C139" t="str">
            <v>Park Road</v>
          </cell>
          <cell r="D139">
            <v>13786.7505</v>
          </cell>
          <cell r="E139">
            <v>0</v>
          </cell>
          <cell r="F139">
            <v>0</v>
          </cell>
          <cell r="G139">
            <v>1879.84319</v>
          </cell>
          <cell r="H139">
            <v>5.0000000000000001E-4</v>
          </cell>
          <cell r="I139">
            <v>0</v>
          </cell>
          <cell r="J139">
            <v>93.802999999999997</v>
          </cell>
          <cell r="K139">
            <v>5.0000000000000001E-4</v>
          </cell>
          <cell r="L139">
            <v>0</v>
          </cell>
          <cell r="M139">
            <v>1603.61834</v>
          </cell>
          <cell r="N139">
            <v>0</v>
          </cell>
          <cell r="O139">
            <v>0</v>
          </cell>
          <cell r="P139">
            <v>0</v>
          </cell>
          <cell r="Q139">
            <v>0</v>
          </cell>
          <cell r="R139">
            <v>0</v>
          </cell>
          <cell r="S139">
            <v>370.02784999999994</v>
          </cell>
          <cell r="T139">
            <v>1E-3</v>
          </cell>
          <cell r="U139">
            <v>0</v>
          </cell>
        </row>
        <row r="140">
          <cell r="C140" t="str">
            <v>Kotahena</v>
          </cell>
          <cell r="D140">
            <v>15396.7755</v>
          </cell>
          <cell r="E140">
            <v>0</v>
          </cell>
          <cell r="F140">
            <v>0</v>
          </cell>
          <cell r="G140">
            <v>2395.67508</v>
          </cell>
          <cell r="H140">
            <v>5.0000000000000001E-4</v>
          </cell>
          <cell r="I140">
            <v>0</v>
          </cell>
          <cell r="J140">
            <v>336.98955000000001</v>
          </cell>
          <cell r="K140">
            <v>5.0000000000000001E-4</v>
          </cell>
          <cell r="L140">
            <v>0</v>
          </cell>
          <cell r="M140">
            <v>2038.1339200000002</v>
          </cell>
          <cell r="N140">
            <v>0</v>
          </cell>
          <cell r="O140">
            <v>0</v>
          </cell>
          <cell r="P140">
            <v>0</v>
          </cell>
          <cell r="Q140">
            <v>0</v>
          </cell>
          <cell r="R140">
            <v>0</v>
          </cell>
          <cell r="S140">
            <v>694.53071</v>
          </cell>
          <cell r="T140">
            <v>1E-3</v>
          </cell>
          <cell r="U140">
            <v>0</v>
          </cell>
        </row>
        <row r="141">
          <cell r="C141" t="str">
            <v>Ambalangoda</v>
          </cell>
          <cell r="D141">
            <v>6314.5127499999999</v>
          </cell>
          <cell r="E141">
            <v>0</v>
          </cell>
          <cell r="F141">
            <v>0</v>
          </cell>
          <cell r="G141">
            <v>854.01864999999998</v>
          </cell>
          <cell r="H141">
            <v>5.0000000000000001E-4</v>
          </cell>
          <cell r="I141">
            <v>0</v>
          </cell>
          <cell r="J141">
            <v>64.123149999999995</v>
          </cell>
          <cell r="K141">
            <v>5.0000000000000001E-4</v>
          </cell>
          <cell r="L141">
            <v>0</v>
          </cell>
          <cell r="M141">
            <v>1263.6706100000001</v>
          </cell>
          <cell r="N141">
            <v>0</v>
          </cell>
          <cell r="O141">
            <v>0</v>
          </cell>
          <cell r="P141">
            <v>5.4705000000000004</v>
          </cell>
          <cell r="Q141">
            <v>0</v>
          </cell>
          <cell r="R141">
            <v>0</v>
          </cell>
          <cell r="S141">
            <v>-350.99931000000015</v>
          </cell>
          <cell r="T141">
            <v>1E-3</v>
          </cell>
          <cell r="U141">
            <v>0</v>
          </cell>
        </row>
        <row r="142">
          <cell r="C142" t="str">
            <v>Katugastota</v>
          </cell>
          <cell r="D142">
            <v>14547.90345</v>
          </cell>
          <cell r="E142">
            <v>0</v>
          </cell>
          <cell r="F142">
            <v>0</v>
          </cell>
          <cell r="G142">
            <v>1777.5102199999999</v>
          </cell>
          <cell r="H142">
            <v>5.0000000000000001E-4</v>
          </cell>
          <cell r="I142">
            <v>0</v>
          </cell>
          <cell r="J142">
            <v>161.4264</v>
          </cell>
          <cell r="K142">
            <v>5.0000000000000001E-4</v>
          </cell>
          <cell r="L142">
            <v>0</v>
          </cell>
          <cell r="M142">
            <v>1620.87192</v>
          </cell>
          <cell r="N142">
            <v>0</v>
          </cell>
          <cell r="O142">
            <v>0</v>
          </cell>
          <cell r="P142">
            <v>0</v>
          </cell>
          <cell r="Q142">
            <v>0</v>
          </cell>
          <cell r="R142">
            <v>0</v>
          </cell>
          <cell r="S142">
            <v>318.0646999999999</v>
          </cell>
          <cell r="T142">
            <v>1E-3</v>
          </cell>
          <cell r="U142">
            <v>0</v>
          </cell>
        </row>
        <row r="143">
          <cell r="C143" t="str">
            <v>Beruwela</v>
          </cell>
          <cell r="D143">
            <v>5773.4762000000001</v>
          </cell>
          <cell r="E143">
            <v>0</v>
          </cell>
          <cell r="F143">
            <v>0</v>
          </cell>
          <cell r="G143">
            <v>792.16291000000001</v>
          </cell>
          <cell r="H143">
            <v>5.0000000000000001E-4</v>
          </cell>
          <cell r="I143">
            <v>0</v>
          </cell>
          <cell r="J143">
            <v>72.012</v>
          </cell>
          <cell r="K143">
            <v>5.0000000000000001E-4</v>
          </cell>
          <cell r="L143">
            <v>0</v>
          </cell>
          <cell r="M143">
            <v>1158.4987100000001</v>
          </cell>
          <cell r="N143">
            <v>0</v>
          </cell>
          <cell r="O143">
            <v>0</v>
          </cell>
          <cell r="P143">
            <v>1.1677500000000001</v>
          </cell>
          <cell r="Q143">
            <v>0</v>
          </cell>
          <cell r="R143">
            <v>0</v>
          </cell>
          <cell r="S143">
            <v>-295.49155000000013</v>
          </cell>
          <cell r="T143">
            <v>1E-3</v>
          </cell>
          <cell r="U143">
            <v>0</v>
          </cell>
        </row>
        <row r="144">
          <cell r="C144" t="str">
            <v>Warakapola</v>
          </cell>
          <cell r="D144">
            <v>7330.8216000000002</v>
          </cell>
          <cell r="E144">
            <v>0</v>
          </cell>
          <cell r="F144">
            <v>0</v>
          </cell>
          <cell r="G144">
            <v>826.60879999999997</v>
          </cell>
          <cell r="H144">
            <v>5.0000000000000001E-4</v>
          </cell>
          <cell r="I144">
            <v>0</v>
          </cell>
          <cell r="J144">
            <v>85.629130000000004</v>
          </cell>
          <cell r="K144">
            <v>5.0000000000000001E-4</v>
          </cell>
          <cell r="L144">
            <v>0</v>
          </cell>
          <cell r="M144">
            <v>1208.36564</v>
          </cell>
          <cell r="N144">
            <v>0</v>
          </cell>
          <cell r="O144">
            <v>0</v>
          </cell>
          <cell r="P144">
            <v>0.30049999999999999</v>
          </cell>
          <cell r="Q144">
            <v>0</v>
          </cell>
          <cell r="R144">
            <v>0</v>
          </cell>
          <cell r="S144">
            <v>-296.42820999999998</v>
          </cell>
          <cell r="T144">
            <v>1E-3</v>
          </cell>
          <cell r="U144">
            <v>0</v>
          </cell>
        </row>
        <row r="145">
          <cell r="C145" t="str">
            <v>Karagampitiya</v>
          </cell>
          <cell r="D145">
            <v>6153.6549000000005</v>
          </cell>
          <cell r="E145">
            <v>0</v>
          </cell>
          <cell r="F145">
            <v>0</v>
          </cell>
          <cell r="G145">
            <v>889.37945000000002</v>
          </cell>
          <cell r="H145">
            <v>5.0000000000000001E-4</v>
          </cell>
          <cell r="I145">
            <v>0</v>
          </cell>
          <cell r="J145">
            <v>58.435850000000002</v>
          </cell>
          <cell r="K145">
            <v>5.0000000000000001E-4</v>
          </cell>
          <cell r="L145">
            <v>0</v>
          </cell>
          <cell r="M145">
            <v>1404.2080000000001</v>
          </cell>
          <cell r="N145">
            <v>0</v>
          </cell>
          <cell r="O145">
            <v>0</v>
          </cell>
          <cell r="P145">
            <v>0</v>
          </cell>
          <cell r="Q145">
            <v>0</v>
          </cell>
          <cell r="R145">
            <v>0</v>
          </cell>
          <cell r="S145">
            <v>-456.3927000000001</v>
          </cell>
          <cell r="T145">
            <v>1E-3</v>
          </cell>
          <cell r="U145">
            <v>0</v>
          </cell>
        </row>
        <row r="146">
          <cell r="C146" t="str">
            <v>Mathale</v>
          </cell>
          <cell r="D146">
            <v>11740.4187</v>
          </cell>
          <cell r="E146">
            <v>0</v>
          </cell>
          <cell r="F146">
            <v>0</v>
          </cell>
          <cell r="G146">
            <v>1121.24766</v>
          </cell>
          <cell r="H146">
            <v>5.0000000000000001E-4</v>
          </cell>
          <cell r="I146">
            <v>0</v>
          </cell>
          <cell r="J146">
            <v>1.5140499999999999</v>
          </cell>
          <cell r="K146">
            <v>5.0000000000000001E-4</v>
          </cell>
          <cell r="L146">
            <v>0</v>
          </cell>
          <cell r="M146">
            <v>1415.4761000000001</v>
          </cell>
          <cell r="N146">
            <v>0</v>
          </cell>
          <cell r="O146">
            <v>0</v>
          </cell>
          <cell r="P146">
            <v>0.30049999999999999</v>
          </cell>
          <cell r="Q146">
            <v>0</v>
          </cell>
          <cell r="R146">
            <v>0</v>
          </cell>
          <cell r="S146">
            <v>-293.01489000000009</v>
          </cell>
          <cell r="T146">
            <v>1E-3</v>
          </cell>
          <cell r="U146">
            <v>0</v>
          </cell>
        </row>
        <row r="147">
          <cell r="C147" t="str">
            <v>Peliyagoda</v>
          </cell>
          <cell r="D147">
            <v>4890.6605</v>
          </cell>
          <cell r="E147">
            <v>0</v>
          </cell>
          <cell r="F147">
            <v>0</v>
          </cell>
          <cell r="G147">
            <v>645.21419000000003</v>
          </cell>
          <cell r="H147">
            <v>5.0000000000000001E-4</v>
          </cell>
          <cell r="I147">
            <v>0</v>
          </cell>
          <cell r="J147">
            <v>2.7265000000000001</v>
          </cell>
          <cell r="K147">
            <v>5.0000000000000001E-4</v>
          </cell>
          <cell r="L147">
            <v>0</v>
          </cell>
          <cell r="M147">
            <v>1132.8068599999999</v>
          </cell>
          <cell r="N147">
            <v>0</v>
          </cell>
          <cell r="O147">
            <v>0</v>
          </cell>
          <cell r="P147">
            <v>0</v>
          </cell>
          <cell r="Q147">
            <v>0</v>
          </cell>
          <cell r="R147">
            <v>0</v>
          </cell>
          <cell r="S147">
            <v>-484.8661699999999</v>
          </cell>
          <cell r="T147">
            <v>1E-3</v>
          </cell>
          <cell r="U147">
            <v>0</v>
          </cell>
        </row>
        <row r="148">
          <cell r="C148" t="str">
            <v>Kelaniya</v>
          </cell>
          <cell r="D148">
            <v>6601.74755</v>
          </cell>
          <cell r="E148">
            <v>0</v>
          </cell>
          <cell r="F148">
            <v>0</v>
          </cell>
          <cell r="G148">
            <v>962.86995000000002</v>
          </cell>
          <cell r="H148">
            <v>5.0000000000000001E-4</v>
          </cell>
          <cell r="I148">
            <v>0</v>
          </cell>
          <cell r="J148">
            <v>82.194149999999993</v>
          </cell>
          <cell r="K148">
            <v>5.0000000000000001E-4</v>
          </cell>
          <cell r="L148">
            <v>0</v>
          </cell>
          <cell r="M148">
            <v>1100.1155099999999</v>
          </cell>
          <cell r="N148">
            <v>0</v>
          </cell>
          <cell r="O148">
            <v>0</v>
          </cell>
          <cell r="P148">
            <v>0</v>
          </cell>
          <cell r="Q148">
            <v>0</v>
          </cell>
          <cell r="R148">
            <v>0</v>
          </cell>
          <cell r="S148">
            <v>-55.051409999999805</v>
          </cell>
          <cell r="T148">
            <v>1E-3</v>
          </cell>
          <cell r="U148">
            <v>0</v>
          </cell>
        </row>
        <row r="149">
          <cell r="C149" t="str">
            <v>Demategoda</v>
          </cell>
          <cell r="D149">
            <v>7933.2064499999997</v>
          </cell>
          <cell r="E149">
            <v>0</v>
          </cell>
          <cell r="F149">
            <v>0</v>
          </cell>
          <cell r="G149">
            <v>1217.99488</v>
          </cell>
          <cell r="H149">
            <v>5.0000000000000001E-4</v>
          </cell>
          <cell r="I149">
            <v>0</v>
          </cell>
          <cell r="J149">
            <v>100.29227</v>
          </cell>
          <cell r="K149">
            <v>5.0000000000000001E-4</v>
          </cell>
          <cell r="L149">
            <v>0</v>
          </cell>
          <cell r="M149">
            <v>1228.18361</v>
          </cell>
          <cell r="N149">
            <v>0</v>
          </cell>
          <cell r="O149">
            <v>0</v>
          </cell>
          <cell r="P149">
            <v>0</v>
          </cell>
          <cell r="Q149">
            <v>0</v>
          </cell>
          <cell r="R149">
            <v>0</v>
          </cell>
          <cell r="S149">
            <v>90.103539999999839</v>
          </cell>
          <cell r="T149">
            <v>1E-3</v>
          </cell>
          <cell r="U149">
            <v>0</v>
          </cell>
        </row>
        <row r="150">
          <cell r="C150" t="str">
            <v>Kolannawa</v>
          </cell>
          <cell r="D150">
            <v>8554.0832499999997</v>
          </cell>
          <cell r="E150">
            <v>0</v>
          </cell>
          <cell r="F150">
            <v>0</v>
          </cell>
          <cell r="G150">
            <v>1122.62591</v>
          </cell>
          <cell r="H150">
            <v>5.0000000000000001E-4</v>
          </cell>
          <cell r="I150">
            <v>0</v>
          </cell>
          <cell r="J150">
            <v>82.989890000000003</v>
          </cell>
          <cell r="K150">
            <v>5.0000000000000001E-4</v>
          </cell>
          <cell r="L150">
            <v>0</v>
          </cell>
          <cell r="M150">
            <v>834.86586999999997</v>
          </cell>
          <cell r="N150">
            <v>0</v>
          </cell>
          <cell r="O150">
            <v>0</v>
          </cell>
          <cell r="P150">
            <v>0</v>
          </cell>
          <cell r="Q150">
            <v>0</v>
          </cell>
          <cell r="R150">
            <v>0</v>
          </cell>
          <cell r="S150">
            <v>370.74993000000006</v>
          </cell>
          <cell r="T150">
            <v>1E-3</v>
          </cell>
          <cell r="U150">
            <v>0</v>
          </cell>
        </row>
        <row r="151">
          <cell r="C151" t="str">
            <v>Avissawella</v>
          </cell>
          <cell r="D151">
            <v>6271.1350499999999</v>
          </cell>
          <cell r="E151">
            <v>0</v>
          </cell>
          <cell r="F151">
            <v>0</v>
          </cell>
          <cell r="G151">
            <v>902.78862000000004</v>
          </cell>
          <cell r="H151">
            <v>5.0000000000000001E-4</v>
          </cell>
          <cell r="I151">
            <v>0</v>
          </cell>
          <cell r="J151">
            <v>45.959249999999997</v>
          </cell>
          <cell r="K151">
            <v>5.0000000000000001E-4</v>
          </cell>
          <cell r="L151">
            <v>0</v>
          </cell>
          <cell r="M151">
            <v>946.9696899999999</v>
          </cell>
          <cell r="N151">
            <v>0</v>
          </cell>
          <cell r="O151">
            <v>0</v>
          </cell>
          <cell r="P151">
            <v>0</v>
          </cell>
          <cell r="Q151">
            <v>0</v>
          </cell>
          <cell r="R151">
            <v>0</v>
          </cell>
          <cell r="S151">
            <v>1.778180000000134</v>
          </cell>
          <cell r="T151">
            <v>1E-3</v>
          </cell>
          <cell r="U151">
            <v>0</v>
          </cell>
        </row>
        <row r="152">
          <cell r="C152" t="str">
            <v>Homagama</v>
          </cell>
          <cell r="D152">
            <v>8857.4154500000004</v>
          </cell>
          <cell r="E152">
            <v>0</v>
          </cell>
          <cell r="F152">
            <v>0</v>
          </cell>
          <cell r="G152">
            <v>1264.7835299999999</v>
          </cell>
          <cell r="H152">
            <v>5.0000000000000001E-4</v>
          </cell>
          <cell r="I152">
            <v>0</v>
          </cell>
          <cell r="J152">
            <v>40.347749999999998</v>
          </cell>
          <cell r="K152">
            <v>5.0000000000000001E-4</v>
          </cell>
          <cell r="L152">
            <v>0</v>
          </cell>
          <cell r="M152">
            <v>1279.0500299999999</v>
          </cell>
          <cell r="N152">
            <v>0</v>
          </cell>
          <cell r="O152">
            <v>0</v>
          </cell>
          <cell r="P152">
            <v>0</v>
          </cell>
          <cell r="Q152">
            <v>0</v>
          </cell>
          <cell r="R152">
            <v>0</v>
          </cell>
          <cell r="S152">
            <v>26.081249999999955</v>
          </cell>
          <cell r="T152">
            <v>1E-3</v>
          </cell>
          <cell r="U152">
            <v>0</v>
          </cell>
        </row>
        <row r="153">
          <cell r="C153" t="str">
            <v>Galle</v>
          </cell>
          <cell r="D153">
            <v>10800.933999999999</v>
          </cell>
          <cell r="E153">
            <v>0</v>
          </cell>
          <cell r="F153">
            <v>0</v>
          </cell>
          <cell r="G153">
            <v>1581.1815799999999</v>
          </cell>
          <cell r="H153">
            <v>5.0000000000000001E-4</v>
          </cell>
          <cell r="I153">
            <v>0</v>
          </cell>
          <cell r="J153">
            <v>36.932850000000002</v>
          </cell>
          <cell r="K153">
            <v>5.0000000000000001E-4</v>
          </cell>
          <cell r="L153">
            <v>0</v>
          </cell>
          <cell r="M153">
            <v>1194.9642699999999</v>
          </cell>
          <cell r="N153">
            <v>0</v>
          </cell>
          <cell r="O153">
            <v>0</v>
          </cell>
          <cell r="P153">
            <v>0</v>
          </cell>
          <cell r="Q153">
            <v>0</v>
          </cell>
          <cell r="R153">
            <v>0</v>
          </cell>
          <cell r="S153">
            <v>423.15015999999991</v>
          </cell>
          <cell r="T153">
            <v>1E-3</v>
          </cell>
          <cell r="U153">
            <v>0</v>
          </cell>
        </row>
        <row r="154">
          <cell r="C154" t="str">
            <v>Kohuwela</v>
          </cell>
          <cell r="D154">
            <v>10089.2358</v>
          </cell>
          <cell r="E154">
            <v>0</v>
          </cell>
          <cell r="F154">
            <v>0</v>
          </cell>
          <cell r="G154">
            <v>1454.0861600000001</v>
          </cell>
          <cell r="H154">
            <v>5.0000000000000001E-4</v>
          </cell>
          <cell r="I154">
            <v>0</v>
          </cell>
          <cell r="J154">
            <v>57.886400000000002</v>
          </cell>
          <cell r="K154">
            <v>5.0000000000000001E-4</v>
          </cell>
          <cell r="L154">
            <v>0</v>
          </cell>
          <cell r="M154">
            <v>1047.90084</v>
          </cell>
          <cell r="N154">
            <v>0</v>
          </cell>
          <cell r="O154">
            <v>0</v>
          </cell>
          <cell r="P154">
            <v>0</v>
          </cell>
          <cell r="Q154">
            <v>0</v>
          </cell>
          <cell r="R154">
            <v>0</v>
          </cell>
          <cell r="S154">
            <v>464.07172000000014</v>
          </cell>
          <cell r="T154">
            <v>1E-3</v>
          </cell>
          <cell r="U154">
            <v>0</v>
          </cell>
        </row>
        <row r="155">
          <cell r="C155" t="str">
            <v>Mt lavinia-STC</v>
          </cell>
          <cell r="D155">
            <v>5755.3805499999999</v>
          </cell>
          <cell r="E155">
            <v>0</v>
          </cell>
          <cell r="F155">
            <v>0</v>
          </cell>
          <cell r="G155">
            <v>916.94128999999998</v>
          </cell>
          <cell r="H155">
            <v>5.0000000000000001E-4</v>
          </cell>
          <cell r="I155">
            <v>0</v>
          </cell>
          <cell r="J155">
            <v>5.0500000000000003E-2</v>
          </cell>
          <cell r="K155">
            <v>5.0000000000000001E-4</v>
          </cell>
          <cell r="L155">
            <v>0</v>
          </cell>
          <cell r="M155">
            <v>1272.79619</v>
          </cell>
          <cell r="N155">
            <v>0</v>
          </cell>
          <cell r="O155">
            <v>0</v>
          </cell>
          <cell r="P155">
            <v>0</v>
          </cell>
          <cell r="Q155">
            <v>0</v>
          </cell>
          <cell r="R155">
            <v>0</v>
          </cell>
          <cell r="S155">
            <v>-355.80439999999999</v>
          </cell>
          <cell r="T155">
            <v>1E-3</v>
          </cell>
          <cell r="U155">
            <v>0</v>
          </cell>
        </row>
        <row r="156">
          <cell r="C156" t="str">
            <v>Express Matara</v>
          </cell>
          <cell r="D156">
            <v>1473.7581499999999</v>
          </cell>
          <cell r="E156">
            <v>1269.8362</v>
          </cell>
          <cell r="F156">
            <v>16.058917677728822</v>
          </cell>
          <cell r="G156">
            <v>209.22521</v>
          </cell>
          <cell r="H156">
            <v>189.99471</v>
          </cell>
          <cell r="I156">
            <v>0</v>
          </cell>
          <cell r="J156">
            <v>3.5000000000000001E-3</v>
          </cell>
          <cell r="K156">
            <v>5.0000000000000001E-4</v>
          </cell>
          <cell r="L156">
            <v>0</v>
          </cell>
          <cell r="M156">
            <v>200.62439000000001</v>
          </cell>
          <cell r="N156">
            <v>199.14175</v>
          </cell>
          <cell r="O156">
            <v>-0.74451489956275041</v>
          </cell>
          <cell r="P156">
            <v>0</v>
          </cell>
          <cell r="Q156">
            <v>0</v>
          </cell>
          <cell r="R156">
            <v>0</v>
          </cell>
          <cell r="S156">
            <v>8.6043200000000013</v>
          </cell>
          <cell r="T156">
            <v>-9.1465400000000159</v>
          </cell>
          <cell r="U156">
            <v>0</v>
          </cell>
        </row>
        <row r="157">
          <cell r="C157" t="str">
            <v>Express Maligawatte</v>
          </cell>
          <cell r="D157">
            <v>1380.1078500000001</v>
          </cell>
          <cell r="E157">
            <v>0</v>
          </cell>
          <cell r="F157">
            <v>0</v>
          </cell>
          <cell r="G157">
            <v>204.76673</v>
          </cell>
          <cell r="H157">
            <v>5.0000000000000001E-4</v>
          </cell>
          <cell r="I157">
            <v>0</v>
          </cell>
          <cell r="J157">
            <v>1.6000000000000001E-3</v>
          </cell>
          <cell r="K157">
            <v>5.0000000000000001E-4</v>
          </cell>
          <cell r="L157">
            <v>0</v>
          </cell>
          <cell r="M157">
            <v>151.89490000000001</v>
          </cell>
          <cell r="N157">
            <v>0</v>
          </cell>
          <cell r="O157">
            <v>0</v>
          </cell>
          <cell r="P157">
            <v>0</v>
          </cell>
          <cell r="Q157">
            <v>0</v>
          </cell>
          <cell r="R157">
            <v>0</v>
          </cell>
          <cell r="S157">
            <v>52.873429999999985</v>
          </cell>
          <cell r="T157">
            <v>1E-3</v>
          </cell>
          <cell r="U157">
            <v>0</v>
          </cell>
        </row>
        <row r="158">
          <cell r="C158" t="str">
            <v>Express Peradeniya</v>
          </cell>
          <cell r="D158">
            <v>469.20335</v>
          </cell>
          <cell r="E158">
            <v>0</v>
          </cell>
          <cell r="F158">
            <v>0</v>
          </cell>
          <cell r="G158">
            <v>37.13973</v>
          </cell>
          <cell r="H158">
            <v>5.0000000000000001E-4</v>
          </cell>
          <cell r="I158">
            <v>0</v>
          </cell>
          <cell r="J158">
            <v>7.5000000000000002E-4</v>
          </cell>
          <cell r="K158">
            <v>5.0000000000000001E-4</v>
          </cell>
          <cell r="L158">
            <v>0</v>
          </cell>
          <cell r="M158">
            <v>-38.881299999999996</v>
          </cell>
          <cell r="N158">
            <v>0</v>
          </cell>
          <cell r="O158">
            <v>0</v>
          </cell>
          <cell r="P158">
            <v>0</v>
          </cell>
          <cell r="Q158">
            <v>0</v>
          </cell>
          <cell r="R158">
            <v>0</v>
          </cell>
          <cell r="S158">
            <v>76.021779999999993</v>
          </cell>
          <cell r="T158">
            <v>1E-3</v>
          </cell>
          <cell r="U158">
            <v>0</v>
          </cell>
        </row>
        <row r="159">
          <cell r="C159" t="str">
            <v>Express Alexandra Place</v>
          </cell>
          <cell r="D159">
            <v>2377.0518000000002</v>
          </cell>
          <cell r="E159">
            <v>0</v>
          </cell>
          <cell r="F159">
            <v>0</v>
          </cell>
          <cell r="G159">
            <v>380.77951999999999</v>
          </cell>
          <cell r="H159">
            <v>5.0000000000000001E-4</v>
          </cell>
          <cell r="I159">
            <v>0</v>
          </cell>
          <cell r="J159">
            <v>5.0000000000000001E-4</v>
          </cell>
          <cell r="K159">
            <v>5.0000000000000001E-4</v>
          </cell>
          <cell r="L159">
            <v>0</v>
          </cell>
          <cell r="M159">
            <v>352.89714999999995</v>
          </cell>
          <cell r="N159">
            <v>0</v>
          </cell>
          <cell r="O159">
            <v>0</v>
          </cell>
          <cell r="P159">
            <v>0</v>
          </cell>
          <cell r="Q159">
            <v>0</v>
          </cell>
          <cell r="R159">
            <v>0</v>
          </cell>
          <cell r="S159">
            <v>27.882870000000025</v>
          </cell>
          <cell r="T159">
            <v>1E-3</v>
          </cell>
          <cell r="U159">
            <v>0</v>
          </cell>
        </row>
        <row r="160">
          <cell r="C160" t="str">
            <v>Express Boralla</v>
          </cell>
          <cell r="D160">
            <v>380.70934999999997</v>
          </cell>
          <cell r="E160">
            <v>0</v>
          </cell>
          <cell r="F160">
            <v>0</v>
          </cell>
          <cell r="G160">
            <v>8.2868099999999991</v>
          </cell>
          <cell r="H160">
            <v>5.0000000000000001E-4</v>
          </cell>
          <cell r="I160">
            <v>0</v>
          </cell>
          <cell r="J160">
            <v>5.0000000000000001E-4</v>
          </cell>
          <cell r="K160">
            <v>5.0000000000000001E-4</v>
          </cell>
          <cell r="L160">
            <v>0</v>
          </cell>
          <cell r="M160">
            <v>126.67665</v>
          </cell>
          <cell r="N160">
            <v>0</v>
          </cell>
          <cell r="O160">
            <v>0</v>
          </cell>
          <cell r="P160">
            <v>0</v>
          </cell>
          <cell r="Q160">
            <v>0</v>
          </cell>
          <cell r="R160">
            <v>0</v>
          </cell>
          <cell r="S160">
            <v>-118.38933999999999</v>
          </cell>
          <cell r="T160">
            <v>1E-3</v>
          </cell>
          <cell r="U160">
            <v>0</v>
          </cell>
        </row>
        <row r="161">
          <cell r="C161" t="str">
            <v>Express Havelock Road</v>
          </cell>
          <cell r="D161">
            <v>547.42529999999999</v>
          </cell>
          <cell r="E161">
            <v>0</v>
          </cell>
          <cell r="F161">
            <v>0</v>
          </cell>
          <cell r="G161">
            <v>92.864180000000005</v>
          </cell>
          <cell r="H161">
            <v>5.0000000000000001E-4</v>
          </cell>
          <cell r="I161">
            <v>0</v>
          </cell>
          <cell r="J161">
            <v>5.0000000000000001E-4</v>
          </cell>
          <cell r="K161">
            <v>5.0000000000000001E-4</v>
          </cell>
          <cell r="L161">
            <v>0</v>
          </cell>
          <cell r="M161">
            <v>182.84234999999998</v>
          </cell>
          <cell r="N161">
            <v>0</v>
          </cell>
          <cell r="O161">
            <v>0</v>
          </cell>
          <cell r="P161">
            <v>0</v>
          </cell>
          <cell r="Q161">
            <v>0</v>
          </cell>
          <cell r="R161">
            <v>0</v>
          </cell>
          <cell r="S161">
            <v>-89.977669999999975</v>
          </cell>
          <cell r="T161">
            <v>1E-3</v>
          </cell>
          <cell r="U161">
            <v>0</v>
          </cell>
        </row>
        <row r="162">
          <cell r="C162" t="str">
            <v>Express Maradana</v>
          </cell>
          <cell r="D162">
            <v>116.58815</v>
          </cell>
          <cell r="E162">
            <v>0</v>
          </cell>
          <cell r="F162">
            <v>0</v>
          </cell>
          <cell r="G162">
            <v>4.91275</v>
          </cell>
          <cell r="H162">
            <v>5.0000000000000001E-4</v>
          </cell>
          <cell r="I162">
            <v>0</v>
          </cell>
          <cell r="J162">
            <v>5.0000000000000001E-4</v>
          </cell>
          <cell r="K162">
            <v>5.0000000000000001E-4</v>
          </cell>
          <cell r="L162">
            <v>0</v>
          </cell>
          <cell r="M162">
            <v>70.208309999999997</v>
          </cell>
          <cell r="N162">
            <v>0</v>
          </cell>
          <cell r="O162">
            <v>0</v>
          </cell>
          <cell r="P162">
            <v>0</v>
          </cell>
          <cell r="Q162">
            <v>0</v>
          </cell>
          <cell r="R162">
            <v>0</v>
          </cell>
          <cell r="S162">
            <v>-65.295059999999992</v>
          </cell>
          <cell r="T162">
            <v>1E-3</v>
          </cell>
          <cell r="U162">
            <v>0</v>
          </cell>
        </row>
        <row r="163">
          <cell r="C163" t="str">
            <v xml:space="preserve">Food City </v>
          </cell>
          <cell r="D163">
            <v>704722.73165000021</v>
          </cell>
          <cell r="E163">
            <v>381297.93885000004</v>
          </cell>
          <cell r="F163">
            <v>84.822066905332321</v>
          </cell>
          <cell r="G163">
            <v>92389.204320000033</v>
          </cell>
          <cell r="H163">
            <v>55579.118460000027</v>
          </cell>
          <cell r="I163">
            <v>66.230064239849384</v>
          </cell>
          <cell r="J163">
            <v>7638.2081200000002</v>
          </cell>
          <cell r="K163">
            <v>4969.3504400000029</v>
          </cell>
          <cell r="L163">
            <v>53.706368915290184</v>
          </cell>
          <cell r="M163">
            <v>84952.662620000003</v>
          </cell>
          <cell r="N163">
            <v>39904.4951</v>
          </cell>
          <cell r="O163">
            <v>-112.88995740231782</v>
          </cell>
          <cell r="P163">
            <v>7488.1221800000003</v>
          </cell>
          <cell r="Q163">
            <v>4379.7620100000004</v>
          </cell>
          <cell r="R163">
            <v>-70.97098342108319</v>
          </cell>
          <cell r="S163">
            <v>7586.6276399999961</v>
          </cell>
          <cell r="T163">
            <v>16264.211790000003</v>
          </cell>
          <cell r="U163">
            <v>-53.353856073956131</v>
          </cell>
        </row>
        <row r="164">
          <cell r="S164">
            <v>7449.128109999996</v>
          </cell>
        </row>
        <row r="166">
          <cell r="B166">
            <v>2</v>
          </cell>
          <cell r="T166" t="str">
            <v>Schedule 2</v>
          </cell>
        </row>
        <row r="167">
          <cell r="B167" t="str">
            <v>CARGILLS ( CEYLON ) LTD</v>
          </cell>
        </row>
        <row r="169">
          <cell r="B169" t="str">
            <v xml:space="preserve"> Contribution by Profit Centres/Divisions - Month of March 2004</v>
          </cell>
        </row>
        <row r="170">
          <cell r="C170" t="str">
            <v>MTH V MTH</v>
          </cell>
          <cell r="U170">
            <v>38154.357810300928</v>
          </cell>
        </row>
        <row r="171">
          <cell r="B171" t="str">
            <v>Profit Centre</v>
          </cell>
          <cell r="D171" t="str">
            <v>Gross Turnover</v>
          </cell>
          <cell r="G171" t="str">
            <v>Achieved Gross Profit</v>
          </cell>
          <cell r="J171" t="str">
            <v>Other Income</v>
          </cell>
          <cell r="M171" t="str">
            <v>Direct Expenses</v>
          </cell>
          <cell r="P171" t="str">
            <v>D&amp;A and Finance</v>
          </cell>
          <cell r="S171" t="str">
            <v>Contribution</v>
          </cell>
        </row>
        <row r="172">
          <cell r="D172">
            <v>38047</v>
          </cell>
          <cell r="E172">
            <v>37681</v>
          </cell>
          <cell r="F172" t="str">
            <v>Var %</v>
          </cell>
          <cell r="G172">
            <v>38047</v>
          </cell>
          <cell r="H172">
            <v>37681</v>
          </cell>
          <cell r="I172" t="str">
            <v>Var %</v>
          </cell>
          <cell r="J172">
            <v>38047</v>
          </cell>
          <cell r="K172">
            <v>37681</v>
          </cell>
          <cell r="L172" t="str">
            <v>Var %</v>
          </cell>
          <cell r="M172">
            <v>38047</v>
          </cell>
          <cell r="N172">
            <v>37681</v>
          </cell>
          <cell r="O172" t="str">
            <v>Var %</v>
          </cell>
          <cell r="P172">
            <v>38047</v>
          </cell>
          <cell r="Q172">
            <v>37681</v>
          </cell>
          <cell r="R172" t="str">
            <v>Var %</v>
          </cell>
          <cell r="S172">
            <v>38047</v>
          </cell>
          <cell r="T172">
            <v>37681</v>
          </cell>
          <cell r="U172" t="str">
            <v>Var %</v>
          </cell>
        </row>
        <row r="173">
          <cell r="C173" t="str">
            <v>Department Store</v>
          </cell>
          <cell r="D173">
            <v>948.67880000000002</v>
          </cell>
          <cell r="E173">
            <v>783.16924999999992</v>
          </cell>
          <cell r="F173">
            <v>21.133305476434387</v>
          </cell>
          <cell r="G173">
            <v>232.48214999999999</v>
          </cell>
          <cell r="H173">
            <v>169.90069999999997</v>
          </cell>
          <cell r="I173">
            <v>36.834133114224969</v>
          </cell>
          <cell r="J173">
            <v>2E-3</v>
          </cell>
          <cell r="K173">
            <v>2E-3</v>
          </cell>
          <cell r="L173">
            <v>0</v>
          </cell>
          <cell r="M173">
            <v>55.650349999999996</v>
          </cell>
          <cell r="N173">
            <v>26.693899999999999</v>
          </cell>
          <cell r="O173">
            <v>-108.47590648050678</v>
          </cell>
          <cell r="P173">
            <v>6.0000000000000001E-3</v>
          </cell>
          <cell r="Q173">
            <v>3.6600000000000001E-2</v>
          </cell>
          <cell r="R173">
            <v>83.606557377049185</v>
          </cell>
          <cell r="S173">
            <v>176.8278</v>
          </cell>
          <cell r="T173">
            <v>143.1722</v>
          </cell>
          <cell r="U173">
            <v>23.507077491300681</v>
          </cell>
        </row>
        <row r="174">
          <cell r="C174" t="str">
            <v>Books &amp; Stationery</v>
          </cell>
          <cell r="D174">
            <v>2146.1477000000004</v>
          </cell>
          <cell r="E174">
            <v>1896.9278999999999</v>
          </cell>
          <cell r="F174">
            <v>13.138074462397888</v>
          </cell>
          <cell r="G174">
            <v>566.46947</v>
          </cell>
          <cell r="H174">
            <v>492.83521000000002</v>
          </cell>
          <cell r="I174">
            <v>14.940949531588862</v>
          </cell>
          <cell r="J174">
            <v>2.5100000000000001E-2</v>
          </cell>
          <cell r="K174">
            <v>7.4236599999999999</v>
          </cell>
          <cell r="L174">
            <v>-99.661891843107043</v>
          </cell>
          <cell r="M174">
            <v>402.17707999999999</v>
          </cell>
          <cell r="N174">
            <v>373.04039999999998</v>
          </cell>
          <cell r="O174">
            <v>-7.8105963858070098</v>
          </cell>
          <cell r="P174">
            <v>4.024</v>
          </cell>
          <cell r="Q174">
            <v>6.3455499999999994</v>
          </cell>
          <cell r="R174">
            <v>36.585481163965298</v>
          </cell>
          <cell r="S174">
            <v>160.29348999999996</v>
          </cell>
          <cell r="T174">
            <v>120.87292000000002</v>
          </cell>
          <cell r="U174">
            <v>32.613235454227414</v>
          </cell>
        </row>
        <row r="175">
          <cell r="C175" t="str">
            <v>Hatton Liquor</v>
          </cell>
          <cell r="D175">
            <v>2608.105</v>
          </cell>
          <cell r="E175">
            <v>2734.4614999999999</v>
          </cell>
          <cell r="F175">
            <v>-4.6208915356826159</v>
          </cell>
          <cell r="G175">
            <v>124.38191999999999</v>
          </cell>
          <cell r="H175">
            <v>118.61633999999999</v>
          </cell>
          <cell r="I175">
            <v>4.8606962582052358</v>
          </cell>
          <cell r="J175">
            <v>5.0000000000000001E-4</v>
          </cell>
          <cell r="K175">
            <v>5.0000000000000001E-4</v>
          </cell>
          <cell r="L175">
            <v>0</v>
          </cell>
          <cell r="M175">
            <v>124.38342</v>
          </cell>
          <cell r="N175">
            <v>118.61784</v>
          </cell>
          <cell r="O175">
            <v>-4.8606347915288293</v>
          </cell>
          <cell r="P175">
            <v>0</v>
          </cell>
          <cell r="Q175">
            <v>0</v>
          </cell>
          <cell r="R175">
            <v>0</v>
          </cell>
          <cell r="S175">
            <v>-1.0000000000047748E-3</v>
          </cell>
          <cell r="T175">
            <v>-1.0000000000047748E-3</v>
          </cell>
          <cell r="U175">
            <v>0</v>
          </cell>
        </row>
        <row r="176">
          <cell r="C176" t="str">
            <v>Retail Division</v>
          </cell>
          <cell r="D176">
            <v>710425.66315000015</v>
          </cell>
          <cell r="E176">
            <v>386712.49750000006</v>
          </cell>
          <cell r="F176">
            <v>83.709000289032559</v>
          </cell>
          <cell r="G176">
            <v>93312.53786000004</v>
          </cell>
          <cell r="H176">
            <v>56360.470710000031</v>
          </cell>
          <cell r="I176">
            <v>65.563801516376643</v>
          </cell>
          <cell r="J176">
            <v>7638.2357200000006</v>
          </cell>
          <cell r="K176">
            <v>4976.7766000000029</v>
          </cell>
          <cell r="L176">
            <v>53.477568593293825</v>
          </cell>
          <cell r="M176">
            <v>85534.873470000006</v>
          </cell>
          <cell r="N176">
            <v>40422.847240000003</v>
          </cell>
          <cell r="O176">
            <v>-111.60031840943623</v>
          </cell>
          <cell r="P176">
            <v>7492.15218</v>
          </cell>
          <cell r="Q176">
            <v>4386.1441600000007</v>
          </cell>
          <cell r="R176">
            <v>-70.814088791828468</v>
          </cell>
          <cell r="S176">
            <v>7923.7479299999959</v>
          </cell>
          <cell r="T176">
            <v>16528.255910000003</v>
          </cell>
          <cell r="U176">
            <v>-52.059382592170941</v>
          </cell>
        </row>
        <row r="177">
          <cell r="C177" t="str">
            <v>Commercial Division</v>
          </cell>
          <cell r="D177">
            <v>2.5000000000000001E-3</v>
          </cell>
          <cell r="E177">
            <v>0</v>
          </cell>
          <cell r="F177">
            <v>0</v>
          </cell>
          <cell r="G177">
            <v>1024.8270600000001</v>
          </cell>
          <cell r="H177">
            <v>1186.2067399999999</v>
          </cell>
          <cell r="I177">
            <v>-13.604684121083293</v>
          </cell>
          <cell r="J177">
            <v>198.40796999999998</v>
          </cell>
          <cell r="K177">
            <v>261.05949999999996</v>
          </cell>
          <cell r="L177">
            <v>-23.998946600296097</v>
          </cell>
          <cell r="M177">
            <v>3463.6370699999998</v>
          </cell>
          <cell r="N177">
            <v>1467.3564000000001</v>
          </cell>
          <cell r="O177">
            <v>-136.04606692688972</v>
          </cell>
          <cell r="P177">
            <v>63.005749999999999</v>
          </cell>
          <cell r="Q177">
            <v>83.200659999999999</v>
          </cell>
          <cell r="R177">
            <v>24.272535818826437</v>
          </cell>
          <cell r="S177">
            <v>-2303.4077899999997</v>
          </cell>
          <cell r="T177">
            <v>-103.2908200000002</v>
          </cell>
          <cell r="U177">
            <v>-2130.0217870281167</v>
          </cell>
        </row>
        <row r="178">
          <cell r="C178" t="str">
            <v>Hampers</v>
          </cell>
          <cell r="D178">
            <v>5.0000000000000001E-4</v>
          </cell>
          <cell r="E178">
            <v>0</v>
          </cell>
          <cell r="F178">
            <v>0</v>
          </cell>
          <cell r="G178">
            <v>-5.8930199999999999</v>
          </cell>
          <cell r="H178">
            <v>5.0000000000000001E-4</v>
          </cell>
          <cell r="I178">
            <v>0</v>
          </cell>
          <cell r="J178">
            <v>5.0000000000000001E-4</v>
          </cell>
          <cell r="K178">
            <v>5.0000000000000001E-4</v>
          </cell>
          <cell r="L178">
            <v>0</v>
          </cell>
          <cell r="M178">
            <v>28.754399999999997</v>
          </cell>
          <cell r="N178">
            <v>1.5055000000000001</v>
          </cell>
          <cell r="O178">
            <v>-1809.956824975091</v>
          </cell>
          <cell r="P178">
            <v>0</v>
          </cell>
          <cell r="Q178">
            <v>0</v>
          </cell>
          <cell r="R178">
            <v>0</v>
          </cell>
          <cell r="S178">
            <v>-34.646919999999994</v>
          </cell>
          <cell r="T178">
            <v>-1.5045000000000002</v>
          </cell>
          <cell r="U178">
            <v>-2202.886008640744</v>
          </cell>
        </row>
        <row r="179">
          <cell r="C179" t="str">
            <v>Wines &amp; Spirits</v>
          </cell>
          <cell r="D179">
            <v>9261.1658900000002</v>
          </cell>
          <cell r="E179">
            <v>8742.4698900000003</v>
          </cell>
          <cell r="F179">
            <v>5.9330601823782763</v>
          </cell>
          <cell r="G179">
            <v>2035.4883</v>
          </cell>
          <cell r="H179">
            <v>1534.19346</v>
          </cell>
          <cell r="I179">
            <v>32.674812731896282</v>
          </cell>
          <cell r="J179">
            <v>-670.9366</v>
          </cell>
          <cell r="K179">
            <v>1026.06672</v>
          </cell>
          <cell r="L179">
            <v>-165.38917859064759</v>
          </cell>
          <cell r="M179">
            <v>826.8836</v>
          </cell>
          <cell r="N179">
            <v>872.93601999999998</v>
          </cell>
          <cell r="O179">
            <v>5.275577928380133</v>
          </cell>
          <cell r="P179">
            <v>-47.245239999999995</v>
          </cell>
          <cell r="Q179">
            <v>-78.75648000000001</v>
          </cell>
          <cell r="R179">
            <v>-40.010980683748194</v>
          </cell>
          <cell r="S179">
            <v>584.91333999999995</v>
          </cell>
          <cell r="T179">
            <v>1766.0806400000001</v>
          </cell>
          <cell r="U179">
            <v>-66.880711630472319</v>
          </cell>
        </row>
        <row r="180">
          <cell r="C180" t="str">
            <v xml:space="preserve">Total </v>
          </cell>
          <cell r="D180">
            <v>719686.83204000001</v>
          </cell>
          <cell r="E180">
            <v>395454.96739000006</v>
          </cell>
          <cell r="F180">
            <v>81.989579443122921</v>
          </cell>
          <cell r="G180">
            <v>96366.96020000003</v>
          </cell>
          <cell r="H180">
            <v>59080.871410000036</v>
          </cell>
          <cell r="I180">
            <v>63.110255316391537</v>
          </cell>
          <cell r="J180">
            <v>7165.7075900000009</v>
          </cell>
          <cell r="K180">
            <v>6263.9033200000031</v>
          </cell>
          <cell r="L180">
            <v>14.396842095576872</v>
          </cell>
          <cell r="M180">
            <v>89854.148540000009</v>
          </cell>
          <cell r="N180">
            <v>42764.64516</v>
          </cell>
          <cell r="O180">
            <v>-110.11316287980164</v>
          </cell>
          <cell r="P180">
            <v>7507.9126900000001</v>
          </cell>
          <cell r="Q180">
            <v>4390.5883400000012</v>
          </cell>
          <cell r="R180">
            <v>-71.000150972933113</v>
          </cell>
          <cell r="S180">
            <v>6170.6065599999965</v>
          </cell>
          <cell r="T180">
            <v>18189.541230000003</v>
          </cell>
          <cell r="U180">
            <v>-66.076073706450515</v>
          </cell>
        </row>
        <row r="199">
          <cell r="V199">
            <v>4</v>
          </cell>
          <cell r="AQ199" t="str">
            <v>Schedule 4</v>
          </cell>
        </row>
        <row r="200">
          <cell r="V200" t="str">
            <v>CARGILLS ( CEYLON ) LTD</v>
          </cell>
        </row>
        <row r="202">
          <cell r="V202" t="str">
            <v xml:space="preserve"> Indirect &amp; Service Division Expenses - Month of March 2004</v>
          </cell>
        </row>
        <row r="203">
          <cell r="W203" t="str">
            <v>MTH V MTH</v>
          </cell>
          <cell r="AR203">
            <v>38154.357810300928</v>
          </cell>
        </row>
        <row r="204">
          <cell r="V204" t="str">
            <v>Indirect - Strategic Business Units (SBUs)</v>
          </cell>
        </row>
        <row r="205">
          <cell r="V205" t="str">
            <v>Cost Centre</v>
          </cell>
          <cell r="X205" t="str">
            <v>Staff Related</v>
          </cell>
          <cell r="AA205" t="str">
            <v xml:space="preserve">Administration </v>
          </cell>
          <cell r="AD205" t="str">
            <v xml:space="preserve">Establishment </v>
          </cell>
          <cell r="AG205" t="str">
            <v>Selling &amp; Distribution</v>
          </cell>
          <cell r="AJ205" t="str">
            <v>Expenses</v>
          </cell>
          <cell r="AM205" t="str">
            <v>Depreciation</v>
          </cell>
          <cell r="AP205" t="str">
            <v>Finance</v>
          </cell>
        </row>
        <row r="206">
          <cell r="X206">
            <v>38047</v>
          </cell>
          <cell r="Y206">
            <v>37681</v>
          </cell>
          <cell r="Z206" t="str">
            <v>Var %</v>
          </cell>
          <cell r="AA206">
            <v>38047</v>
          </cell>
          <cell r="AB206">
            <v>37681</v>
          </cell>
          <cell r="AC206" t="str">
            <v>Var %</v>
          </cell>
          <cell r="AD206">
            <v>38047</v>
          </cell>
          <cell r="AE206">
            <v>37681</v>
          </cell>
          <cell r="AF206" t="str">
            <v>Var %</v>
          </cell>
          <cell r="AG206">
            <v>38047</v>
          </cell>
          <cell r="AH206">
            <v>37681</v>
          </cell>
          <cell r="AI206" t="str">
            <v>Var %</v>
          </cell>
          <cell r="AJ206">
            <v>38047</v>
          </cell>
          <cell r="AK206">
            <v>37681</v>
          </cell>
          <cell r="AL206" t="str">
            <v>Var %</v>
          </cell>
          <cell r="AM206">
            <v>38047</v>
          </cell>
          <cell r="AN206">
            <v>37681</v>
          </cell>
          <cell r="AO206" t="str">
            <v>Var %</v>
          </cell>
          <cell r="AP206">
            <v>38047</v>
          </cell>
          <cell r="AQ206">
            <v>37681</v>
          </cell>
          <cell r="AR206" t="str">
            <v>Var %</v>
          </cell>
        </row>
        <row r="207">
          <cell r="W207" t="str">
            <v>Food City Operations</v>
          </cell>
          <cell r="X207">
            <v>77.833640000000003</v>
          </cell>
          <cell r="Y207">
            <v>770.47541000000001</v>
          </cell>
          <cell r="Z207">
            <v>89.897972214324128</v>
          </cell>
          <cell r="AA207">
            <v>388.42644000000001</v>
          </cell>
          <cell r="AB207">
            <v>719.84527000000003</v>
          </cell>
          <cell r="AC207">
            <v>46.040287241173374</v>
          </cell>
          <cell r="AD207">
            <v>922.04998999999998</v>
          </cell>
          <cell r="AE207">
            <v>530.92570000000001</v>
          </cell>
          <cell r="AF207">
            <v>-73.6683664023045</v>
          </cell>
          <cell r="AG207">
            <v>717.81109000000004</v>
          </cell>
          <cell r="AH207">
            <v>4235.1739299999999</v>
          </cell>
          <cell r="AI207">
            <v>83.05120163034249</v>
          </cell>
          <cell r="AJ207">
            <v>2106.1211600000001</v>
          </cell>
          <cell r="AK207">
            <v>6256.4203099999995</v>
          </cell>
          <cell r="AL207">
            <v>66.336642110926192</v>
          </cell>
          <cell r="AM207">
            <v>29.3475</v>
          </cell>
          <cell r="AN207">
            <v>12.1762</v>
          </cell>
          <cell r="AO207">
            <v>-141.02347201918499</v>
          </cell>
          <cell r="AP207">
            <v>0</v>
          </cell>
          <cell r="AQ207">
            <v>0</v>
          </cell>
          <cell r="AR207">
            <v>0</v>
          </cell>
        </row>
        <row r="208">
          <cell r="W208" t="str">
            <v>Wharf</v>
          </cell>
          <cell r="X208">
            <v>50.702889999999996</v>
          </cell>
          <cell r="Y208">
            <v>17.453769999999999</v>
          </cell>
          <cell r="Z208">
            <v>-190.49821327999626</v>
          </cell>
          <cell r="AA208">
            <v>10.4009</v>
          </cell>
          <cell r="AB208">
            <v>11.993399999999999</v>
          </cell>
          <cell r="AC208">
            <v>13.278136308302896</v>
          </cell>
          <cell r="AD208">
            <v>0.35049999999999998</v>
          </cell>
          <cell r="AE208">
            <v>0.20605000000000001</v>
          </cell>
          <cell r="AF208">
            <v>-70.104343605920874</v>
          </cell>
          <cell r="AG208">
            <v>0</v>
          </cell>
          <cell r="AH208">
            <v>0</v>
          </cell>
          <cell r="AI208">
            <v>0</v>
          </cell>
          <cell r="AJ208">
            <v>61.454289999999993</v>
          </cell>
          <cell r="AK208">
            <v>29.653220000000001</v>
          </cell>
          <cell r="AL208">
            <v>-107.2432268738437</v>
          </cell>
          <cell r="AM208">
            <v>0.13550000000000001</v>
          </cell>
          <cell r="AN208">
            <v>0</v>
          </cell>
          <cell r="AO208">
            <v>0</v>
          </cell>
          <cell r="AP208">
            <v>45.010379999999998</v>
          </cell>
          <cell r="AQ208">
            <v>0</v>
          </cell>
          <cell r="AR208">
            <v>0</v>
          </cell>
        </row>
        <row r="209">
          <cell r="W209" t="str">
            <v>Cellar &amp; Packing Hall</v>
          </cell>
          <cell r="X209">
            <v>1365.94714</v>
          </cell>
          <cell r="Y209">
            <v>1326.15742</v>
          </cell>
          <cell r="Z209">
            <v>-3.0003768330912015</v>
          </cell>
          <cell r="AA209">
            <v>165.39203000000001</v>
          </cell>
          <cell r="AB209">
            <v>102.67789999999999</v>
          </cell>
          <cell r="AC209">
            <v>-61.078508617725937</v>
          </cell>
          <cell r="AD209">
            <v>13.50999</v>
          </cell>
          <cell r="AE209">
            <v>27.09769</v>
          </cell>
          <cell r="AF209">
            <v>50.143388606187465</v>
          </cell>
          <cell r="AG209">
            <v>12.8087</v>
          </cell>
          <cell r="AH209">
            <v>7.8792499999999999</v>
          </cell>
          <cell r="AI209">
            <v>-62.562426626899772</v>
          </cell>
          <cell r="AJ209">
            <v>1557.65786</v>
          </cell>
          <cell r="AK209">
            <v>1463.8122599999999</v>
          </cell>
          <cell r="AL209">
            <v>-6.4110407163825851</v>
          </cell>
          <cell r="AM209">
            <v>6.1695000000000002</v>
          </cell>
          <cell r="AN209">
            <v>6.1547000000000001</v>
          </cell>
          <cell r="AO209">
            <v>-0.24046663525436082</v>
          </cell>
          <cell r="AP209">
            <v>0</v>
          </cell>
          <cell r="AQ209">
            <v>0</v>
          </cell>
          <cell r="AR209">
            <v>0</v>
          </cell>
        </row>
        <row r="210">
          <cell r="W210" t="str">
            <v>Indirect Services</v>
          </cell>
          <cell r="X210">
            <v>1494.4836700000001</v>
          </cell>
          <cell r="Y210">
            <v>2114.0866000000001</v>
          </cell>
          <cell r="Z210">
            <v>29.308304115829504</v>
          </cell>
          <cell r="AA210">
            <v>564.21937000000003</v>
          </cell>
          <cell r="AB210">
            <v>834.51657</v>
          </cell>
          <cell r="AC210">
            <v>32.389674419526507</v>
          </cell>
          <cell r="AD210">
            <v>935.91048000000001</v>
          </cell>
          <cell r="AE210">
            <v>558.22944000000007</v>
          </cell>
          <cell r="AF210">
            <v>-67.656954817717946</v>
          </cell>
          <cell r="AG210">
            <v>730.61979000000008</v>
          </cell>
          <cell r="AH210">
            <v>4243.0531799999999</v>
          </cell>
          <cell r="AI210">
            <v>82.780800546082233</v>
          </cell>
          <cell r="AJ210">
            <v>3725.2333100000005</v>
          </cell>
          <cell r="AK210">
            <v>7749.8857899999994</v>
          </cell>
          <cell r="AL210">
            <v>51.93176504863046</v>
          </cell>
          <cell r="AM210">
            <v>35.652500000000003</v>
          </cell>
          <cell r="AN210">
            <v>18.3309</v>
          </cell>
          <cell r="AO210">
            <v>-94.493996475895912</v>
          </cell>
          <cell r="AP210">
            <v>45.010379999999998</v>
          </cell>
          <cell r="AQ210">
            <v>0</v>
          </cell>
          <cell r="AR210">
            <v>0</v>
          </cell>
        </row>
        <row r="211">
          <cell r="V211" t="str">
            <v>Indirect - Support Service Units (SSUs)</v>
          </cell>
        </row>
        <row r="212">
          <cell r="V212" t="str">
            <v>Cost Centre</v>
          </cell>
          <cell r="X212" t="str">
            <v>Staff Related</v>
          </cell>
          <cell r="Z212">
            <v>0</v>
          </cell>
          <cell r="AA212" t="str">
            <v xml:space="preserve">Administration </v>
          </cell>
          <cell r="AD212" t="str">
            <v xml:space="preserve">Establishment </v>
          </cell>
          <cell r="AG212" t="str">
            <v>Selling &amp; Distribution</v>
          </cell>
          <cell r="AJ212" t="str">
            <v>Expenses</v>
          </cell>
          <cell r="AM212" t="str">
            <v>Depreciation</v>
          </cell>
          <cell r="AP212" t="str">
            <v>Finance</v>
          </cell>
        </row>
        <row r="213">
          <cell r="X213">
            <v>38047</v>
          </cell>
          <cell r="Y213">
            <v>37681</v>
          </cell>
          <cell r="Z213">
            <v>-0.97131180170377651</v>
          </cell>
          <cell r="AA213">
            <v>38047</v>
          </cell>
          <cell r="AB213">
            <v>37681</v>
          </cell>
          <cell r="AC213" t="str">
            <v>Var %</v>
          </cell>
          <cell r="AD213">
            <v>38047</v>
          </cell>
          <cell r="AE213">
            <v>37681</v>
          </cell>
          <cell r="AF213" t="str">
            <v>Var %</v>
          </cell>
          <cell r="AG213">
            <v>38047</v>
          </cell>
          <cell r="AH213">
            <v>37681</v>
          </cell>
          <cell r="AI213" t="str">
            <v>Var %</v>
          </cell>
          <cell r="AJ213">
            <v>38047</v>
          </cell>
          <cell r="AK213">
            <v>37681</v>
          </cell>
          <cell r="AL213" t="str">
            <v>Var %</v>
          </cell>
          <cell r="AM213">
            <v>38047</v>
          </cell>
          <cell r="AN213">
            <v>37681</v>
          </cell>
          <cell r="AO213" t="str">
            <v>Var %</v>
          </cell>
          <cell r="AP213">
            <v>38047</v>
          </cell>
          <cell r="AQ213">
            <v>37681</v>
          </cell>
          <cell r="AR213" t="str">
            <v>Var %</v>
          </cell>
        </row>
        <row r="214">
          <cell r="W214" t="str">
            <v>Mngt &amp; Secretarial</v>
          </cell>
          <cell r="X214">
            <v>-1124.6124199999999</v>
          </cell>
          <cell r="Y214">
            <v>572.28413</v>
          </cell>
          <cell r="Z214">
            <v>296.51294890878768</v>
          </cell>
          <cell r="AA214">
            <v>3455.3846600000002</v>
          </cell>
          <cell r="AB214">
            <v>437.54892999999998</v>
          </cell>
          <cell r="AC214">
            <v>-689.71388639894519</v>
          </cell>
          <cell r="AD214">
            <v>129.27341000000001</v>
          </cell>
          <cell r="AE214">
            <v>204.30087</v>
          </cell>
          <cell r="AF214">
            <v>36.724004161117861</v>
          </cell>
          <cell r="AG214">
            <v>96.624549999999999</v>
          </cell>
          <cell r="AH214">
            <v>0</v>
          </cell>
          <cell r="AI214">
            <v>0</v>
          </cell>
          <cell r="AJ214">
            <v>2556.6702</v>
          </cell>
          <cell r="AK214">
            <v>1214.13393</v>
          </cell>
          <cell r="AL214">
            <v>-110.57563229453609</v>
          </cell>
          <cell r="AM214">
            <v>185.71549999999999</v>
          </cell>
          <cell r="AN214">
            <v>235.40819999999999</v>
          </cell>
          <cell r="AO214">
            <v>21.10916272245402</v>
          </cell>
          <cell r="AP214">
            <v>0</v>
          </cell>
          <cell r="AQ214">
            <v>0.65054999999999996</v>
          </cell>
          <cell r="AR214">
            <v>100</v>
          </cell>
        </row>
        <row r="215">
          <cell r="W215" t="str">
            <v>Finance</v>
          </cell>
          <cell r="X215">
            <v>767.02680999999995</v>
          </cell>
          <cell r="Y215">
            <v>421.56106999999997</v>
          </cell>
          <cell r="Z215">
            <v>-81.949156263409236</v>
          </cell>
          <cell r="AA215">
            <v>380.59809000000001</v>
          </cell>
          <cell r="AB215">
            <v>212.66634999999999</v>
          </cell>
          <cell r="AC215">
            <v>-78.9648856060209</v>
          </cell>
          <cell r="AD215">
            <v>17.280840000000001</v>
          </cell>
          <cell r="AE215">
            <v>37.393999999999998</v>
          </cell>
          <cell r="AF215">
            <v>53.787131625394444</v>
          </cell>
          <cell r="AG215">
            <v>23.2715</v>
          </cell>
          <cell r="AH215">
            <v>23.000499999999999</v>
          </cell>
          <cell r="AI215">
            <v>-1.1782352557553131</v>
          </cell>
          <cell r="AJ215">
            <v>1188.17724</v>
          </cell>
          <cell r="AK215">
            <v>694.62191999999993</v>
          </cell>
          <cell r="AL215">
            <v>-71.053807227966558</v>
          </cell>
          <cell r="AM215">
            <v>7.4725000000000001</v>
          </cell>
          <cell r="AN215">
            <v>8.6370000000000005</v>
          </cell>
          <cell r="AO215">
            <v>13.4826907491027</v>
          </cell>
          <cell r="AP215">
            <v>0</v>
          </cell>
          <cell r="AQ215">
            <v>0</v>
          </cell>
          <cell r="AR215">
            <v>0</v>
          </cell>
        </row>
        <row r="216">
          <cell r="W216" t="str">
            <v>Human Resources</v>
          </cell>
          <cell r="X216">
            <v>541.59243000000004</v>
          </cell>
          <cell r="Y216">
            <v>345.59361999999999</v>
          </cell>
          <cell r="Z216">
            <v>-56.7136656052852</v>
          </cell>
          <cell r="AA216">
            <v>835.09871999999996</v>
          </cell>
          <cell r="AB216">
            <v>-3496.01143</v>
          </cell>
          <cell r="AC216">
            <v>-123.88718505991842</v>
          </cell>
          <cell r="AD216">
            <v>10.06481</v>
          </cell>
          <cell r="AE216">
            <v>-5.5422500000000001</v>
          </cell>
          <cell r="AF216">
            <v>-281.60151562993366</v>
          </cell>
          <cell r="AG216">
            <v>47.210500000000003</v>
          </cell>
          <cell r="AH216">
            <v>0</v>
          </cell>
          <cell r="AI216">
            <v>0</v>
          </cell>
          <cell r="AJ216">
            <v>1433.9664600000001</v>
          </cell>
          <cell r="AK216">
            <v>-3155.9600599999999</v>
          </cell>
          <cell r="AL216">
            <v>-145.43677463396037</v>
          </cell>
          <cell r="AM216">
            <v>32.336500000000001</v>
          </cell>
          <cell r="AN216">
            <v>38.876300000000001</v>
          </cell>
          <cell r="AO216">
            <v>16.822074117135632</v>
          </cell>
          <cell r="AP216">
            <v>0</v>
          </cell>
          <cell r="AQ216">
            <v>0</v>
          </cell>
          <cell r="AR216">
            <v>0</v>
          </cell>
        </row>
        <row r="217">
          <cell r="W217" t="str">
            <v>Maintenance</v>
          </cell>
          <cell r="X217">
            <v>41.706479999999999</v>
          </cell>
          <cell r="Y217">
            <v>23.647320000000001</v>
          </cell>
          <cell r="Z217">
            <v>-76.368738613931725</v>
          </cell>
          <cell r="AA217">
            <v>25.3005</v>
          </cell>
          <cell r="AB217">
            <v>21.3005</v>
          </cell>
          <cell r="AC217">
            <v>-18.77890190371118</v>
          </cell>
          <cell r="AD217">
            <v>-99.700500000000005</v>
          </cell>
          <cell r="AE217">
            <v>83.821299999999994</v>
          </cell>
          <cell r="AF217">
            <v>218.9441108644223</v>
          </cell>
          <cell r="AG217">
            <v>0</v>
          </cell>
          <cell r="AH217">
            <v>0</v>
          </cell>
          <cell r="AI217">
            <v>0</v>
          </cell>
          <cell r="AJ217">
            <v>-32.693520000000007</v>
          </cell>
          <cell r="AK217">
            <v>128.76911999999999</v>
          </cell>
          <cell r="AL217">
            <v>125.38925481512959</v>
          </cell>
          <cell r="AM217">
            <v>2.3144999999999998</v>
          </cell>
          <cell r="AN217">
            <v>2.8868999999999998</v>
          </cell>
          <cell r="AO217">
            <v>19.827496622674843</v>
          </cell>
          <cell r="AP217">
            <v>0</v>
          </cell>
          <cell r="AQ217">
            <v>0</v>
          </cell>
          <cell r="AR217">
            <v>0</v>
          </cell>
        </row>
        <row r="218">
          <cell r="W218" t="str">
            <v>Internal Audit</v>
          </cell>
          <cell r="X218">
            <v>106.06214</v>
          </cell>
          <cell r="Y218">
            <v>88.465900000000005</v>
          </cell>
          <cell r="Z218">
            <v>-19.890421054892329</v>
          </cell>
          <cell r="AA218">
            <v>88.470160000000007</v>
          </cell>
          <cell r="AB218">
            <v>45.438499999999998</v>
          </cell>
          <cell r="AC218">
            <v>-94.703082188012388</v>
          </cell>
          <cell r="AD218">
            <v>6.0442900000000002</v>
          </cell>
          <cell r="AE218">
            <v>2.7334999999999998</v>
          </cell>
          <cell r="AF218">
            <v>-121.11907810499363</v>
          </cell>
          <cell r="AG218">
            <v>0</v>
          </cell>
          <cell r="AH218">
            <v>0</v>
          </cell>
          <cell r="AI218">
            <v>0</v>
          </cell>
          <cell r="AJ218">
            <v>200.57659000000001</v>
          </cell>
          <cell r="AK218">
            <v>136.6379</v>
          </cell>
          <cell r="AL218">
            <v>-46.794256937496847</v>
          </cell>
          <cell r="AM218">
            <v>0</v>
          </cell>
          <cell r="AN218">
            <v>0</v>
          </cell>
          <cell r="AO218">
            <v>0</v>
          </cell>
          <cell r="AP218">
            <v>0</v>
          </cell>
          <cell r="AQ218">
            <v>0</v>
          </cell>
          <cell r="AR218">
            <v>0</v>
          </cell>
        </row>
        <row r="219">
          <cell r="W219" t="str">
            <v>Data Processing</v>
          </cell>
          <cell r="X219">
            <v>181.34058999999999</v>
          </cell>
          <cell r="Y219">
            <v>148.28621999999999</v>
          </cell>
          <cell r="Z219">
            <v>-22.290924942317641</v>
          </cell>
          <cell r="AA219">
            <v>211.69564</v>
          </cell>
          <cell r="AB219">
            <v>124.6819</v>
          </cell>
          <cell r="AC219">
            <v>-69.788590003841776</v>
          </cell>
          <cell r="AD219">
            <v>363.17081000000002</v>
          </cell>
          <cell r="AE219">
            <v>113.1033</v>
          </cell>
          <cell r="AF219">
            <v>-221.09656393756859</v>
          </cell>
          <cell r="AG219">
            <v>23.000499999999999</v>
          </cell>
          <cell r="AH219">
            <v>22.000499999999999</v>
          </cell>
          <cell r="AI219">
            <v>-4.5453512420172277</v>
          </cell>
          <cell r="AJ219">
            <v>779.20753999999999</v>
          </cell>
          <cell r="AK219">
            <v>408.07191999999998</v>
          </cell>
          <cell r="AL219">
            <v>-90.948580828595126</v>
          </cell>
          <cell r="AM219">
            <v>106.63883</v>
          </cell>
          <cell r="AN219">
            <v>374.78822000000002</v>
          </cell>
          <cell r="AO219">
            <v>71.546909878864398</v>
          </cell>
          <cell r="AP219">
            <v>0</v>
          </cell>
          <cell r="AQ219">
            <v>0</v>
          </cell>
          <cell r="AR219">
            <v>0</v>
          </cell>
        </row>
        <row r="220">
          <cell r="W220" t="str">
            <v>Cash</v>
          </cell>
          <cell r="X220">
            <v>19.165579999999999</v>
          </cell>
          <cell r="Y220">
            <v>15.35322</v>
          </cell>
          <cell r="Z220">
            <v>-24.831012647509763</v>
          </cell>
          <cell r="AA220">
            <v>19.50638</v>
          </cell>
          <cell r="AB220">
            <v>8.5210500000000007</v>
          </cell>
          <cell r="AC220">
            <v>-128.91991010497529</v>
          </cell>
          <cell r="AD220">
            <v>0</v>
          </cell>
          <cell r="AE220">
            <v>0</v>
          </cell>
          <cell r="AF220">
            <v>0</v>
          </cell>
          <cell r="AG220">
            <v>0</v>
          </cell>
          <cell r="AH220">
            <v>2.9605000000000001</v>
          </cell>
          <cell r="AI220">
            <v>100</v>
          </cell>
          <cell r="AJ220">
            <v>38.671959999999999</v>
          </cell>
          <cell r="AK220">
            <v>26.834770000000002</v>
          </cell>
          <cell r="AL220">
            <v>-44.111389812545418</v>
          </cell>
          <cell r="AM220">
            <v>0.20749999999999999</v>
          </cell>
          <cell r="AN220">
            <v>0.26140000000000002</v>
          </cell>
          <cell r="AO220">
            <v>20.619739862280039</v>
          </cell>
          <cell r="AP220">
            <v>0</v>
          </cell>
          <cell r="AQ220">
            <v>0</v>
          </cell>
          <cell r="AR220">
            <v>0</v>
          </cell>
        </row>
        <row r="221">
          <cell r="W221" t="str">
            <v>Security</v>
          </cell>
          <cell r="X221">
            <v>167.82001</v>
          </cell>
          <cell r="Y221">
            <v>58.605069999999998</v>
          </cell>
          <cell r="Z221">
            <v>-186.35749432600286</v>
          </cell>
          <cell r="AA221">
            <v>2.9346000000000001</v>
          </cell>
          <cell r="AB221">
            <v>9.6018899999999991</v>
          </cell>
          <cell r="AC221">
            <v>69.437267038051885</v>
          </cell>
          <cell r="AD221">
            <v>2.1035300000000001</v>
          </cell>
          <cell r="AE221">
            <v>0.44312000000000001</v>
          </cell>
          <cell r="AF221">
            <v>-374.70888246975994</v>
          </cell>
          <cell r="AG221">
            <v>0</v>
          </cell>
          <cell r="AH221">
            <v>0</v>
          </cell>
          <cell r="AI221">
            <v>0</v>
          </cell>
          <cell r="AJ221">
            <v>172.85813999999999</v>
          </cell>
          <cell r="AK221">
            <v>68.650079999999988</v>
          </cell>
          <cell r="AL221">
            <v>-151.79597751379171</v>
          </cell>
          <cell r="AM221">
            <v>0</v>
          </cell>
          <cell r="AN221">
            <v>0</v>
          </cell>
          <cell r="AO221">
            <v>0</v>
          </cell>
          <cell r="AP221">
            <v>0</v>
          </cell>
          <cell r="AQ221">
            <v>0</v>
          </cell>
          <cell r="AR221">
            <v>0</v>
          </cell>
        </row>
        <row r="222">
          <cell r="W222" t="str">
            <v>Work Shop</v>
          </cell>
          <cell r="X222">
            <v>0</v>
          </cell>
          <cell r="Y222">
            <v>0</v>
          </cell>
          <cell r="Z222">
            <v>0</v>
          </cell>
          <cell r="AA222">
            <v>0</v>
          </cell>
          <cell r="AB222">
            <v>0</v>
          </cell>
          <cell r="AC222">
            <v>0</v>
          </cell>
          <cell r="AD222">
            <v>0</v>
          </cell>
          <cell r="AE222">
            <v>0</v>
          </cell>
          <cell r="AF222">
            <v>0</v>
          </cell>
          <cell r="AG222">
            <v>0</v>
          </cell>
          <cell r="AH222">
            <v>0</v>
          </cell>
          <cell r="AI222">
            <v>0</v>
          </cell>
          <cell r="AJ222">
            <v>0</v>
          </cell>
          <cell r="AK222">
            <v>0</v>
          </cell>
          <cell r="AL222">
            <v>0</v>
          </cell>
          <cell r="AM222">
            <v>0</v>
          </cell>
          <cell r="AN222">
            <v>0</v>
          </cell>
          <cell r="AO222">
            <v>0</v>
          </cell>
          <cell r="AP222">
            <v>0</v>
          </cell>
          <cell r="AQ222">
            <v>0</v>
          </cell>
          <cell r="AR222">
            <v>0</v>
          </cell>
        </row>
        <row r="223">
          <cell r="W223" t="str">
            <v>Refrigeration Unit</v>
          </cell>
          <cell r="X223">
            <v>211.04683</v>
          </cell>
          <cell r="Y223">
            <v>37.719479999999997</v>
          </cell>
          <cell r="Z223">
            <v>-459.51680670041054</v>
          </cell>
          <cell r="AA223">
            <v>117.64389</v>
          </cell>
          <cell r="AB223">
            <v>44.644219999999997</v>
          </cell>
          <cell r="AC223">
            <v>-163.51426903639486</v>
          </cell>
          <cell r="AD223">
            <v>25.25797</v>
          </cell>
          <cell r="AE223">
            <v>37.102420000000002</v>
          </cell>
          <cell r="AF223">
            <v>31.923658888018629</v>
          </cell>
          <cell r="AG223">
            <v>59.012500000000003</v>
          </cell>
          <cell r="AH223">
            <v>0</v>
          </cell>
          <cell r="AI223">
            <v>0</v>
          </cell>
          <cell r="AJ223">
            <v>412.96118999999999</v>
          </cell>
          <cell r="AK223">
            <v>119.46611999999999</v>
          </cell>
          <cell r="AL223">
            <v>-245.67222070993853</v>
          </cell>
          <cell r="AM223">
            <v>0.67349999999999999</v>
          </cell>
          <cell r="AN223">
            <v>0.6714</v>
          </cell>
          <cell r="AO223">
            <v>-0.31277926720285831</v>
          </cell>
          <cell r="AP223">
            <v>0</v>
          </cell>
          <cell r="AQ223">
            <v>0</v>
          </cell>
          <cell r="AR223">
            <v>0</v>
          </cell>
        </row>
        <row r="224">
          <cell r="W224" t="str">
            <v>General</v>
          </cell>
          <cell r="X224">
            <v>100.47391</v>
          </cell>
          <cell r="Y224">
            <v>125.21344999999999</v>
          </cell>
          <cell r="Z224">
            <v>19.757893421193963</v>
          </cell>
          <cell r="AA224">
            <v>187.82025999999999</v>
          </cell>
          <cell r="AB224">
            <v>1253.3188600000001</v>
          </cell>
          <cell r="AC224">
            <v>85.01416790297084</v>
          </cell>
          <cell r="AD224">
            <v>2076.5918900000001</v>
          </cell>
          <cell r="AE224">
            <v>2998.5579899999998</v>
          </cell>
          <cell r="AF224">
            <v>30.746982485404583</v>
          </cell>
          <cell r="AG224">
            <v>374.25499000000002</v>
          </cell>
          <cell r="AH224">
            <v>-1.5055000000000001</v>
          </cell>
          <cell r="AI224">
            <v>-24959.182331451346</v>
          </cell>
          <cell r="AJ224">
            <v>2739.1410500000002</v>
          </cell>
          <cell r="AK224">
            <v>4375.5847999999996</v>
          </cell>
          <cell r="AL224">
            <v>37.399429443122656</v>
          </cell>
          <cell r="AM224">
            <v>256.09321999999997</v>
          </cell>
          <cell r="AN224">
            <v>154.25977</v>
          </cell>
          <cell r="AO224">
            <v>-66.014262824325471</v>
          </cell>
          <cell r="AP224">
            <v>4252.2134500000002</v>
          </cell>
          <cell r="AQ224">
            <v>36043.438260000003</v>
          </cell>
          <cell r="AR224">
            <v>88.202531014586967</v>
          </cell>
        </row>
        <row r="225">
          <cell r="W225" t="str">
            <v>Whouse M'kuliya</v>
          </cell>
          <cell r="X225">
            <v>140</v>
          </cell>
          <cell r="Y225">
            <v>0</v>
          </cell>
          <cell r="Z225">
            <v>0</v>
          </cell>
          <cell r="AA225">
            <v>130</v>
          </cell>
          <cell r="AB225">
            <v>0</v>
          </cell>
          <cell r="AC225">
            <v>0</v>
          </cell>
          <cell r="AD225">
            <v>689</v>
          </cell>
          <cell r="AE225">
            <v>0</v>
          </cell>
          <cell r="AF225">
            <v>0</v>
          </cell>
          <cell r="AG225">
            <v>0</v>
          </cell>
          <cell r="AH225">
            <v>0</v>
          </cell>
          <cell r="AI225">
            <v>0</v>
          </cell>
          <cell r="AJ225">
            <v>959</v>
          </cell>
          <cell r="AK225">
            <v>0</v>
          </cell>
          <cell r="AL225">
            <v>0</v>
          </cell>
          <cell r="AM225">
            <v>0</v>
          </cell>
          <cell r="AN225">
            <v>0</v>
          </cell>
          <cell r="AO225">
            <v>0</v>
          </cell>
          <cell r="AP225">
            <v>0</v>
          </cell>
          <cell r="AQ225">
            <v>0</v>
          </cell>
          <cell r="AR225">
            <v>0</v>
          </cell>
        </row>
        <row r="226">
          <cell r="W226" t="str">
            <v>Indirect - Others</v>
          </cell>
          <cell r="X226">
            <v>1151.6223600000001</v>
          </cell>
          <cell r="Y226">
            <v>1836.7294799999997</v>
          </cell>
          <cell r="Z226">
            <v>37.300382416685537</v>
          </cell>
          <cell r="AA226">
            <v>5454.4529000000002</v>
          </cell>
          <cell r="AB226">
            <v>-1338.2892300000001</v>
          </cell>
          <cell r="AC226">
            <v>-507.56906487247153</v>
          </cell>
          <cell r="AD226">
            <v>3219.0870500000001</v>
          </cell>
          <cell r="AE226">
            <v>3471.9142499999998</v>
          </cell>
          <cell r="AF226">
            <v>7.2820692504142279</v>
          </cell>
          <cell r="AG226">
            <v>623.37454000000002</v>
          </cell>
          <cell r="AH226">
            <v>46.456000000000003</v>
          </cell>
          <cell r="AI226">
            <v>-1241.8601257103494</v>
          </cell>
          <cell r="AJ226">
            <v>10448.53685</v>
          </cell>
          <cell r="AK226">
            <v>4016.8104999999996</v>
          </cell>
          <cell r="AL226">
            <v>-160.1202334538809</v>
          </cell>
          <cell r="AM226">
            <v>591.45204999999987</v>
          </cell>
          <cell r="AN226">
            <v>815.78918999999996</v>
          </cell>
          <cell r="AO226">
            <v>27.499400917533624</v>
          </cell>
          <cell r="AP226">
            <v>4252.2134500000002</v>
          </cell>
          <cell r="AQ226">
            <v>36044.088810000001</v>
          </cell>
          <cell r="AR226">
            <v>88.202743943910505</v>
          </cell>
        </row>
        <row r="227">
          <cell r="W227" t="str">
            <v>Total</v>
          </cell>
          <cell r="X227">
            <v>2646.1060299999999</v>
          </cell>
          <cell r="Y227">
            <v>3950.8160799999996</v>
          </cell>
          <cell r="Z227">
            <v>33.023811374180696</v>
          </cell>
          <cell r="AA227">
            <v>6018.67227</v>
          </cell>
          <cell r="AB227">
            <v>-503.77266000000009</v>
          </cell>
          <cell r="AC227">
            <v>-1294.719909968913</v>
          </cell>
          <cell r="AD227">
            <v>4154.9975300000006</v>
          </cell>
          <cell r="AE227">
            <v>4030.1436899999999</v>
          </cell>
          <cell r="AF227">
            <v>-3.0979997142484188</v>
          </cell>
          <cell r="AG227">
            <v>1353.99433</v>
          </cell>
          <cell r="AH227">
            <v>4289.50918</v>
          </cell>
          <cell r="AI227">
            <v>68.43474921762494</v>
          </cell>
          <cell r="AJ227">
            <v>14173.77016</v>
          </cell>
          <cell r="AK227">
            <v>11766.69629</v>
          </cell>
          <cell r="AL227">
            <v>-20.456666940963427</v>
          </cell>
          <cell r="AM227">
            <v>627.1045499999999</v>
          </cell>
          <cell r="AN227">
            <v>834.12009</v>
          </cell>
          <cell r="AO227">
            <v>24.818433518367851</v>
          </cell>
          <cell r="AP227">
            <v>4297.2238299999999</v>
          </cell>
          <cell r="AQ227">
            <v>36044.088810000001</v>
          </cell>
          <cell r="AR227">
            <v>88.077868044738068</v>
          </cell>
        </row>
        <row r="240">
          <cell r="AV240">
            <v>1</v>
          </cell>
          <cell r="BE240" t="str">
            <v>Schedule 1</v>
          </cell>
        </row>
        <row r="241">
          <cell r="AV241" t="str">
            <v>CARGILLS ( CEYLON ) LTD</v>
          </cell>
        </row>
        <row r="243">
          <cell r="AV243" t="str">
            <v xml:space="preserve"> Summarised Profit &amp; Loss Account - Month of March 2004 (compared to Last Year)</v>
          </cell>
        </row>
        <row r="244">
          <cell r="AW244" t="str">
            <v>MTH V MTH</v>
          </cell>
          <cell r="BF244">
            <v>38154.357810300928</v>
          </cell>
        </row>
        <row r="245">
          <cell r="AV245" t="str">
            <v>Particulars</v>
          </cell>
          <cell r="BA245">
            <v>38047</v>
          </cell>
          <cell r="BC245">
            <v>37681</v>
          </cell>
          <cell r="BE245" t="str">
            <v>Var</v>
          </cell>
          <cell r="BG245" t="str">
            <v>Revised Budget 96/97</v>
          </cell>
          <cell r="BI245" t="str">
            <v>Var %</v>
          </cell>
        </row>
        <row r="246">
          <cell r="BA246" t="str">
            <v>Rs 000's</v>
          </cell>
          <cell r="BB246" t="str">
            <v>%</v>
          </cell>
          <cell r="BC246" t="str">
            <v>Rs 000's</v>
          </cell>
          <cell r="BD246" t="str">
            <v>%</v>
          </cell>
          <cell r="BE246" t="str">
            <v>Rs 000's</v>
          </cell>
          <cell r="BF246" t="str">
            <v>%</v>
          </cell>
          <cell r="BG246" t="str">
            <v>Rs 000's</v>
          </cell>
          <cell r="BH246" t="str">
            <v>%</v>
          </cell>
          <cell r="BI246" t="str">
            <v>Rs 000's</v>
          </cell>
        </row>
        <row r="247">
          <cell r="AW247" t="str">
            <v>Gross Turnover</v>
          </cell>
          <cell r="BA247">
            <v>719686.83204000001</v>
          </cell>
          <cell r="BB247">
            <v>100</v>
          </cell>
          <cell r="BC247">
            <v>395454.96739000006</v>
          </cell>
          <cell r="BD247">
            <v>100</v>
          </cell>
          <cell r="BE247">
            <v>324231.86464999994</v>
          </cell>
          <cell r="BF247">
            <v>81.989579443122921</v>
          </cell>
          <cell r="BG247">
            <v>1283979</v>
          </cell>
          <cell r="BH247">
            <v>100</v>
          </cell>
          <cell r="BI247">
            <v>564292.16795999999</v>
          </cell>
          <cell r="BJ247">
            <v>43.948706946141641</v>
          </cell>
        </row>
        <row r="248">
          <cell r="AW248" t="str">
            <v>Turnover Tax</v>
          </cell>
          <cell r="BA248">
            <v>8150.7310000000016</v>
          </cell>
          <cell r="BB248">
            <v>1.1325385761048614</v>
          </cell>
          <cell r="BC248">
            <v>5343.6049999999996</v>
          </cell>
          <cell r="BD248">
            <v>1.3512549950422306</v>
          </cell>
          <cell r="BE248">
            <v>-2807.126000000002</v>
          </cell>
          <cell r="BF248">
            <v>-52.532438307097962</v>
          </cell>
        </row>
        <row r="249">
          <cell r="AW249" t="str">
            <v>TURNOVER AFTER TURNOVER TAX</v>
          </cell>
          <cell r="AZ249" t="str">
            <v>A</v>
          </cell>
          <cell r="BA249">
            <v>711536.10103999998</v>
          </cell>
          <cell r="BB249">
            <v>98.867461423895136</v>
          </cell>
          <cell r="BC249">
            <v>390111.36239000008</v>
          </cell>
          <cell r="BD249">
            <v>98.648745004957775</v>
          </cell>
          <cell r="BE249">
            <v>321424.7386499999</v>
          </cell>
          <cell r="BF249">
            <v>82.393072757687804</v>
          </cell>
        </row>
        <row r="250">
          <cell r="AW250" t="str">
            <v>COST OF SALES</v>
          </cell>
          <cell r="AZ250" t="str">
            <v>B</v>
          </cell>
          <cell r="BA250">
            <v>611567.14084000001</v>
          </cell>
          <cell r="BB250">
            <v>84.976841816943121</v>
          </cell>
          <cell r="BC250">
            <v>328717.93498000002</v>
          </cell>
          <cell r="BD250">
            <v>83.123986821947398</v>
          </cell>
          <cell r="BE250">
            <v>-282849.20585999999</v>
          </cell>
          <cell r="BF250">
            <v>-86.046173865508493</v>
          </cell>
        </row>
        <row r="251">
          <cell r="AW251" t="str">
            <v>POTENTIAL GROSS PROFIT</v>
          </cell>
          <cell r="AY251" t="str">
            <v>(A-B)</v>
          </cell>
          <cell r="AZ251" t="str">
            <v>C</v>
          </cell>
          <cell r="BA251">
            <v>99968.96020000003</v>
          </cell>
          <cell r="BB251">
            <v>13.890619606952011</v>
          </cell>
          <cell r="BC251">
            <v>61393.427410000033</v>
          </cell>
          <cell r="BD251">
            <v>15.524758183010373</v>
          </cell>
          <cell r="BE251">
            <v>38575.532789999997</v>
          </cell>
          <cell r="BF251">
            <v>62.83332665626132</v>
          </cell>
        </row>
        <row r="252">
          <cell r="AW252" t="str">
            <v>STOCK ADJUSTMENTS</v>
          </cell>
          <cell r="AZ252" t="str">
            <v>D</v>
          </cell>
          <cell r="BA252">
            <v>-3602</v>
          </cell>
          <cell r="BB252">
            <v>-0.50049547103562975</v>
          </cell>
          <cell r="BC252">
            <v>-2312.556</v>
          </cell>
          <cell r="BD252">
            <v>-0.58478365191942161</v>
          </cell>
          <cell r="BE252">
            <v>-1289.444</v>
          </cell>
          <cell r="BF252">
            <v>-55.758390283305573</v>
          </cell>
        </row>
        <row r="253">
          <cell r="AW253" t="str">
            <v>ACHIEVED GROSS PROFIT</v>
          </cell>
          <cell r="AY253" t="str">
            <v>(C-D)</v>
          </cell>
          <cell r="AZ253" t="str">
            <v>E</v>
          </cell>
          <cell r="BA253">
            <v>96366.96020000003</v>
          </cell>
          <cell r="BB253">
            <v>13.390124135916381</v>
          </cell>
          <cell r="BC253">
            <v>59080.871410000036</v>
          </cell>
          <cell r="BD253">
            <v>14.939974531090952</v>
          </cell>
          <cell r="BE253">
            <v>37286.088789999994</v>
          </cell>
          <cell r="BF253">
            <v>63.110255316391537</v>
          </cell>
          <cell r="BG253">
            <v>160271</v>
          </cell>
          <cell r="BH253">
            <v>12.482369259933378</v>
          </cell>
          <cell r="BI253">
            <v>63904.03979999997</v>
          </cell>
          <cell r="BJ253">
            <v>39.872490843633578</v>
          </cell>
        </row>
        <row r="254">
          <cell r="AW254" t="str">
            <v>Other Direct Income</v>
          </cell>
          <cell r="BA254">
            <v>7165.7075900000009</v>
          </cell>
          <cell r="BB254">
            <v>0.99567023752377515</v>
          </cell>
          <cell r="BC254">
            <v>6263.9033200000031</v>
          </cell>
          <cell r="BD254">
            <v>1.5839738621420587</v>
          </cell>
          <cell r="BE254">
            <v>901.80426999999781</v>
          </cell>
          <cell r="BF254">
            <v>14.396842095576872</v>
          </cell>
        </row>
        <row r="255">
          <cell r="AW255" t="str">
            <v>GROSS INCOME</v>
          </cell>
          <cell r="AZ255" t="str">
            <v>F</v>
          </cell>
          <cell r="BA255">
            <v>103532.66779000004</v>
          </cell>
          <cell r="BB255">
            <v>14.385794373440158</v>
          </cell>
          <cell r="BC255">
            <v>65344.774730000041</v>
          </cell>
          <cell r="BD255">
            <v>16.52394839323301</v>
          </cell>
          <cell r="BE255">
            <v>38187.893059999995</v>
          </cell>
          <cell r="BF255">
            <v>58.44062240292304</v>
          </cell>
        </row>
        <row r="256">
          <cell r="AW256" t="str">
            <v>Staff Related Expenses</v>
          </cell>
          <cell r="BA256">
            <v>21223.693410000003</v>
          </cell>
          <cell r="BB256">
            <v>2.9490178873830493</v>
          </cell>
          <cell r="BC256">
            <v>12965.9504</v>
          </cell>
          <cell r="BD256">
            <v>3.2787425798631835</v>
          </cell>
          <cell r="BE256">
            <v>-8257.7430100000038</v>
          </cell>
          <cell r="BF256">
            <v>-63.687911454605008</v>
          </cell>
          <cell r="BG256">
            <v>41418</v>
          </cell>
          <cell r="BH256">
            <v>3.2257536922332837</v>
          </cell>
          <cell r="BI256">
            <v>20194.306589999997</v>
          </cell>
          <cell r="BJ256">
            <v>48.757319498768645</v>
          </cell>
        </row>
        <row r="257">
          <cell r="AW257" t="str">
            <v>Administration Expenses</v>
          </cell>
          <cell r="BA257">
            <v>4065.3049800000008</v>
          </cell>
          <cell r="BB257">
            <v>0.56487138558261851</v>
          </cell>
          <cell r="BC257">
            <v>1843.3177499999997</v>
          </cell>
          <cell r="BD257">
            <v>0.46612583024709076</v>
          </cell>
          <cell r="BE257">
            <v>-2221.9872300000011</v>
          </cell>
          <cell r="BF257">
            <v>-120.54282176797796</v>
          </cell>
          <cell r="BG257">
            <v>11043</v>
          </cell>
          <cell r="BH257">
            <v>0.86006079538684044</v>
          </cell>
          <cell r="BI257">
            <v>6977.6950199999992</v>
          </cell>
          <cell r="BJ257">
            <v>63.18658897038847</v>
          </cell>
        </row>
        <row r="258">
          <cell r="AW258" t="str">
            <v>Establishment Expenses</v>
          </cell>
          <cell r="BA258">
            <v>33729.662400000016</v>
          </cell>
          <cell r="BB258">
            <v>4.6867138452972741</v>
          </cell>
          <cell r="BC258">
            <v>19449.794630000008</v>
          </cell>
          <cell r="BD258">
            <v>4.9183336242729512</v>
          </cell>
          <cell r="BE258">
            <v>-14279.867770000008</v>
          </cell>
          <cell r="BF258">
            <v>-73.419118513335178</v>
          </cell>
          <cell r="BG258">
            <v>40737</v>
          </cell>
          <cell r="BH258">
            <v>3.1727154416076897</v>
          </cell>
          <cell r="BI258">
            <v>7007.3375999999844</v>
          </cell>
          <cell r="BJ258">
            <v>17.201408056557881</v>
          </cell>
        </row>
        <row r="259">
          <cell r="AW259" t="str">
            <v>Selling &amp; Distribution Expenses</v>
          </cell>
          <cell r="BA259">
            <v>30835.487749999993</v>
          </cell>
          <cell r="BB259">
            <v>4.2845702293308277</v>
          </cell>
          <cell r="BC259">
            <v>8505.5823800000016</v>
          </cell>
          <cell r="BD259">
            <v>2.1508346288167233</v>
          </cell>
          <cell r="BE259">
            <v>-22329.905369999993</v>
          </cell>
          <cell r="BF259">
            <v>-262.53235078301589</v>
          </cell>
          <cell r="BG259">
            <v>24499</v>
          </cell>
          <cell r="BH259">
            <v>1.9080530133280995</v>
          </cell>
          <cell r="BI259">
            <v>-6336.487749999993</v>
          </cell>
          <cell r="BJ259">
            <v>-25.864270990652649</v>
          </cell>
        </row>
        <row r="260">
          <cell r="AW260" t="str">
            <v>DIRECT EXPENSES</v>
          </cell>
          <cell r="AZ260" t="str">
            <v>G</v>
          </cell>
          <cell r="BA260">
            <v>89854.148540000024</v>
          </cell>
          <cell r="BB260">
            <v>12.48517334759377</v>
          </cell>
          <cell r="BC260">
            <v>42764.645160000007</v>
          </cell>
          <cell r="BD260">
            <v>10.814036663199948</v>
          </cell>
          <cell r="BE260">
            <v>-47089.503380000016</v>
          </cell>
          <cell r="BF260">
            <v>-110.11316287980164</v>
          </cell>
          <cell r="BG260">
            <v>117697</v>
          </cell>
          <cell r="BH260">
            <v>9.1665829425559142</v>
          </cell>
          <cell r="BI260">
            <v>27842.851459999983</v>
          </cell>
          <cell r="BJ260">
            <v>23.656381607007813</v>
          </cell>
        </row>
        <row r="261">
          <cell r="AW261" t="str">
            <v>DIVISIONAL CONTRIBUTION BEF DIR D/A &amp;FIN</v>
          </cell>
          <cell r="AY261" t="str">
            <v>(F-G)</v>
          </cell>
          <cell r="AZ261" t="str">
            <v>H</v>
          </cell>
          <cell r="BA261">
            <v>13678.519250000012</v>
          </cell>
          <cell r="BB261">
            <v>1.9006210258463871</v>
          </cell>
          <cell r="BC261">
            <v>22580.129570000034</v>
          </cell>
          <cell r="BD261">
            <v>5.7099117300330615</v>
          </cell>
          <cell r="BE261">
            <v>-8901.6103200000216</v>
          </cell>
          <cell r="BF261">
            <v>-39.422317274151972</v>
          </cell>
          <cell r="BG261" t="e">
            <v>#REF!</v>
          </cell>
          <cell r="BH261" t="e">
            <v>#REF!</v>
          </cell>
          <cell r="BI261" t="e">
            <v>#REF!</v>
          </cell>
          <cell r="BJ261" t="e">
            <v>#REF!</v>
          </cell>
        </row>
        <row r="262">
          <cell r="AW262" t="str">
            <v>Depreciation - Direct</v>
          </cell>
          <cell r="BA262">
            <v>3436.5104499999998</v>
          </cell>
          <cell r="BB262">
            <v>0.47750080965897118</v>
          </cell>
          <cell r="BC262">
            <v>2118.9059099999999</v>
          </cell>
          <cell r="BD262">
            <v>0.53581471589161311</v>
          </cell>
          <cell r="BE262">
            <v>-1317.6045399999998</v>
          </cell>
          <cell r="BF262">
            <v>-62.183249090092907</v>
          </cell>
          <cell r="BG262">
            <v>0</v>
          </cell>
          <cell r="BH262">
            <v>0</v>
          </cell>
          <cell r="BI262">
            <v>-3436.5104499999998</v>
          </cell>
          <cell r="BJ262" t="e">
            <v>#DIV/0!</v>
          </cell>
        </row>
        <row r="263">
          <cell r="AW263" t="str">
            <v>Ammortisation - Direct</v>
          </cell>
          <cell r="BA263">
            <v>4117.8620000000001</v>
          </cell>
          <cell r="BB263">
            <v>0.57217414807043887</v>
          </cell>
          <cell r="BC263">
            <v>2335.81</v>
          </cell>
          <cell r="BD263">
            <v>0.59066396748442163</v>
          </cell>
          <cell r="BE263">
            <v>-1782.0520000000001</v>
          </cell>
          <cell r="BF263">
            <v>-76.292677914727662</v>
          </cell>
        </row>
        <row r="264">
          <cell r="AW264" t="str">
            <v>Finance Costs - Direct</v>
          </cell>
          <cell r="BA264">
            <v>-46.490829999999733</v>
          </cell>
          <cell r="BB264">
            <v>-6.4598694779809144E-3</v>
          </cell>
          <cell r="BC264">
            <v>-64.163809999998193</v>
          </cell>
          <cell r="BD264">
            <v>-1.6225313952554162E-2</v>
          </cell>
          <cell r="BE264">
            <v>-17.672979999998461</v>
          </cell>
          <cell r="BF264">
            <v>-27.543532717273116</v>
          </cell>
          <cell r="BG264">
            <v>0</v>
          </cell>
          <cell r="BH264">
            <v>0</v>
          </cell>
          <cell r="BI264">
            <v>46.490829999999733</v>
          </cell>
          <cell r="BJ264" t="e">
            <v>#DIV/0!</v>
          </cell>
        </row>
        <row r="265">
          <cell r="AW265" t="str">
            <v>DIRECT D/A &amp; FIN COSTS</v>
          </cell>
          <cell r="AZ265" t="str">
            <v>I</v>
          </cell>
          <cell r="BA265">
            <v>7507.8816200000001</v>
          </cell>
          <cell r="BB265">
            <v>1.0432150882514291</v>
          </cell>
          <cell r="BC265">
            <v>4390.5521000000017</v>
          </cell>
          <cell r="BD265">
            <v>1.1102533694234804</v>
          </cell>
          <cell r="BE265">
            <v>-3117.3295199999984</v>
          </cell>
          <cell r="BF265">
            <v>-71.000854767217021</v>
          </cell>
          <cell r="BG265">
            <v>0</v>
          </cell>
          <cell r="BH265">
            <v>0</v>
          </cell>
          <cell r="BI265">
            <v>-7507.8816200000001</v>
          </cell>
          <cell r="BJ265" t="e">
            <v>#DIV/0!</v>
          </cell>
        </row>
        <row r="266">
          <cell r="AW266" t="str">
            <v>DIVISIONAL CONTRIBUTION AFTER DIR D/A &amp; FIN</v>
          </cell>
          <cell r="AY266" t="str">
            <v>(H-I)</v>
          </cell>
          <cell r="AZ266" t="str">
            <v>J</v>
          </cell>
          <cell r="BA266">
            <v>6170.637630000012</v>
          </cell>
          <cell r="BB266">
            <v>0.85740593759495787</v>
          </cell>
          <cell r="BC266">
            <v>18189.577470000033</v>
          </cell>
          <cell r="BD266">
            <v>4.599658360609582</v>
          </cell>
          <cell r="BE266">
            <v>-12018.939840000021</v>
          </cell>
          <cell r="BF266">
            <v>-66.075970482672233</v>
          </cell>
          <cell r="BG266">
            <v>0</v>
          </cell>
          <cell r="BH266">
            <v>0</v>
          </cell>
          <cell r="BI266">
            <v>-6170.637630000012</v>
          </cell>
          <cell r="BJ266" t="e">
            <v>#DIV/0!</v>
          </cell>
        </row>
        <row r="267">
          <cell r="AW267" t="str">
            <v>Indirect Expenses - Service</v>
          </cell>
          <cell r="BA267">
            <v>3725.2333100000005</v>
          </cell>
          <cell r="BB267">
            <v>0.51761865635926385</v>
          </cell>
          <cell r="BC267">
            <v>7749.8857899999994</v>
          </cell>
          <cell r="BD267">
            <v>1.9597391432832896</v>
          </cell>
          <cell r="BE267">
            <v>4024.6524799999988</v>
          </cell>
          <cell r="BF267">
            <v>51.93176504863046</v>
          </cell>
          <cell r="BG267">
            <v>37559</v>
          </cell>
          <cell r="BH267">
            <v>2.9252036053549162</v>
          </cell>
          <cell r="BI267">
            <v>33833.766689999997</v>
          </cell>
          <cell r="BJ267">
            <v>90.08164937831144</v>
          </cell>
        </row>
        <row r="268">
          <cell r="AW268" t="str">
            <v>Indirect Expenses - Others</v>
          </cell>
          <cell r="BA268">
            <v>10448.53685</v>
          </cell>
          <cell r="BB268">
            <v>1.4518171494652654</v>
          </cell>
          <cell r="BC268">
            <v>4016.8104999999996</v>
          </cell>
          <cell r="BD268">
            <v>1.0157441001464516</v>
          </cell>
          <cell r="BE268">
            <v>-6431.7263500000008</v>
          </cell>
          <cell r="BF268">
            <v>-160.1202334538809</v>
          </cell>
          <cell r="BG268" t="e">
            <v>#REF!</v>
          </cell>
          <cell r="BH268" t="e">
            <v>#REF!</v>
          </cell>
          <cell r="BI268" t="e">
            <v>#REF!</v>
          </cell>
          <cell r="BJ268" t="e">
            <v>#REF!</v>
          </cell>
        </row>
        <row r="269">
          <cell r="AW269" t="str">
            <v>INDIRECT EXPENSES</v>
          </cell>
          <cell r="BA269">
            <v>14173.77016</v>
          </cell>
          <cell r="BB269">
            <v>1.9694358058245292</v>
          </cell>
          <cell r="BC269">
            <v>11766.69629</v>
          </cell>
          <cell r="BD269">
            <v>2.9754832434297414</v>
          </cell>
          <cell r="BE269">
            <v>-2407.0738700000002</v>
          </cell>
          <cell r="BF269">
            <v>-20.456666940963427</v>
          </cell>
          <cell r="BG269">
            <v>8551</v>
          </cell>
          <cell r="BH269">
            <v>0.66597662422827786</v>
          </cell>
          <cell r="BI269">
            <v>-5622.77016</v>
          </cell>
          <cell r="BJ269">
            <v>-65.755702958718274</v>
          </cell>
        </row>
        <row r="270">
          <cell r="AW270" t="str">
            <v>Depreciation - Indirect</v>
          </cell>
          <cell r="BA270">
            <v>476.60154999999992</v>
          </cell>
          <cell r="BB270">
            <v>6.6223463982110278E-2</v>
          </cell>
          <cell r="BC270">
            <v>727.75909000000001</v>
          </cell>
          <cell r="BD270">
            <v>0.18403083789873845</v>
          </cell>
          <cell r="BE270">
            <v>251.1575400000001</v>
          </cell>
          <cell r="BF270">
            <v>34.511082506712505</v>
          </cell>
          <cell r="BG270">
            <v>2389</v>
          </cell>
          <cell r="BH270">
            <v>0.18606223310505857</v>
          </cell>
          <cell r="BI270">
            <v>1912.3984500000001</v>
          </cell>
          <cell r="BJ270">
            <v>80.050165341146922</v>
          </cell>
        </row>
        <row r="271">
          <cell r="AW271" t="str">
            <v>Ammortisation - Indirect</v>
          </cell>
          <cell r="BA271">
            <v>150.50299999999999</v>
          </cell>
          <cell r="BB271">
            <v>2.0912290360154188E-2</v>
          </cell>
          <cell r="BC271">
            <v>106.361</v>
          </cell>
          <cell r="BD271">
            <v>2.6895856360581796E-2</v>
          </cell>
          <cell r="BE271">
            <v>-44.141999999999982</v>
          </cell>
          <cell r="BF271">
            <v>-41.502054324423412</v>
          </cell>
        </row>
        <row r="272">
          <cell r="AW272" t="str">
            <v>Finance Costs - Indirect</v>
          </cell>
          <cell r="BA272">
            <v>4297.2238299999999</v>
          </cell>
          <cell r="BB272">
            <v>0.59709635339849609</v>
          </cell>
          <cell r="BC272">
            <v>36044.088810000001</v>
          </cell>
          <cell r="BD272">
            <v>9.1145874454152711</v>
          </cell>
          <cell r="BE272">
            <v>31746.864980000002</v>
          </cell>
          <cell r="BF272">
            <v>88.077868044738068</v>
          </cell>
          <cell r="BG272">
            <v>10940</v>
          </cell>
          <cell r="BH272">
            <v>0.8520388573333364</v>
          </cell>
          <cell r="BI272">
            <v>6642.7761700000001</v>
          </cell>
          <cell r="BJ272">
            <v>60.720074680073125</v>
          </cell>
        </row>
        <row r="273">
          <cell r="AW273" t="str">
            <v>INDIRECT D/A &amp; FIN</v>
          </cell>
          <cell r="AZ273" t="str">
            <v>L</v>
          </cell>
          <cell r="BA273">
            <v>4924.3283799999999</v>
          </cell>
          <cell r="BB273">
            <v>0.68423210774076071</v>
          </cell>
          <cell r="BC273">
            <v>36878.208899999998</v>
          </cell>
          <cell r="BD273">
            <v>9.325514139674592</v>
          </cell>
          <cell r="BE273">
            <v>31953.880519999999</v>
          </cell>
          <cell r="BF273">
            <v>86.647051126173324</v>
          </cell>
          <cell r="BG273">
            <v>698</v>
          </cell>
          <cell r="BH273">
            <v>5.4362259818891118E-2</v>
          </cell>
          <cell r="BI273">
            <v>-4226.3283799999999</v>
          </cell>
          <cell r="BJ273">
            <v>-605.49117191977075</v>
          </cell>
        </row>
        <row r="274">
          <cell r="AW274" t="str">
            <v>TRADING PROFIT</v>
          </cell>
          <cell r="AY274" t="str">
            <v>(J-K-L)</v>
          </cell>
          <cell r="AZ274" t="str">
            <v>M</v>
          </cell>
          <cell r="BA274">
            <v>-12927.460909999987</v>
          </cell>
          <cell r="BB274">
            <v>-1.7962619759703318</v>
          </cell>
          <cell r="BC274">
            <v>-30455.327719999965</v>
          </cell>
          <cell r="BD274">
            <v>-7.7013390224947509</v>
          </cell>
          <cell r="BE274">
            <v>17527.866809999978</v>
          </cell>
          <cell r="BF274">
            <v>-57.552711207535147</v>
          </cell>
          <cell r="BG274">
            <v>42273</v>
          </cell>
          <cell r="BH274">
            <v>3.29234356636674</v>
          </cell>
          <cell r="BI274">
            <v>55200.460909999987</v>
          </cell>
          <cell r="BJ274">
            <v>130.5808930286471</v>
          </cell>
        </row>
        <row r="275">
          <cell r="AW275" t="str">
            <v>Rental Income</v>
          </cell>
          <cell r="BA275">
            <v>1290.3579999999999</v>
          </cell>
          <cell r="BB275">
            <v>0.17929437396296311</v>
          </cell>
          <cell r="BC275">
            <v>1262.473</v>
          </cell>
          <cell r="BD275">
            <v>0.31924570535358621</v>
          </cell>
          <cell r="BE275">
            <v>27.884999999999991</v>
          </cell>
          <cell r="BF275">
            <v>2.2087601081369654</v>
          </cell>
          <cell r="BG275">
            <v>0</v>
          </cell>
          <cell r="BI275">
            <v>-1290.3579999999999</v>
          </cell>
          <cell r="BJ275" t="e">
            <v>#DIV/0!</v>
          </cell>
        </row>
        <row r="276">
          <cell r="AW276" t="str">
            <v>Other Income</v>
          </cell>
          <cell r="BA276">
            <v>3742.2790000000005</v>
          </cell>
          <cell r="BB276">
            <v>0.51998714349021269</v>
          </cell>
          <cell r="BC276">
            <v>10425.355</v>
          </cell>
          <cell r="BD276">
            <v>2.6362938538380911</v>
          </cell>
          <cell r="BE276">
            <v>-6683.0759999999991</v>
          </cell>
          <cell r="BF276">
            <v>-64.104061684230402</v>
          </cell>
          <cell r="BG276">
            <v>42910</v>
          </cell>
          <cell r="BI276">
            <v>39167.720999999998</v>
          </cell>
          <cell r="BJ276">
            <v>91.278771848054063</v>
          </cell>
        </row>
        <row r="277">
          <cell r="AW277" t="str">
            <v>Dividend Income</v>
          </cell>
          <cell r="BA277">
            <v>0</v>
          </cell>
          <cell r="BB277">
            <v>0</v>
          </cell>
          <cell r="BC277">
            <v>0</v>
          </cell>
          <cell r="BD277">
            <v>0</v>
          </cell>
          <cell r="BE277">
            <v>0</v>
          </cell>
          <cell r="BF277">
            <v>0</v>
          </cell>
          <cell r="BG277">
            <v>42910</v>
          </cell>
          <cell r="BI277">
            <v>42910</v>
          </cell>
          <cell r="BJ277">
            <v>100</v>
          </cell>
        </row>
        <row r="278">
          <cell r="AW278" t="str">
            <v>Profit/(Loss) on Sale of Fixed Assets</v>
          </cell>
          <cell r="BA278">
            <v>0</v>
          </cell>
          <cell r="BB278">
            <v>0</v>
          </cell>
          <cell r="BC278">
            <v>0</v>
          </cell>
          <cell r="BD278">
            <v>0</v>
          </cell>
          <cell r="BE278">
            <v>0</v>
          </cell>
          <cell r="BF278">
            <v>0</v>
          </cell>
          <cell r="BG278">
            <v>0</v>
          </cell>
          <cell r="BI278">
            <v>0</v>
          </cell>
          <cell r="BJ278" t="e">
            <v>#DIV/0!</v>
          </cell>
        </row>
        <row r="279">
          <cell r="AW279" t="str">
            <v>Exceptional Items</v>
          </cell>
          <cell r="BA279">
            <v>0</v>
          </cell>
          <cell r="BB279">
            <v>0</v>
          </cell>
          <cell r="BC279">
            <v>0</v>
          </cell>
          <cell r="BD279">
            <v>0</v>
          </cell>
          <cell r="BE279">
            <v>0</v>
          </cell>
          <cell r="BF279">
            <v>0</v>
          </cell>
          <cell r="BG279">
            <v>42910</v>
          </cell>
          <cell r="BI279">
            <v>42910</v>
          </cell>
          <cell r="BJ279">
            <v>100</v>
          </cell>
        </row>
        <row r="280">
          <cell r="AW280" t="str">
            <v>Profit Before Taxation</v>
          </cell>
          <cell r="BA280">
            <v>-7894.8239099999864</v>
          </cell>
          <cell r="BB280">
            <v>-1.0969804585171561</v>
          </cell>
          <cell r="BC280">
            <v>-18767.499719999967</v>
          </cell>
          <cell r="BD280">
            <v>-4.7457994633030731</v>
          </cell>
          <cell r="BE280">
            <v>10872.675809999981</v>
          </cell>
          <cell r="BF280">
            <v>-57.933533886846377</v>
          </cell>
          <cell r="BG280">
            <v>128730</v>
          </cell>
          <cell r="BI280">
            <v>136624.82390999998</v>
          </cell>
          <cell r="BJ280">
            <v>106.13285474248426</v>
          </cell>
        </row>
        <row r="283">
          <cell r="BM283">
            <v>9</v>
          </cell>
          <cell r="CA283">
            <v>0</v>
          </cell>
          <cell r="CE283" t="str">
            <v>Appendix V</v>
          </cell>
        </row>
        <row r="284">
          <cell r="BM284" t="str">
            <v>CARGILLS ( CEYLON ) LTD</v>
          </cell>
        </row>
        <row r="286">
          <cell r="BM286" t="str">
            <v xml:space="preserve"> Contribution % by Profit Centres within Divisions - Month of March 2004 </v>
          </cell>
        </row>
        <row r="287">
          <cell r="BN287" t="str">
            <v>MTH V MTH</v>
          </cell>
          <cell r="CF287">
            <v>38154.357810300928</v>
          </cell>
        </row>
        <row r="288">
          <cell r="BM288" t="str">
            <v>Profit Centre</v>
          </cell>
          <cell r="BO288" t="str">
            <v>Gross Turnover</v>
          </cell>
          <cell r="BR288" t="str">
            <v>Achieved Gross Profit</v>
          </cell>
          <cell r="BU288" t="str">
            <v>Other Income</v>
          </cell>
          <cell r="BX288" t="str">
            <v>Direct Expenses</v>
          </cell>
          <cell r="CA288" t="str">
            <v>D&amp;A and Finance</v>
          </cell>
          <cell r="CD288" t="str">
            <v>Contribution</v>
          </cell>
        </row>
        <row r="289">
          <cell r="BO289">
            <v>38047</v>
          </cell>
          <cell r="BP289">
            <v>37681</v>
          </cell>
          <cell r="BQ289" t="str">
            <v>Var %</v>
          </cell>
          <cell r="BR289">
            <v>38047</v>
          </cell>
          <cell r="BS289">
            <v>37681</v>
          </cell>
          <cell r="BT289" t="str">
            <v>Var %</v>
          </cell>
          <cell r="BU289">
            <v>38047</v>
          </cell>
          <cell r="BV289">
            <v>37681</v>
          </cell>
          <cell r="BW289" t="str">
            <v>Var %</v>
          </cell>
          <cell r="BX289">
            <v>38047</v>
          </cell>
          <cell r="BY289">
            <v>37681</v>
          </cell>
          <cell r="BZ289" t="str">
            <v>Var %</v>
          </cell>
          <cell r="CA289">
            <v>38047</v>
          </cell>
          <cell r="CB289">
            <v>37681</v>
          </cell>
          <cell r="CC289" t="str">
            <v>Var %</v>
          </cell>
          <cell r="CD289">
            <v>38047</v>
          </cell>
          <cell r="CE289">
            <v>37681</v>
          </cell>
          <cell r="CF289" t="str">
            <v>Var %</v>
          </cell>
        </row>
        <row r="290">
          <cell r="BN290" t="str">
            <v>Staples Street</v>
          </cell>
          <cell r="BO290">
            <v>7.2302683752942878</v>
          </cell>
          <cell r="BP290">
            <v>11.943048180995957</v>
          </cell>
          <cell r="BQ290">
            <v>-39.460443718218848</v>
          </cell>
          <cell r="BR290">
            <v>8.435933599996174</v>
          </cell>
          <cell r="BS290">
            <v>13.205369036722209</v>
          </cell>
          <cell r="BT290">
            <v>-36.117396064153368</v>
          </cell>
          <cell r="BU290">
            <v>9.4295280867523665</v>
          </cell>
          <cell r="BV290">
            <v>13.464189094299407</v>
          </cell>
          <cell r="BW290">
            <v>-29.965867081109788</v>
          </cell>
          <cell r="BX290">
            <v>7.1785622156171094</v>
          </cell>
          <cell r="BY290">
            <v>9.0854016844834096</v>
          </cell>
          <cell r="BZ290">
            <v>20.9879489656788</v>
          </cell>
          <cell r="CA290">
            <v>6.4013677725541589</v>
          </cell>
          <cell r="CB290">
            <v>11.137688506504032</v>
          </cell>
          <cell r="CC290">
            <v>42.525167867498027</v>
          </cell>
          <cell r="CD290">
            <v>25.524080288195091</v>
          </cell>
          <cell r="CE290">
            <v>23.949654433269032</v>
          </cell>
          <cell r="CF290">
            <v>6.5738980047202116</v>
          </cell>
        </row>
        <row r="291">
          <cell r="BN291" t="str">
            <v>Kandy</v>
          </cell>
          <cell r="BO291">
            <v>6.1338554737394908</v>
          </cell>
          <cell r="BP291">
            <v>9.1730941702676336</v>
          </cell>
          <cell r="BQ291">
            <v>-33.132099596002185</v>
          </cell>
          <cell r="BR291">
            <v>5.5866512088606299</v>
          </cell>
          <cell r="BS291">
            <v>8.137842584270448</v>
          </cell>
          <cell r="BT291">
            <v>-31.349726281766493</v>
          </cell>
          <cell r="BU291">
            <v>3.9973260115881732</v>
          </cell>
          <cell r="BV291">
            <v>8.1221639502646887</v>
          </cell>
          <cell r="BW291">
            <v>-50.78496277512464</v>
          </cell>
          <cell r="BX291">
            <v>3.9210647639145182</v>
          </cell>
          <cell r="BY291">
            <v>6.1123285331331001</v>
          </cell>
          <cell r="BZ291">
            <v>35.849901675611804</v>
          </cell>
          <cell r="CA291">
            <v>5.3117391842556714</v>
          </cell>
          <cell r="CB291">
            <v>7.2650531986325904</v>
          </cell>
          <cell r="CC291">
            <v>26.886437868680257</v>
          </cell>
          <cell r="CD291">
            <v>22.90857443479328</v>
          </cell>
          <cell r="CE291">
            <v>13.33771416659596</v>
          </cell>
          <cell r="CF291">
            <v>71.757875065034369</v>
          </cell>
        </row>
        <row r="292">
          <cell r="BN292" t="str">
            <v>Mount Lavinia</v>
          </cell>
          <cell r="BO292">
            <v>3.6577114150479795</v>
          </cell>
          <cell r="BP292">
            <v>5.2215001371492455</v>
          </cell>
          <cell r="BQ292">
            <v>-29.949031524014082</v>
          </cell>
          <cell r="BR292">
            <v>2.9962618147591806</v>
          </cell>
          <cell r="BS292">
            <v>3.9164653206340168</v>
          </cell>
          <cell r="BT292">
            <v>-23.495765455312881</v>
          </cell>
          <cell r="BU292">
            <v>-0.97589982923900731</v>
          </cell>
          <cell r="BV292">
            <v>3.6117374326291203</v>
          </cell>
          <cell r="BW292">
            <v>-127.02023188126977</v>
          </cell>
          <cell r="BX292">
            <v>2.7734710924120058</v>
          </cell>
          <cell r="BY292">
            <v>2.9284959929238652</v>
          </cell>
          <cell r="BZ292">
            <v>5.2936695452698777</v>
          </cell>
          <cell r="CA292">
            <v>1.1286180696373198</v>
          </cell>
          <cell r="CB292">
            <v>2.0961333010877454</v>
          </cell>
          <cell r="CC292">
            <v>46.157142341489134</v>
          </cell>
          <cell r="CD292">
            <v>3.3352282727823543</v>
          </cell>
          <cell r="CE292">
            <v>6.7375512207345629</v>
          </cell>
          <cell r="CF292">
            <v>-50.497915881985236</v>
          </cell>
        </row>
        <row r="293">
          <cell r="BN293" t="str">
            <v>Wellawatte</v>
          </cell>
          <cell r="BO293">
            <v>1.4295589382241543</v>
          </cell>
          <cell r="BP293">
            <v>1.8229198985348778</v>
          </cell>
          <cell r="BQ293">
            <v>-21.578620137224718</v>
          </cell>
          <cell r="BR293">
            <v>1.4954381089965854</v>
          </cell>
          <cell r="BS293">
            <v>2.1062279547353571</v>
          </cell>
          <cell r="BT293">
            <v>-28.999227949926059</v>
          </cell>
          <cell r="BU293">
            <v>1.2328354834091637</v>
          </cell>
          <cell r="BV293">
            <v>1.0019142461605095</v>
          </cell>
          <cell r="BW293">
            <v>23.048004171372963</v>
          </cell>
          <cell r="BX293">
            <v>1.9279315556313286</v>
          </cell>
          <cell r="BY293">
            <v>1.4436126019296507</v>
          </cell>
          <cell r="BZ293">
            <v>-33.549094338349327</v>
          </cell>
          <cell r="CA293">
            <v>0.35905530590581258</v>
          </cell>
          <cell r="CB293">
            <v>0.68361477020072148</v>
          </cell>
          <cell r="CC293">
            <v>47.476953167587709</v>
          </cell>
          <cell r="CD293">
            <v>-2.4902471686352632</v>
          </cell>
          <cell r="CE293">
            <v>3.7776471920868899</v>
          </cell>
          <cell r="CF293">
            <v>-165.92058606880047</v>
          </cell>
        </row>
        <row r="294">
          <cell r="BN294" t="str">
            <v>Bambalapitiya</v>
          </cell>
          <cell r="BO294">
            <v>2.3022641985753229</v>
          </cell>
          <cell r="BP294">
            <v>4.1291643084894165</v>
          </cell>
          <cell r="BQ294">
            <v>-44.243822076976961</v>
          </cell>
          <cell r="BR294">
            <v>2.5755721434272427</v>
          </cell>
          <cell r="BS294">
            <v>4.4495939635671551</v>
          </cell>
          <cell r="BT294">
            <v>-42.116692792291197</v>
          </cell>
          <cell r="BU294">
            <v>3.8748620795632363</v>
          </cell>
          <cell r="BV294">
            <v>5.5928975699286729</v>
          </cell>
          <cell r="BW294">
            <v>-30.718164759583594</v>
          </cell>
          <cell r="BX294">
            <v>2.61628356481524</v>
          </cell>
          <cell r="BY294">
            <v>4.7188927845875686</v>
          </cell>
          <cell r="BZ294">
            <v>44.557257724517186</v>
          </cell>
          <cell r="CA294">
            <v>0.88486496891000255</v>
          </cell>
          <cell r="CB294">
            <v>1.5206353643859294</v>
          </cell>
          <cell r="CC294">
            <v>41.809523201025044</v>
          </cell>
          <cell r="CD294">
            <v>5.096577008226542</v>
          </cell>
          <cell r="CE294">
            <v>4.926923237022109</v>
          </cell>
          <cell r="CF294">
            <v>3.4434019578306598</v>
          </cell>
        </row>
        <row r="295">
          <cell r="BN295" t="str">
            <v>Nuwara Eliya</v>
          </cell>
          <cell r="BO295">
            <v>1.4169856741558107</v>
          </cell>
          <cell r="BP295">
            <v>1.9044544200530495</v>
          </cell>
          <cell r="BQ295">
            <v>-25.59624114730245</v>
          </cell>
          <cell r="BR295">
            <v>1.3361278615674514</v>
          </cell>
          <cell r="BS295">
            <v>1.5727707351621778</v>
          </cell>
          <cell r="BT295">
            <v>-15.046240898570934</v>
          </cell>
          <cell r="BU295">
            <v>0.30646035866328297</v>
          </cell>
          <cell r="BV295">
            <v>3.5142953210601084</v>
          </cell>
          <cell r="BW295">
            <v>-91.279607128440261</v>
          </cell>
          <cell r="BX295">
            <v>1.4825661270132886</v>
          </cell>
          <cell r="BY295">
            <v>1.823399740246306</v>
          </cell>
          <cell r="BZ295">
            <v>18.692204770577479</v>
          </cell>
          <cell r="CA295">
            <v>2.1809864485945121</v>
          </cell>
          <cell r="CB295">
            <v>4.2526803870788399</v>
          </cell>
          <cell r="CC295">
            <v>48.715016176124429</v>
          </cell>
          <cell r="CD295">
            <v>-2.1741985744801915</v>
          </cell>
          <cell r="CE295">
            <v>0.829391683665478</v>
          </cell>
          <cell r="CF295">
            <v>-362.14376359205454</v>
          </cell>
        </row>
        <row r="296">
          <cell r="BN296" t="str">
            <v>Bandarawela</v>
          </cell>
          <cell r="BO296">
            <v>3.0931039146365804</v>
          </cell>
          <cell r="BP296">
            <v>4.6365295215914584</v>
          </cell>
          <cell r="BQ296">
            <v>-33.288380884181393</v>
          </cell>
          <cell r="BR296">
            <v>1.7225358868638858</v>
          </cell>
          <cell r="BS296">
            <v>2.3361822496959399</v>
          </cell>
          <cell r="BT296">
            <v>-26.267058698520707</v>
          </cell>
          <cell r="BU296">
            <v>-2.6671144174060553</v>
          </cell>
          <cell r="BV296">
            <v>1.834462091186307</v>
          </cell>
          <cell r="BW296">
            <v>-245.38945395602533</v>
          </cell>
          <cell r="BX296">
            <v>1.8054521573511098</v>
          </cell>
          <cell r="BY296">
            <v>1.8298137043713656</v>
          </cell>
          <cell r="BZ296">
            <v>1.3313676120173814</v>
          </cell>
          <cell r="CA296">
            <v>0.61488940609139475</v>
          </cell>
          <cell r="CB296">
            <v>1.127211247718001</v>
          </cell>
          <cell r="CC296">
            <v>45.450384092935863</v>
          </cell>
          <cell r="CD296">
            <v>-2.5321646074618722</v>
          </cell>
          <cell r="CE296">
            <v>3.7508319977429392</v>
          </cell>
          <cell r="CF296">
            <v>-167.50941148485458</v>
          </cell>
        </row>
        <row r="297">
          <cell r="BN297" t="str">
            <v>Maharagama</v>
          </cell>
          <cell r="BO297">
            <v>2.5724937036660998</v>
          </cell>
          <cell r="BP297">
            <v>3.6374678399340103</v>
          </cell>
          <cell r="BQ297">
            <v>-29.277898338401005</v>
          </cell>
          <cell r="BR297">
            <v>3.0045601436131069</v>
          </cell>
          <cell r="BS297">
            <v>4.0973001067638721</v>
          </cell>
          <cell r="BT297">
            <v>-26.669756539113575</v>
          </cell>
          <cell r="BU297">
            <v>2.5548299671101393</v>
          </cell>
          <cell r="BV297">
            <v>4.7729779347177585E-2</v>
          </cell>
          <cell r="BW297">
            <v>5252.695952199525</v>
          </cell>
          <cell r="BX297">
            <v>2.4770732253712615</v>
          </cell>
          <cell r="BY297">
            <v>3.162573406423077</v>
          </cell>
          <cell r="BZ297">
            <v>21.6753919342896</v>
          </cell>
          <cell r="CA297">
            <v>0.99380723512713842</v>
          </cell>
          <cell r="CB297">
            <v>1.9036719303385161</v>
          </cell>
          <cell r="CC297">
            <v>47.795246686732575</v>
          </cell>
          <cell r="CD297">
            <v>10.443049502295072</v>
          </cell>
          <cell r="CE297">
            <v>5.7440834026424117</v>
          </cell>
          <cell r="CF297">
            <v>81.80532506702508</v>
          </cell>
        </row>
        <row r="298">
          <cell r="BN298" t="str">
            <v>Kiribathgoda</v>
          </cell>
          <cell r="BO298">
            <v>1.0581771617526903</v>
          </cell>
          <cell r="BP298">
            <v>2.9445606718626509</v>
          </cell>
          <cell r="BQ298">
            <v>-64.063326259013181</v>
          </cell>
          <cell r="BR298">
            <v>1.1361010712512212</v>
          </cell>
          <cell r="BS298">
            <v>3.1671931631425143</v>
          </cell>
          <cell r="BT298">
            <v>-64.129088036930057</v>
          </cell>
          <cell r="BU298">
            <v>1.1681631162466937</v>
          </cell>
          <cell r="BV298">
            <v>1.8162174531607382</v>
          </cell>
          <cell r="BW298">
            <v>-35.681538892066285</v>
          </cell>
          <cell r="BX298">
            <v>0.30067579063715527</v>
          </cell>
          <cell r="BY298">
            <v>2.5304447969321631</v>
          </cell>
          <cell r="BZ298">
            <v>88.11767041898382</v>
          </cell>
          <cell r="CA298">
            <v>0.49726084998255193</v>
          </cell>
          <cell r="CB298">
            <v>0.98434343924545786</v>
          </cell>
          <cell r="CC298">
            <v>49.48299240316733</v>
          </cell>
          <cell r="CD298">
            <v>11.153755267208561</v>
          </cell>
          <cell r="CE298">
            <v>4.9045053046496259</v>
          </cell>
          <cell r="CF298">
            <v>127.41855853707507</v>
          </cell>
        </row>
        <row r="299">
          <cell r="BN299" t="str">
            <v>Nugegoda</v>
          </cell>
          <cell r="BO299">
            <v>2.7165563405591895</v>
          </cell>
          <cell r="BP299">
            <v>4.6398667675357661</v>
          </cell>
          <cell r="BQ299">
            <v>-41.45184599768254</v>
          </cell>
          <cell r="BR299">
            <v>3.0536950726712342</v>
          </cell>
          <cell r="BS299">
            <v>4.8865591165405444</v>
          </cell>
          <cell r="BT299">
            <v>-37.508275253751407</v>
          </cell>
          <cell r="BU299">
            <v>4.9181977513333326</v>
          </cell>
          <cell r="BV299">
            <v>5.9507036899575114</v>
          </cell>
          <cell r="BW299">
            <v>-17.350988932059412</v>
          </cell>
          <cell r="BX299">
            <v>3.0275927918879395</v>
          </cell>
          <cell r="BY299">
            <v>4.3554659084008813</v>
          </cell>
          <cell r="BZ299">
            <v>30.487510278790666</v>
          </cell>
          <cell r="CA299">
            <v>1.7488701019031716</v>
          </cell>
          <cell r="CB299">
            <v>1.6509869676685922</v>
          </cell>
          <cell r="CC299">
            <v>-5.9287648025958122</v>
          </cell>
          <cell r="CD299">
            <v>6.51104236875398</v>
          </cell>
          <cell r="CE299">
            <v>7.3860438827942732</v>
          </cell>
          <cell r="CF299">
            <v>-11.846687183630221</v>
          </cell>
        </row>
        <row r="300">
          <cell r="BN300" t="str">
            <v>Fort</v>
          </cell>
          <cell r="BO300">
            <v>1.9069467815427743</v>
          </cell>
          <cell r="BP300">
            <v>3.070665431686479</v>
          </cell>
          <cell r="BQ300">
            <v>-37.897930465989063</v>
          </cell>
          <cell r="BR300">
            <v>1.6263301984891467</v>
          </cell>
          <cell r="BS300">
            <v>2.3613938046616498</v>
          </cell>
          <cell r="BT300">
            <v>-31.128378702502186</v>
          </cell>
          <cell r="BU300">
            <v>0.23183539544612458</v>
          </cell>
          <cell r="BV300">
            <v>2.3885290730270961</v>
          </cell>
          <cell r="BW300">
            <v>-90.29380056269072</v>
          </cell>
          <cell r="BX300">
            <v>1.065970956143764</v>
          </cell>
          <cell r="BY300">
            <v>1.11851772308228</v>
          </cell>
          <cell r="BZ300">
            <v>4.6978931003179625</v>
          </cell>
          <cell r="CA300">
            <v>0.47697539037751119</v>
          </cell>
          <cell r="CB300">
            <v>0.96934262416692363</v>
          </cell>
          <cell r="CC300">
            <v>50.79393204364294</v>
          </cell>
          <cell r="CD300">
            <v>7.6315118847720349</v>
          </cell>
          <cell r="CE300">
            <v>5.7939634712540817</v>
          </cell>
          <cell r="CF300">
            <v>31.714877434672928</v>
          </cell>
        </row>
        <row r="301">
          <cell r="BN301" t="str">
            <v>Malabe</v>
          </cell>
          <cell r="BO301">
            <v>2.2074400258917768</v>
          </cell>
          <cell r="BP301">
            <v>2.9383437748944967</v>
          </cell>
          <cell r="BQ301">
            <v>-24.874684686238375</v>
          </cell>
          <cell r="BR301">
            <v>2.2084458081627947</v>
          </cell>
          <cell r="BS301">
            <v>3.0529098104014785</v>
          </cell>
          <cell r="BT301">
            <v>-27.660954783581733</v>
          </cell>
          <cell r="BU301">
            <v>2.0308654538206015</v>
          </cell>
          <cell r="BV301">
            <v>2.5037704927889917</v>
          </cell>
          <cell r="BW301">
            <v>-18.887715161209261</v>
          </cell>
          <cell r="BX301">
            <v>2.1721087875185425</v>
          </cell>
          <cell r="BY301">
            <v>2.891213175630432</v>
          </cell>
          <cell r="BZ301">
            <v>24.872063885607052</v>
          </cell>
          <cell r="CA301">
            <v>0.7367067293231585</v>
          </cell>
          <cell r="CB301">
            <v>3.2201745135462279</v>
          </cell>
          <cell r="CC301">
            <v>77.122148932485715</v>
          </cell>
          <cell r="CD301">
            <v>3.8891784861606853</v>
          </cell>
          <cell r="CE301">
            <v>3.2368091168345501</v>
          </cell>
          <cell r="CF301">
            <v>20.154706248607035</v>
          </cell>
        </row>
        <row r="302">
          <cell r="BN302" t="str">
            <v>Negombo</v>
          </cell>
          <cell r="BO302">
            <v>3.1484538604353665</v>
          </cell>
          <cell r="BP302">
            <v>4.6974777267406678</v>
          </cell>
          <cell r="BQ302">
            <v>-32.975651113519753</v>
          </cell>
          <cell r="BR302">
            <v>2.7377025363692393</v>
          </cell>
          <cell r="BS302">
            <v>4.1095125350788058</v>
          </cell>
          <cell r="BT302">
            <v>-33.381331410959184</v>
          </cell>
          <cell r="BU302">
            <v>7.077456145565197</v>
          </cell>
          <cell r="BV302">
            <v>5.6565533744084231</v>
          </cell>
          <cell r="BW302">
            <v>25.119585675356159</v>
          </cell>
          <cell r="BX302">
            <v>2.6791199590537325</v>
          </cell>
          <cell r="BY302">
            <v>3.4256755450089624</v>
          </cell>
          <cell r="BZ302">
            <v>21.79294495775947</v>
          </cell>
          <cell r="CA302">
            <v>1.3176801556942543</v>
          </cell>
          <cell r="CB302">
            <v>4.3365822062098758</v>
          </cell>
          <cell r="CC302">
            <v>69.614777420629324</v>
          </cell>
          <cell r="CD302">
            <v>9.1645354562307322</v>
          </cell>
          <cell r="CE302">
            <v>6.1988512140495189</v>
          </cell>
          <cell r="CF302">
            <v>47.842481449781772</v>
          </cell>
        </row>
        <row r="303">
          <cell r="BN303" t="str">
            <v>Rajagiriya</v>
          </cell>
          <cell r="BO303">
            <v>1.6852166982316463</v>
          </cell>
          <cell r="BP303">
            <v>2.4532467519264167</v>
          </cell>
          <cell r="BQ303">
            <v>-31.306677695249096</v>
          </cell>
          <cell r="BR303">
            <v>2.3389687527942109</v>
          </cell>
          <cell r="BS303">
            <v>2.7451126291217527</v>
          </cell>
          <cell r="BT303">
            <v>-14.795162574348723</v>
          </cell>
          <cell r="BU303">
            <v>1.5815861272970917</v>
          </cell>
          <cell r="BV303">
            <v>1.9196885217054636</v>
          </cell>
          <cell r="BW303">
            <v>-17.612356931112945</v>
          </cell>
          <cell r="BX303">
            <v>1.6804725784591306</v>
          </cell>
          <cell r="BY303">
            <v>1.9697110263650472</v>
          </cell>
          <cell r="BZ303">
            <v>14.684308715054733</v>
          </cell>
          <cell r="CA303">
            <v>1.0399404300318187</v>
          </cell>
          <cell r="CB303">
            <v>2.7847449181376867</v>
          </cell>
          <cell r="CC303">
            <v>62.655810115373711</v>
          </cell>
          <cell r="CD303">
            <v>10.232230799190773</v>
          </cell>
          <cell r="CE303">
            <v>4.3847007110327354</v>
          </cell>
          <cell r="CF303">
            <v>133.36212602708659</v>
          </cell>
        </row>
        <row r="304">
          <cell r="BN304" t="str">
            <v>Boralesgamuwa</v>
          </cell>
          <cell r="BO304">
            <v>0.92801550259174159</v>
          </cell>
          <cell r="BP304">
            <v>1.1766480205823957</v>
          </cell>
          <cell r="BQ304">
            <v>-21.130577168488376</v>
          </cell>
          <cell r="BR304">
            <v>0.74016238697270309</v>
          </cell>
          <cell r="BS304">
            <v>1.2169123561878092</v>
          </cell>
          <cell r="BT304">
            <v>-39.177017703116171</v>
          </cell>
          <cell r="BU304">
            <v>0.64803484302022396</v>
          </cell>
          <cell r="BV304">
            <v>1.1107250467930365</v>
          </cell>
          <cell r="BW304">
            <v>-41.656592251045772</v>
          </cell>
          <cell r="BX304">
            <v>1.114099500604917</v>
          </cell>
          <cell r="BY304">
            <v>1.7613618672248283</v>
          </cell>
          <cell r="BZ304">
            <v>36.74783578911736</v>
          </cell>
          <cell r="CA304">
            <v>0.66316359170304029</v>
          </cell>
          <cell r="CB304">
            <v>2.1235482610161274</v>
          </cell>
          <cell r="CC304">
            <v>68.770966788119352</v>
          </cell>
          <cell r="CD304">
            <v>-3.4638222998380903</v>
          </cell>
          <cell r="CE304">
            <v>-0.39549374313699842</v>
          </cell>
          <cell r="CF304">
            <v>-775.82227530669888</v>
          </cell>
        </row>
        <row r="305">
          <cell r="BN305" t="str">
            <v>Pitakotte</v>
          </cell>
          <cell r="BO305">
            <v>1.6756046200400716</v>
          </cell>
          <cell r="BP305">
            <v>2.4743785341340558</v>
          </cell>
          <cell r="BQ305">
            <v>-32.281799372040169</v>
          </cell>
          <cell r="BR305">
            <v>2.0169965459877872</v>
          </cell>
          <cell r="BS305">
            <v>2.80395100386772</v>
          </cell>
          <cell r="BT305">
            <v>-28.065913305704054</v>
          </cell>
          <cell r="BU305">
            <v>1.945204263431356</v>
          </cell>
          <cell r="BV305">
            <v>2.7695603612934154</v>
          </cell>
          <cell r="BW305">
            <v>-29.764872049117425</v>
          </cell>
          <cell r="BX305">
            <v>1.6633084901889095</v>
          </cell>
          <cell r="BY305">
            <v>2.6113535264351713</v>
          </cell>
          <cell r="BZ305">
            <v>36.30473724254653</v>
          </cell>
          <cell r="CA305">
            <v>2.3667035037614732</v>
          </cell>
          <cell r="CB305">
            <v>4.3748233251605377</v>
          </cell>
          <cell r="CC305">
            <v>45.901735273512443</v>
          </cell>
          <cell r="CD305">
            <v>5.5600370812452349</v>
          </cell>
          <cell r="CE305">
            <v>2.8429666679838523</v>
          </cell>
          <cell r="CF305">
            <v>95.571659135499061</v>
          </cell>
        </row>
        <row r="306">
          <cell r="BN306" t="str">
            <v>Panadura</v>
          </cell>
          <cell r="BO306">
            <v>2.2616300332306722</v>
          </cell>
          <cell r="BP306">
            <v>2.5910820498525231</v>
          </cell>
          <cell r="BQ306">
            <v>-12.714843076490084</v>
          </cell>
          <cell r="BR306">
            <v>2.4159059453192171</v>
          </cell>
          <cell r="BS306">
            <v>2.9228718536965426</v>
          </cell>
          <cell r="BT306">
            <v>-17.344787378761335</v>
          </cell>
          <cell r="BU306">
            <v>1.7796169973959806</v>
          </cell>
          <cell r="BV306">
            <v>2.0427468584807622</v>
          </cell>
          <cell r="BW306">
            <v>-12.881178105469093</v>
          </cell>
          <cell r="BX306">
            <v>2.0520250057348934</v>
          </cell>
          <cell r="BY306">
            <v>2.8812844696285858</v>
          </cell>
          <cell r="BZ306">
            <v>28.780895209579523</v>
          </cell>
          <cell r="CA306">
            <v>3.47452917762087</v>
          </cell>
          <cell r="CB306">
            <v>5.6343703022347551</v>
          </cell>
          <cell r="CC306">
            <v>38.333318698581621</v>
          </cell>
          <cell r="CD306">
            <v>4.8050369320616921</v>
          </cell>
          <cell r="CE306">
            <v>2.0258198445410187</v>
          </cell>
          <cell r="CF306">
            <v>137.18974542626955</v>
          </cell>
        </row>
        <row r="307">
          <cell r="BN307" t="str">
            <v>Kurunagala</v>
          </cell>
          <cell r="BO307">
            <v>2.1654199537838896</v>
          </cell>
          <cell r="BP307">
            <v>1.8285639101612992</v>
          </cell>
          <cell r="BQ307">
            <v>18.421890629618527</v>
          </cell>
          <cell r="BR307">
            <v>2.0722264945251334</v>
          </cell>
          <cell r="BS307">
            <v>2.0686470240211854</v>
          </cell>
          <cell r="BT307">
            <v>0.17303437765762428</v>
          </cell>
          <cell r="BU307">
            <v>2.0508053399309571</v>
          </cell>
          <cell r="BV307">
            <v>2.7679788668717822</v>
          </cell>
          <cell r="BW307">
            <v>-25.909646042613581</v>
          </cell>
          <cell r="BX307">
            <v>1.8567008747629998</v>
          </cell>
          <cell r="BY307">
            <v>2.4249008728843684</v>
          </cell>
          <cell r="BZ307">
            <v>23.43188558654386</v>
          </cell>
          <cell r="CA307">
            <v>3.635076905222185</v>
          </cell>
          <cell r="CB307">
            <v>6.5859149273729596</v>
          </cell>
          <cell r="CC307">
            <v>44.805286048962486</v>
          </cell>
          <cell r="CD307">
            <v>2.9214893694189565</v>
          </cell>
          <cell r="CE307">
            <v>0.19179841238405212</v>
          </cell>
          <cell r="CF307">
            <v>1423.208317057934</v>
          </cell>
        </row>
        <row r="308">
          <cell r="BN308" t="str">
            <v>Matara</v>
          </cell>
          <cell r="BO308">
            <v>1.8189504431036747</v>
          </cell>
          <cell r="BP308">
            <v>1.8014621376440727</v>
          </cell>
          <cell r="BQ308">
            <v>0.97078395899416292</v>
          </cell>
          <cell r="BR308">
            <v>1.8754442607802724</v>
          </cell>
          <cell r="BS308">
            <v>2.0936424546522026</v>
          </cell>
          <cell r="BT308">
            <v>-10.421941596908315</v>
          </cell>
          <cell r="BU308">
            <v>1.1627539941920304</v>
          </cell>
          <cell r="BV308">
            <v>1.7136149085915531</v>
          </cell>
          <cell r="BW308">
            <v>-32.146132228289488</v>
          </cell>
          <cell r="BX308">
            <v>1.6919490168653173</v>
          </cell>
          <cell r="BY308">
            <v>3.04713280284055</v>
          </cell>
          <cell r="BZ308">
            <v>44.474063772734965</v>
          </cell>
          <cell r="CA308">
            <v>3.34900104421106</v>
          </cell>
          <cell r="CB308">
            <v>5.3343478359455414</v>
          </cell>
          <cell r="CC308">
            <v>37.218172732498012</v>
          </cell>
          <cell r="CD308">
            <v>1.7582063642707018</v>
          </cell>
          <cell r="CE308">
            <v>-1.234558136555105</v>
          </cell>
          <cell r="CF308">
            <v>242.41584192841481</v>
          </cell>
        </row>
        <row r="309">
          <cell r="BN309" t="str">
            <v>Wattala</v>
          </cell>
          <cell r="BO309">
            <v>0</v>
          </cell>
          <cell r="BP309">
            <v>2.1589507210104344</v>
          </cell>
          <cell r="BQ309">
            <v>-100</v>
          </cell>
          <cell r="BR309">
            <v>1.5004676143746223</v>
          </cell>
          <cell r="BS309">
            <v>1.3856413007958306</v>
          </cell>
          <cell r="BT309">
            <v>8.2868714661465592</v>
          </cell>
          <cell r="BU309">
            <v>4.1226590720337697</v>
          </cell>
          <cell r="BV309">
            <v>2.7329895856569921</v>
          </cell>
          <cell r="BW309">
            <v>50.84796128276173</v>
          </cell>
          <cell r="BX309">
            <v>2.0241972728882547</v>
          </cell>
          <cell r="BY309">
            <v>3.485149295874689</v>
          </cell>
          <cell r="BZ309">
            <v>41.91935262904628</v>
          </cell>
          <cell r="CA309">
            <v>5.0508556205208714</v>
          </cell>
          <cell r="CB309">
            <v>8.7095392199175663</v>
          </cell>
          <cell r="CC309">
            <v>42.007774544832046</v>
          </cell>
          <cell r="CD309">
            <v>-5.2283619128564505</v>
          </cell>
          <cell r="CE309">
            <v>-5.3261066763322065</v>
          </cell>
          <cell r="CF309">
            <v>1.8352010092119933</v>
          </cell>
        </row>
        <row r="310">
          <cell r="BN310" t="str">
            <v>Pelawatte</v>
          </cell>
          <cell r="BO310">
            <v>2.2481848092092824</v>
          </cell>
          <cell r="BP310">
            <v>3.1984587136196625</v>
          </cell>
          <cell r="BQ310">
            <v>-29.710369571566702</v>
          </cell>
          <cell r="BR310">
            <v>2.5277113242704448</v>
          </cell>
          <cell r="BS310">
            <v>3.8026339182062636</v>
          </cell>
          <cell r="BT310">
            <v>-33.527355547736008</v>
          </cell>
          <cell r="BU310">
            <v>2.2217158440034752</v>
          </cell>
          <cell r="BV310">
            <v>2.7392708894967757</v>
          </cell>
          <cell r="BW310">
            <v>-18.893897915601151</v>
          </cell>
          <cell r="BX310">
            <v>2.2196578445512647</v>
          </cell>
          <cell r="BY310">
            <v>3.1222472227195279</v>
          </cell>
          <cell r="BZ310">
            <v>28.908325119177885</v>
          </cell>
          <cell r="CA310">
            <v>3.6625147588069935</v>
          </cell>
          <cell r="CB310">
            <v>6.5611482848585183</v>
          </cell>
          <cell r="CC310">
            <v>44.17875347735766</v>
          </cell>
          <cell r="CD310">
            <v>4.5490520475840821</v>
          </cell>
          <cell r="CE310">
            <v>4.4042387005832255</v>
          </cell>
          <cell r="CF310">
            <v>3.2880449232163516</v>
          </cell>
        </row>
        <row r="311">
          <cell r="BN311" t="str">
            <v>Gampaha</v>
          </cell>
          <cell r="BO311">
            <v>1.9702027657730936</v>
          </cell>
          <cell r="BP311">
            <v>1.9331264606965759</v>
          </cell>
          <cell r="BQ311">
            <v>1.9179451438038755</v>
          </cell>
          <cell r="BR311">
            <v>1.6732354189842851</v>
          </cell>
          <cell r="BS311">
            <v>2.4424111206027201</v>
          </cell>
          <cell r="BT311">
            <v>-31.492474593246349</v>
          </cell>
          <cell r="BU311">
            <v>3.0763759812294822</v>
          </cell>
          <cell r="BV311">
            <v>3.3464542701882767</v>
          </cell>
          <cell r="BW311">
            <v>-8.0705805952519256</v>
          </cell>
          <cell r="BX311">
            <v>2.0023196654927871</v>
          </cell>
          <cell r="BY311">
            <v>2.5922128006075185</v>
          </cell>
          <cell r="BZ311">
            <v>22.756354531405844</v>
          </cell>
          <cell r="CA311">
            <v>5.7671930240860467</v>
          </cell>
          <cell r="CB311">
            <v>9.8937458019551148</v>
          </cell>
          <cell r="CC311">
            <v>41.708700228113962</v>
          </cell>
          <cell r="CD311">
            <v>-4.6398671017416664</v>
          </cell>
          <cell r="CE311">
            <v>0.34453351151300976</v>
          </cell>
          <cell r="CF311">
            <v>-1446.7099561275807</v>
          </cell>
        </row>
        <row r="312">
          <cell r="BN312" t="str">
            <v>Ja-ela</v>
          </cell>
          <cell r="BO312">
            <v>1.9307393942214404</v>
          </cell>
          <cell r="BP312">
            <v>2.3323643780562229</v>
          </cell>
          <cell r="BQ312">
            <v>-17.219650051828271</v>
          </cell>
          <cell r="BR312">
            <v>2.1333369677839427</v>
          </cell>
          <cell r="BS312">
            <v>2.7222546379336712</v>
          </cell>
          <cell r="BT312">
            <v>-21.633452724934902</v>
          </cell>
          <cell r="BU312">
            <v>5.6829767293641114</v>
          </cell>
          <cell r="BV312">
            <v>7.8818619199655355</v>
          </cell>
          <cell r="BW312">
            <v>-27.898042530172095</v>
          </cell>
          <cell r="BX312">
            <v>2.0919489574439898</v>
          </cell>
          <cell r="BY312">
            <v>3.8499202311671401</v>
          </cell>
          <cell r="BZ312">
            <v>45.662537615492475</v>
          </cell>
          <cell r="CA312">
            <v>7.7160734842603746</v>
          </cell>
          <cell r="CB312">
            <v>6.8496986666177317</v>
          </cell>
          <cell r="CC312">
            <v>-12.648363961833148</v>
          </cell>
          <cell r="CD312">
            <v>0.66031038265112485</v>
          </cell>
          <cell r="CE312">
            <v>0.42049833636604367</v>
          </cell>
          <cell r="CF312">
            <v>57.030438778317752</v>
          </cell>
        </row>
        <row r="313">
          <cell r="BN313" t="str">
            <v>Piliyandala</v>
          </cell>
          <cell r="BO313">
            <v>1.8995875751952547</v>
          </cell>
          <cell r="BP313">
            <v>1.3941288054250911</v>
          </cell>
          <cell r="BQ313">
            <v>36.256246037183168</v>
          </cell>
          <cell r="BR313">
            <v>1.7195443685145912</v>
          </cell>
          <cell r="BS313">
            <v>1.4879514157734979</v>
          </cell>
          <cell r="BT313">
            <v>15.564550716241088</v>
          </cell>
          <cell r="BU313">
            <v>1.5143359304014357</v>
          </cell>
          <cell r="BV313">
            <v>1.9939752930767334</v>
          </cell>
          <cell r="BW313">
            <v>-24.054428574950247</v>
          </cell>
          <cell r="BX313">
            <v>1.6500203133950928</v>
          </cell>
          <cell r="BY313">
            <v>2.9105220780001799</v>
          </cell>
          <cell r="BZ313">
            <v>43.3084419504276</v>
          </cell>
          <cell r="CA313">
            <v>6.9443394151456008</v>
          </cell>
          <cell r="CB313">
            <v>0</v>
          </cell>
          <cell r="CC313">
            <v>0</v>
          </cell>
          <cell r="CD313">
            <v>-2.8655066561300213</v>
          </cell>
          <cell r="CE313">
            <v>-1.4470497743069535</v>
          </cell>
          <cell r="CF313">
            <v>-98.02405604896488</v>
          </cell>
        </row>
        <row r="314">
          <cell r="BN314" t="str">
            <v>Chilaw</v>
          </cell>
          <cell r="BO314">
            <v>1.3522115041881093</v>
          </cell>
          <cell r="BP314">
            <v>1.1842131676920287</v>
          </cell>
          <cell r="BQ314">
            <v>14.18649455009024</v>
          </cell>
          <cell r="BR314">
            <v>1.3025276046667869</v>
          </cell>
          <cell r="BS314">
            <v>1.2458411705438188</v>
          </cell>
          <cell r="BT314">
            <v>4.5500530455438382</v>
          </cell>
          <cell r="BU314">
            <v>1.7991317838037646</v>
          </cell>
          <cell r="BV314">
            <v>1.8631070824620684</v>
          </cell>
          <cell r="BW314">
            <v>-3.4337961172774536</v>
          </cell>
          <cell r="BX314">
            <v>1.6537959219529403</v>
          </cell>
          <cell r="BY314">
            <v>2.7861210553194042</v>
          </cell>
          <cell r="BZ314">
            <v>40.64163440438351</v>
          </cell>
          <cell r="CA314">
            <v>5.1115689728235711</v>
          </cell>
          <cell r="CB314">
            <v>0</v>
          </cell>
          <cell r="CC314">
            <v>0</v>
          </cell>
          <cell r="CD314">
            <v>-5.8904680868191424</v>
          </cell>
          <cell r="CE314">
            <v>-2.0091700982455043</v>
          </cell>
          <cell r="CF314">
            <v>-193.17916347465842</v>
          </cell>
        </row>
        <row r="315">
          <cell r="BN315" t="str">
            <v>Ratnapura</v>
          </cell>
          <cell r="BO315">
            <v>2.4524851085098378</v>
          </cell>
          <cell r="BP315">
            <v>1.6817131687991027</v>
          </cell>
          <cell r="BQ315">
            <v>45.832544693762308</v>
          </cell>
          <cell r="BR315">
            <v>1.761282913925629</v>
          </cell>
          <cell r="BS315">
            <v>1.4135399620730142</v>
          </cell>
          <cell r="BT315">
            <v>24.600857505481162</v>
          </cell>
          <cell r="BU315">
            <v>4.9716013760567712</v>
          </cell>
          <cell r="BV315">
            <v>2.6422390931238073</v>
          </cell>
          <cell r="BW315">
            <v>88.158648813989714</v>
          </cell>
          <cell r="BX315">
            <v>2.2014334952224481</v>
          </cell>
          <cell r="BY315">
            <v>2.9075063024666616</v>
          </cell>
          <cell r="BZ315">
            <v>24.284480712739899</v>
          </cell>
          <cell r="CA315">
            <v>8.1076904917702617</v>
          </cell>
          <cell r="CB315">
            <v>0</v>
          </cell>
          <cell r="CC315">
            <v>0</v>
          </cell>
          <cell r="CD315">
            <v>-6.1992446752006467</v>
          </cell>
          <cell r="CE315">
            <v>-1.4958643132622422</v>
          </cell>
          <cell r="CF315">
            <v>-314.42560132215999</v>
          </cell>
        </row>
        <row r="316">
          <cell r="BN316" t="str">
            <v>Nawala</v>
          </cell>
          <cell r="BO316">
            <v>3.442127756146717</v>
          </cell>
          <cell r="BP316">
            <v>3.270880453121547</v>
          </cell>
          <cell r="BQ316">
            <v>5.235510911496049</v>
          </cell>
          <cell r="BR316">
            <v>3.3053375797273006</v>
          </cell>
          <cell r="BS316">
            <v>3.6136605359177532</v>
          </cell>
          <cell r="BT316">
            <v>0</v>
          </cell>
          <cell r="BU316">
            <v>7.3397293081351647</v>
          </cell>
          <cell r="BV316">
            <v>3.8863288538773264</v>
          </cell>
          <cell r="BW316">
            <v>0</v>
          </cell>
          <cell r="BX316">
            <v>2.7973845041562275</v>
          </cell>
          <cell r="BY316">
            <v>3.3145252851476377</v>
          </cell>
          <cell r="BZ316">
            <v>15.602257834891592</v>
          </cell>
          <cell r="CA316">
            <v>8.4384740901757009</v>
          </cell>
          <cell r="CB316">
            <v>0</v>
          </cell>
          <cell r="CC316">
            <v>0</v>
          </cell>
          <cell r="CD316">
            <v>7.9885694772282285</v>
          </cell>
          <cell r="CE316">
            <v>5.4040208117580093</v>
          </cell>
          <cell r="CF316">
            <v>0</v>
          </cell>
        </row>
        <row r="317">
          <cell r="BN317" t="str">
            <v>Collupitiya</v>
          </cell>
          <cell r="BO317">
            <v>1.7688365707764517</v>
          </cell>
          <cell r="BP317">
            <v>2.7802326658184082</v>
          </cell>
          <cell r="BQ317">
            <v>-36.378109914201552</v>
          </cell>
          <cell r="BR317">
            <v>1.9957837320619101</v>
          </cell>
          <cell r="BS317">
            <v>3.079297094702425</v>
          </cell>
          <cell r="BT317">
            <v>-35.187035525236411</v>
          </cell>
          <cell r="BU317">
            <v>1.5457765505347345</v>
          </cell>
          <cell r="BV317">
            <v>1.4987357180629819</v>
          </cell>
          <cell r="BW317">
            <v>3.1387009667421433</v>
          </cell>
          <cell r="BX317">
            <v>1.97772374424019</v>
          </cell>
          <cell r="BY317">
            <v>3.8911918973258732</v>
          </cell>
          <cell r="BZ317">
            <v>49.174345639459915</v>
          </cell>
          <cell r="CA317">
            <v>3.4497081349706282</v>
          </cell>
          <cell r="CB317">
            <v>0</v>
          </cell>
          <cell r="CC317">
            <v>0</v>
          </cell>
          <cell r="CD317">
            <v>0.3099005396816833</v>
          </cell>
          <cell r="CE317">
            <v>1.4335962480724658</v>
          </cell>
          <cell r="CF317">
            <v>-78.382997297993882</v>
          </cell>
        </row>
        <row r="318">
          <cell r="BN318" t="str">
            <v>Dehiwala</v>
          </cell>
          <cell r="BO318">
            <v>1.5927977339000876</v>
          </cell>
          <cell r="BP318">
            <v>2.7247957021050651</v>
          </cell>
          <cell r="BQ318">
            <v>-41.544324491206531</v>
          </cell>
          <cell r="BR318">
            <v>1.7322856840033878</v>
          </cell>
          <cell r="BS318">
            <v>2.9193752527178876</v>
          </cell>
          <cell r="BT318">
            <v>-40.66245226985945</v>
          </cell>
          <cell r="BU318">
            <v>1.8339258082430987</v>
          </cell>
          <cell r="BV318">
            <v>1.5914393833734122</v>
          </cell>
          <cell r="BW318">
            <v>0</v>
          </cell>
          <cell r="BX318">
            <v>2.6078655590936437</v>
          </cell>
          <cell r="BY318">
            <v>3.6861479798550318</v>
          </cell>
          <cell r="BZ318">
            <v>29.252282508848023</v>
          </cell>
          <cell r="CA318">
            <v>2.2200480441412882</v>
          </cell>
          <cell r="CB318">
            <v>0</v>
          </cell>
          <cell r="CC318">
            <v>0</v>
          </cell>
          <cell r="CD318">
            <v>-8.4512795463888146</v>
          </cell>
          <cell r="CE318">
            <v>1.418503970428191</v>
          </cell>
          <cell r="CF318">
            <v>0</v>
          </cell>
        </row>
        <row r="319">
          <cell r="BN319" t="str">
            <v>Thibirigasyaya</v>
          </cell>
          <cell r="BO319">
            <v>1.1872123566116555</v>
          </cell>
          <cell r="BP319">
            <v>1.7997908199287922</v>
          </cell>
          <cell r="BQ319">
            <v>-34.036092224393784</v>
          </cell>
          <cell r="BR319">
            <v>1.3499878791899087</v>
          </cell>
          <cell r="BS319">
            <v>1.9518185607436849</v>
          </cell>
          <cell r="BT319">
            <v>0</v>
          </cell>
          <cell r="BU319">
            <v>0.38719997590220151</v>
          </cell>
          <cell r="BV319">
            <v>0.20241438235134801</v>
          </cell>
          <cell r="BW319">
            <v>0</v>
          </cell>
          <cell r="BX319">
            <v>1.3879042441247971</v>
          </cell>
          <cell r="BY319">
            <v>2.7663901202949939</v>
          </cell>
          <cell r="BZ319">
            <v>49.829771515494066</v>
          </cell>
          <cell r="CA319">
            <v>2.2356468814989339</v>
          </cell>
          <cell r="CB319">
            <v>0</v>
          </cell>
          <cell r="CC319">
            <v>0</v>
          </cell>
          <cell r="CD319">
            <v>-0.91808090900320072</v>
          </cell>
          <cell r="CE319">
            <v>-5.5654587611588022E-2</v>
          </cell>
          <cell r="CF319">
            <v>0</v>
          </cell>
        </row>
        <row r="320">
          <cell r="BN320" t="str">
            <v>Moratuwa</v>
          </cell>
          <cell r="BO320">
            <v>2.5805679855708106</v>
          </cell>
          <cell r="BP320">
            <v>2.1238407751230359</v>
          </cell>
          <cell r="BQ320">
            <v>21.504776431336577</v>
          </cell>
          <cell r="BR320">
            <v>2.8815401968167951</v>
          </cell>
          <cell r="BS320">
            <v>2.3356605429686033</v>
          </cell>
          <cell r="BT320">
            <v>0</v>
          </cell>
          <cell r="BU320">
            <v>2.365496817596533</v>
          </cell>
          <cell r="BV320">
            <v>1.7914337311256308</v>
          </cell>
          <cell r="BW320">
            <v>0</v>
          </cell>
          <cell r="BX320">
            <v>2.0719929025339359</v>
          </cell>
          <cell r="BY320">
            <v>3.4342416726881471</v>
          </cell>
          <cell r="BZ320">
            <v>39.666654242417167</v>
          </cell>
          <cell r="CA320">
            <v>4.0179743701778108</v>
          </cell>
          <cell r="CB320">
            <v>0</v>
          </cell>
          <cell r="CC320">
            <v>0</v>
          </cell>
          <cell r="CD320">
            <v>10.305364874873446</v>
          </cell>
          <cell r="CE320">
            <v>0.10295832479441731</v>
          </cell>
          <cell r="CF320">
            <v>0</v>
          </cell>
        </row>
        <row r="321">
          <cell r="BN321" t="str">
            <v>Kegalle</v>
          </cell>
          <cell r="BO321">
            <v>1.3899742565512856</v>
          </cell>
          <cell r="BP321">
            <v>0</v>
          </cell>
          <cell r="BQ321">
            <v>0</v>
          </cell>
          <cell r="BR321">
            <v>0.91829684674136791</v>
          </cell>
          <cell r="BS321">
            <v>1.1716594614012518E-2</v>
          </cell>
          <cell r="BT321">
            <v>0</v>
          </cell>
          <cell r="BU321">
            <v>1.1439342660906704</v>
          </cell>
          <cell r="BV321">
            <v>1.0061677195782548E-5</v>
          </cell>
          <cell r="BW321">
            <v>0</v>
          </cell>
          <cell r="BX321">
            <v>1.7431790768278574</v>
          </cell>
          <cell r="BY321">
            <v>0.18894964041281653</v>
          </cell>
          <cell r="BZ321">
            <v>-822.56279134449028</v>
          </cell>
          <cell r="CA321">
            <v>0</v>
          </cell>
          <cell r="CB321">
            <v>0</v>
          </cell>
          <cell r="CC321">
            <v>0</v>
          </cell>
          <cell r="CD321">
            <v>-7.184929007534639</v>
          </cell>
          <cell r="CE321">
            <v>-0.42354908365344146</v>
          </cell>
          <cell r="CF321">
            <v>0</v>
          </cell>
        </row>
        <row r="322">
          <cell r="BN322" t="str">
            <v>Kadawatha</v>
          </cell>
          <cell r="BO322">
            <v>0.92090178995718197</v>
          </cell>
          <cell r="BP322">
            <v>0</v>
          </cell>
          <cell r="BQ322">
            <v>0</v>
          </cell>
          <cell r="BR322">
            <v>1.0454964701875891</v>
          </cell>
          <cell r="BS322">
            <v>-4.1268916520343073E-3</v>
          </cell>
          <cell r="BT322">
            <v>0</v>
          </cell>
          <cell r="BU322">
            <v>1.1344605781702635</v>
          </cell>
          <cell r="BV322">
            <v>1.0061677195782548E-5</v>
          </cell>
          <cell r="BW322">
            <v>0</v>
          </cell>
          <cell r="BX322">
            <v>1.4864203440548971</v>
          </cell>
          <cell r="BY322">
            <v>0.44424834734972002</v>
          </cell>
          <cell r="BZ322">
            <v>-234.59220567111331</v>
          </cell>
          <cell r="CA322">
            <v>0</v>
          </cell>
          <cell r="CB322">
            <v>0</v>
          </cell>
          <cell r="CC322">
            <v>0</v>
          </cell>
          <cell r="CD322">
            <v>-2.7703393388106221</v>
          </cell>
          <cell r="CE322">
            <v>-1.1040697964250992</v>
          </cell>
          <cell r="CF322">
            <v>0</v>
          </cell>
        </row>
        <row r="323">
          <cell r="BN323" t="str">
            <v>Aluthgama</v>
          </cell>
          <cell r="BO323">
            <v>1.1814242788091278</v>
          </cell>
          <cell r="BP323">
            <v>0</v>
          </cell>
          <cell r="BQ323">
            <v>0</v>
          </cell>
          <cell r="BR323">
            <v>1.4605468029860391</v>
          </cell>
          <cell r="BS323">
            <v>8.9961844277873384E-7</v>
          </cell>
          <cell r="BT323">
            <v>0</v>
          </cell>
          <cell r="BU323">
            <v>1.1883199380537435</v>
          </cell>
          <cell r="BV323">
            <v>1.0061677195782548E-5</v>
          </cell>
          <cell r="BW323">
            <v>0</v>
          </cell>
          <cell r="BX323">
            <v>1.7630672468733031</v>
          </cell>
          <cell r="BY323">
            <v>0</v>
          </cell>
          <cell r="BZ323">
            <v>0</v>
          </cell>
          <cell r="CA323">
            <v>0</v>
          </cell>
          <cell r="CB323">
            <v>0</v>
          </cell>
          <cell r="CC323">
            <v>0</v>
          </cell>
          <cell r="CD323">
            <v>-0.75947644637531841</v>
          </cell>
          <cell r="CE323">
            <v>6.1484688770152798E-6</v>
          </cell>
          <cell r="CF323">
            <v>0</v>
          </cell>
        </row>
        <row r="324">
          <cell r="BN324" t="str">
            <v>Park Road</v>
          </cell>
          <cell r="BO324">
            <v>1.9563368514763868</v>
          </cell>
          <cell r="BP324">
            <v>0</v>
          </cell>
          <cell r="BQ324">
            <v>0</v>
          </cell>
          <cell r="BR324">
            <v>2.0347000537952025</v>
          </cell>
          <cell r="BS324">
            <v>8.9961844277873384E-7</v>
          </cell>
          <cell r="BT324">
            <v>0</v>
          </cell>
          <cell r="BU324">
            <v>1.2280759901577545</v>
          </cell>
          <cell r="BV324">
            <v>1.0061677195782548E-5</v>
          </cell>
          <cell r="BW324">
            <v>0</v>
          </cell>
          <cell r="BX324">
            <v>1.8876610697572977</v>
          </cell>
          <cell r="BY324">
            <v>0</v>
          </cell>
          <cell r="BZ324">
            <v>0</v>
          </cell>
          <cell r="CA324">
            <v>0</v>
          </cell>
          <cell r="CB324">
            <v>0</v>
          </cell>
          <cell r="CC324">
            <v>0</v>
          </cell>
          <cell r="CD324">
            <v>4.877369334024678</v>
          </cell>
          <cell r="CE324">
            <v>6.1484688770152798E-6</v>
          </cell>
          <cell r="CF324">
            <v>0</v>
          </cell>
        </row>
        <row r="325">
          <cell r="BN325" t="str">
            <v>Kotahena</v>
          </cell>
          <cell r="BO325">
            <v>2.1847990434409303</v>
          </cell>
          <cell r="BP325">
            <v>0</v>
          </cell>
          <cell r="BQ325">
            <v>0</v>
          </cell>
          <cell r="BR325">
            <v>2.5930249076529757</v>
          </cell>
          <cell r="BS325">
            <v>8.9961844277873384E-7</v>
          </cell>
          <cell r="BT325">
            <v>0</v>
          </cell>
          <cell r="BU325">
            <v>4.4118927463840825</v>
          </cell>
          <cell r="BV325">
            <v>1.0061677195782548E-5</v>
          </cell>
          <cell r="BW325">
            <v>0</v>
          </cell>
          <cell r="BX325">
            <v>2.3991407180687614</v>
          </cell>
          <cell r="BY325">
            <v>0</v>
          </cell>
          <cell r="BZ325">
            <v>0</v>
          </cell>
          <cell r="CA325">
            <v>0</v>
          </cell>
          <cell r="CB325">
            <v>0</v>
          </cell>
          <cell r="CC325">
            <v>0</v>
          </cell>
          <cell r="CD325">
            <v>9.1546698079411772</v>
          </cell>
          <cell r="CE325">
            <v>6.1484688770152798E-6</v>
          </cell>
          <cell r="CF325">
            <v>0</v>
          </cell>
        </row>
        <row r="326">
          <cell r="BN326" t="str">
            <v>Ambalangoda</v>
          </cell>
          <cell r="BO326">
            <v>0.89602796481611091</v>
          </cell>
          <cell r="BP326">
            <v>0</v>
          </cell>
          <cell r="BQ326">
            <v>0</v>
          </cell>
          <cell r="BR326">
            <v>0.924370608325637</v>
          </cell>
          <cell r="BS326">
            <v>8.9961844277873384E-7</v>
          </cell>
          <cell r="BT326">
            <v>0</v>
          </cell>
          <cell r="BU326">
            <v>0.8395051429941921</v>
          </cell>
          <cell r="BV326">
            <v>1.0061677195782548E-5</v>
          </cell>
          <cell r="BW326">
            <v>0</v>
          </cell>
          <cell r="BX326">
            <v>1.487499709870777</v>
          </cell>
          <cell r="BY326">
            <v>0</v>
          </cell>
          <cell r="BZ326">
            <v>0</v>
          </cell>
          <cell r="CA326">
            <v>7.3055698992347373E-2</v>
          </cell>
          <cell r="CB326">
            <v>0</v>
          </cell>
          <cell r="CC326">
            <v>0</v>
          </cell>
          <cell r="CD326">
            <v>-4.6265524901918127</v>
          </cell>
          <cell r="CE326">
            <v>6.1484688770152798E-6</v>
          </cell>
          <cell r="CF326">
            <v>0</v>
          </cell>
        </row>
        <row r="327">
          <cell r="BN327" t="str">
            <v>Katugastota</v>
          </cell>
          <cell r="BO327">
            <v>2.0643442869989896</v>
          </cell>
          <cell r="BP327">
            <v>0</v>
          </cell>
          <cell r="BQ327">
            <v>0</v>
          </cell>
          <cell r="BR327">
            <v>1.92393714512726</v>
          </cell>
          <cell r="BS327">
            <v>8.9961844277873384E-7</v>
          </cell>
          <cell r="BT327">
            <v>0</v>
          </cell>
          <cell r="BU327">
            <v>2.1134066716160649</v>
          </cell>
          <cell r="BV327">
            <v>1.0061677195782548E-5</v>
          </cell>
          <cell r="BW327">
            <v>0</v>
          </cell>
          <cell r="BX327">
            <v>1.9079707098178769</v>
          </cell>
          <cell r="BY327">
            <v>0</v>
          </cell>
          <cell r="BZ327">
            <v>0</v>
          </cell>
          <cell r="CA327">
            <v>0</v>
          </cell>
          <cell r="CB327">
            <v>0</v>
          </cell>
          <cell r="CC327">
            <v>0</v>
          </cell>
          <cell r="CD327">
            <v>4.192438525953543</v>
          </cell>
          <cell r="CE327">
            <v>6.1484688770152798E-6</v>
          </cell>
          <cell r="CF327">
            <v>0</v>
          </cell>
        </row>
        <row r="328">
          <cell r="BN328" t="str">
            <v>Beruwela</v>
          </cell>
          <cell r="BO328">
            <v>0.8192549978460737</v>
          </cell>
          <cell r="BP328">
            <v>0</v>
          </cell>
          <cell r="BQ328">
            <v>0</v>
          </cell>
          <cell r="BR328">
            <v>0.85741934442498047</v>
          </cell>
          <cell r="BS328">
            <v>8.9961844277873384E-7</v>
          </cell>
          <cell r="BT328">
            <v>0</v>
          </cell>
          <cell r="BU328">
            <v>0.94278656549620177</v>
          </cell>
          <cell r="BV328">
            <v>1.0061677195782548E-5</v>
          </cell>
          <cell r="BW328">
            <v>0</v>
          </cell>
          <cell r="BX328">
            <v>1.3636991169800723</v>
          </cell>
          <cell r="BY328">
            <v>0</v>
          </cell>
          <cell r="BZ328">
            <v>0</v>
          </cell>
          <cell r="CA328">
            <v>1.559469746793047E-2</v>
          </cell>
          <cell r="CB328">
            <v>0</v>
          </cell>
          <cell r="CC328">
            <v>0</v>
          </cell>
          <cell r="CD328">
            <v>-3.8948998688434413</v>
          </cell>
          <cell r="CE328">
            <v>6.1484688770152798E-6</v>
          </cell>
          <cell r="CF328">
            <v>0</v>
          </cell>
        </row>
        <row r="329">
          <cell r="BN329" t="str">
            <v>Warakapola</v>
          </cell>
          <cell r="BO329">
            <v>1.0402419662036451</v>
          </cell>
          <cell r="BP329">
            <v>0</v>
          </cell>
          <cell r="BQ329">
            <v>0</v>
          </cell>
          <cell r="BR329">
            <v>0.8947028022202147</v>
          </cell>
          <cell r="BS329">
            <v>8.9961844277873384E-7</v>
          </cell>
          <cell r="BT329">
            <v>0</v>
          </cell>
          <cell r="BU329">
            <v>1.1210630641994079</v>
          </cell>
          <cell r="BV329">
            <v>1.0061677195782548E-5</v>
          </cell>
          <cell r="BW329">
            <v>0</v>
          </cell>
          <cell r="BX329">
            <v>1.422398783902884</v>
          </cell>
          <cell r="BY329">
            <v>0</v>
          </cell>
          <cell r="BZ329">
            <v>0</v>
          </cell>
          <cell r="CA329">
            <v>4.0130221272644886E-3</v>
          </cell>
          <cell r="CB329">
            <v>0</v>
          </cell>
          <cell r="CC329">
            <v>0</v>
          </cell>
          <cell r="CD329">
            <v>-3.9072460659213286</v>
          </cell>
          <cell r="CE329">
            <v>6.1484688770152798E-6</v>
          </cell>
          <cell r="CF329">
            <v>0</v>
          </cell>
        </row>
        <row r="330">
          <cell r="BN330" t="str">
            <v>Karagampitiya</v>
          </cell>
          <cell r="BO330">
            <v>0.87320227142271412</v>
          </cell>
          <cell r="BP330">
            <v>0</v>
          </cell>
          <cell r="BQ330">
            <v>0</v>
          </cell>
          <cell r="BR330">
            <v>0.96264434415901867</v>
          </cell>
          <cell r="BS330">
            <v>8.9961844277873384E-7</v>
          </cell>
          <cell r="BT330">
            <v>0</v>
          </cell>
          <cell r="BU330">
            <v>0.76504658006097903</v>
          </cell>
          <cell r="BV330">
            <v>1.0061677195782548E-5</v>
          </cell>
          <cell r="BW330">
            <v>0</v>
          </cell>
          <cell r="BX330">
            <v>1.6529299455640769</v>
          </cell>
          <cell r="BY330">
            <v>0</v>
          </cell>
          <cell r="BZ330">
            <v>0</v>
          </cell>
          <cell r="CA330">
            <v>0</v>
          </cell>
          <cell r="CB330">
            <v>0</v>
          </cell>
          <cell r="CC330">
            <v>0</v>
          </cell>
          <cell r="CD330">
            <v>-6.0157519474621317</v>
          </cell>
          <cell r="CE330">
            <v>6.1484688770152798E-6</v>
          </cell>
          <cell r="CF330">
            <v>0</v>
          </cell>
        </row>
        <row r="331">
          <cell r="BN331" t="str">
            <v>Mathale</v>
          </cell>
          <cell r="BO331">
            <v>1.6659628209397488</v>
          </cell>
          <cell r="BP331">
            <v>0</v>
          </cell>
          <cell r="BQ331">
            <v>0</v>
          </cell>
          <cell r="BR331">
            <v>1.2136132876698851</v>
          </cell>
          <cell r="BS331">
            <v>8.9961844277873384E-7</v>
          </cell>
          <cell r="BT331">
            <v>0</v>
          </cell>
          <cell r="BU331">
            <v>1.9822057427783202E-2</v>
          </cell>
          <cell r="BV331">
            <v>1.0061677195782548E-5</v>
          </cell>
          <cell r="BW331">
            <v>0</v>
          </cell>
          <cell r="BX331">
            <v>1.6661939206444147</v>
          </cell>
          <cell r="BY331">
            <v>0</v>
          </cell>
          <cell r="BZ331">
            <v>0</v>
          </cell>
          <cell r="CA331">
            <v>4.0130221272644886E-3</v>
          </cell>
          <cell r="CB331">
            <v>0</v>
          </cell>
          <cell r="CC331">
            <v>0</v>
          </cell>
          <cell r="CD331">
            <v>-3.8622547975743311</v>
          </cell>
          <cell r="CE331">
            <v>6.1484688770152798E-6</v>
          </cell>
          <cell r="CF331">
            <v>0</v>
          </cell>
        </row>
        <row r="332">
          <cell r="BN332" t="str">
            <v>Peliyagoda</v>
          </cell>
          <cell r="BO332">
            <v>0.69398364496477472</v>
          </cell>
          <cell r="BP332">
            <v>0</v>
          </cell>
          <cell r="BQ332">
            <v>0</v>
          </cell>
          <cell r="BR332">
            <v>0.69836534987922472</v>
          </cell>
          <cell r="BS332">
            <v>8.9961844277873384E-7</v>
          </cell>
          <cell r="BT332">
            <v>0</v>
          </cell>
          <cell r="BU332">
            <v>3.5695544781777958E-2</v>
          </cell>
          <cell r="BV332">
            <v>1.0061677195782548E-5</v>
          </cell>
          <cell r="BW332">
            <v>0</v>
          </cell>
          <cell r="BX332">
            <v>1.3334565687094881</v>
          </cell>
          <cell r="BY332">
            <v>0</v>
          </cell>
          <cell r="BZ332">
            <v>0</v>
          </cell>
          <cell r="CA332">
            <v>0</v>
          </cell>
          <cell r="CB332">
            <v>0</v>
          </cell>
          <cell r="CC332">
            <v>0</v>
          </cell>
          <cell r="CD332">
            <v>-6.3910632366293409</v>
          </cell>
          <cell r="CE332">
            <v>6.1484688770152798E-6</v>
          </cell>
          <cell r="CF332">
            <v>0</v>
          </cell>
        </row>
        <row r="333">
          <cell r="BN333" t="str">
            <v>Kelaniya</v>
          </cell>
          <cell r="BO333">
            <v>0.93678651950718561</v>
          </cell>
          <cell r="BP333">
            <v>0</v>
          </cell>
          <cell r="BQ333">
            <v>0</v>
          </cell>
          <cell r="BR333">
            <v>1.0421888110054454</v>
          </cell>
          <cell r="BS333">
            <v>8.9961844277873384E-7</v>
          </cell>
          <cell r="BT333">
            <v>0</v>
          </cell>
          <cell r="BU333">
            <v>1.0760920455254628</v>
          </cell>
          <cell r="BV333">
            <v>1.0061677195782548E-5</v>
          </cell>
          <cell r="BW333">
            <v>0</v>
          </cell>
          <cell r="BX333">
            <v>1.2949747260081814</v>
          </cell>
          <cell r="BY333">
            <v>0</v>
          </cell>
          <cell r="BZ333">
            <v>0</v>
          </cell>
          <cell r="CA333">
            <v>0</v>
          </cell>
          <cell r="CB333">
            <v>0</v>
          </cell>
          <cell r="CC333">
            <v>0</v>
          </cell>
          <cell r="CD333">
            <v>-0.72563743223332677</v>
          </cell>
          <cell r="CE333">
            <v>6.1484688770152798E-6</v>
          </cell>
          <cell r="CF333">
            <v>0</v>
          </cell>
        </row>
        <row r="334">
          <cell r="BN334" t="str">
            <v>Demategoda</v>
          </cell>
          <cell r="BO334">
            <v>1.12572024339638</v>
          </cell>
          <cell r="BP334">
            <v>0</v>
          </cell>
          <cell r="BQ334">
            <v>0</v>
          </cell>
          <cell r="BR334">
            <v>1.3183303059752982</v>
          </cell>
          <cell r="BS334">
            <v>8.9961844277873384E-7</v>
          </cell>
          <cell r="BT334">
            <v>0</v>
          </cell>
          <cell r="BU334">
            <v>1.3130340051535543</v>
          </cell>
          <cell r="BV334">
            <v>1.0061677195782548E-5</v>
          </cell>
          <cell r="BW334">
            <v>0</v>
          </cell>
          <cell r="BX334">
            <v>1.4457270344706707</v>
          </cell>
          <cell r="BY334">
            <v>0</v>
          </cell>
          <cell r="BZ334">
            <v>0</v>
          </cell>
          <cell r="CA334">
            <v>0</v>
          </cell>
          <cell r="CB334">
            <v>0</v>
          </cell>
          <cell r="CC334">
            <v>0</v>
          </cell>
          <cell r="CD334">
            <v>1.187662612106265</v>
          </cell>
          <cell r="CE334">
            <v>6.1484688770152798E-6</v>
          </cell>
          <cell r="CF334">
            <v>0</v>
          </cell>
        </row>
        <row r="335">
          <cell r="BN335" t="str">
            <v>Kolannawa</v>
          </cell>
          <cell r="BO335">
            <v>1.2138225242106104</v>
          </cell>
          <cell r="BP335">
            <v>0</v>
          </cell>
          <cell r="BQ335">
            <v>0</v>
          </cell>
          <cell r="BR335">
            <v>1.2151050745189484</v>
          </cell>
          <cell r="BS335">
            <v>8.9961844277873384E-7</v>
          </cell>
          <cell r="BT335">
            <v>0</v>
          </cell>
          <cell r="BU335">
            <v>1.0865099339555571</v>
          </cell>
          <cell r="BV335">
            <v>1.0061677195782548E-5</v>
          </cell>
          <cell r="BW335">
            <v>0</v>
          </cell>
          <cell r="BX335">
            <v>0.98274244061592431</v>
          </cell>
          <cell r="BY335">
            <v>0</v>
          </cell>
          <cell r="BZ335">
            <v>0</v>
          </cell>
          <cell r="CA335">
            <v>0</v>
          </cell>
          <cell r="CB335">
            <v>0</v>
          </cell>
          <cell r="CC335">
            <v>0</v>
          </cell>
          <cell r="CD335">
            <v>4.8868871334246773</v>
          </cell>
          <cell r="CE335">
            <v>6.1484688770152798E-6</v>
          </cell>
          <cell r="CF335">
            <v>0</v>
          </cell>
        </row>
        <row r="336">
          <cell r="BN336" t="str">
            <v>Avissawella</v>
          </cell>
          <cell r="BO336">
            <v>0.88987267876503695</v>
          </cell>
          <cell r="BP336">
            <v>0</v>
          </cell>
          <cell r="BQ336">
            <v>0</v>
          </cell>
          <cell r="BR336">
            <v>0.97715812864140883</v>
          </cell>
          <cell r="BS336">
            <v>8.9961844277873384E-7</v>
          </cell>
          <cell r="BT336">
            <v>0</v>
          </cell>
          <cell r="BU336">
            <v>0.60170198661724861</v>
          </cell>
          <cell r="BV336">
            <v>1.0061677195782548E-5</v>
          </cell>
          <cell r="BW336">
            <v>0</v>
          </cell>
          <cell r="BX336">
            <v>1.1147027777526768</v>
          </cell>
          <cell r="BY336">
            <v>0</v>
          </cell>
          <cell r="BZ336">
            <v>0</v>
          </cell>
          <cell r="CA336">
            <v>0</v>
          </cell>
          <cell r="CB336">
            <v>0</v>
          </cell>
          <cell r="CC336">
            <v>0</v>
          </cell>
          <cell r="CD336">
            <v>2.3438345525550731E-2</v>
          </cell>
          <cell r="CE336">
            <v>6.1484688770152798E-6</v>
          </cell>
          <cell r="CF336">
            <v>0</v>
          </cell>
        </row>
        <row r="337">
          <cell r="BN337" t="str">
            <v>Homagama</v>
          </cell>
          <cell r="BO337">
            <v>1.25686529640696</v>
          </cell>
          <cell r="BP337">
            <v>0</v>
          </cell>
          <cell r="BQ337">
            <v>0</v>
          </cell>
          <cell r="BR337">
            <v>1.3689732900169644</v>
          </cell>
          <cell r="BS337">
            <v>8.9961844277873384E-7</v>
          </cell>
          <cell r="BT337">
            <v>0</v>
          </cell>
          <cell r="BU337">
            <v>0.52823580303281914</v>
          </cell>
          <cell r="BV337">
            <v>1.0061677195782548E-5</v>
          </cell>
          <cell r="BW337">
            <v>0</v>
          </cell>
          <cell r="BX337">
            <v>1.5056032272011204</v>
          </cell>
          <cell r="BY337">
            <v>0</v>
          </cell>
          <cell r="BZ337">
            <v>0</v>
          </cell>
          <cell r="CA337">
            <v>0</v>
          </cell>
          <cell r="CB337">
            <v>0</v>
          </cell>
          <cell r="CC337">
            <v>0</v>
          </cell>
          <cell r="CD337">
            <v>0.34377922889596263</v>
          </cell>
          <cell r="CE337">
            <v>6.1484688770152798E-6</v>
          </cell>
          <cell r="CF337">
            <v>0</v>
          </cell>
        </row>
        <row r="338">
          <cell r="BN338" t="str">
            <v>Galle</v>
          </cell>
          <cell r="BO338">
            <v>1.5326501494724412</v>
          </cell>
          <cell r="BP338">
            <v>0</v>
          </cell>
          <cell r="BQ338">
            <v>0</v>
          </cell>
          <cell r="BR338">
            <v>1.7114354340831923</v>
          </cell>
          <cell r="BS338">
            <v>8.9961844277873384E-7</v>
          </cell>
          <cell r="BT338">
            <v>0</v>
          </cell>
          <cell r="BU338">
            <v>0.48352767324177076</v>
          </cell>
          <cell r="BV338">
            <v>1.0061677195782548E-5</v>
          </cell>
          <cell r="BW338">
            <v>0</v>
          </cell>
          <cell r="BX338">
            <v>1.4066236809376651</v>
          </cell>
          <cell r="BY338">
            <v>0</v>
          </cell>
          <cell r="BZ338">
            <v>0</v>
          </cell>
          <cell r="CA338">
            <v>0</v>
          </cell>
          <cell r="CB338">
            <v>0</v>
          </cell>
          <cell r="CC338">
            <v>0</v>
          </cell>
          <cell r="CD338">
            <v>5.577579131061718</v>
          </cell>
          <cell r="CE338">
            <v>6.1484688770152798E-6</v>
          </cell>
          <cell r="CF338">
            <v>0</v>
          </cell>
        </row>
        <row r="339">
          <cell r="BN339" t="str">
            <v>Kohuwela</v>
          </cell>
          <cell r="BO339">
            <v>1.4316603320539416</v>
          </cell>
          <cell r="BP339">
            <v>0</v>
          </cell>
          <cell r="BQ339">
            <v>0</v>
          </cell>
          <cell r="BR339">
            <v>1.5738702056179796</v>
          </cell>
          <cell r="BS339">
            <v>8.9961844277873384E-7</v>
          </cell>
          <cell r="BT339">
            <v>0</v>
          </cell>
          <cell r="BU339">
            <v>0.75785313898988127</v>
          </cell>
          <cell r="BV339">
            <v>1.0061677195782548E-5</v>
          </cell>
          <cell r="BW339">
            <v>0</v>
          </cell>
          <cell r="BX339">
            <v>1.2335114729568202</v>
          </cell>
          <cell r="BY339">
            <v>0</v>
          </cell>
          <cell r="BZ339">
            <v>0</v>
          </cell>
          <cell r="CA339">
            <v>0</v>
          </cell>
          <cell r="CB339">
            <v>0</v>
          </cell>
          <cell r="CC339">
            <v>0</v>
          </cell>
          <cell r="CD339">
            <v>6.1169697792101001</v>
          </cell>
          <cell r="CE339">
            <v>6.1484688770152798E-6</v>
          </cell>
          <cell r="CF339">
            <v>0</v>
          </cell>
        </row>
        <row r="340">
          <cell r="BN340" t="str">
            <v>Mt lavinia-STC</v>
          </cell>
          <cell r="BO340">
            <v>0.81668722910706437</v>
          </cell>
          <cell r="BP340">
            <v>0</v>
          </cell>
          <cell r="BQ340">
            <v>0</v>
          </cell>
          <cell r="BR340">
            <v>0.99247666082724806</v>
          </cell>
          <cell r="BS340">
            <v>8.9961844277873384E-7</v>
          </cell>
          <cell r="BT340">
            <v>0</v>
          </cell>
          <cell r="BU340">
            <v>6.6114982999442018E-4</v>
          </cell>
          <cell r="BV340">
            <v>1.0061677195782548E-5</v>
          </cell>
          <cell r="BW340">
            <v>0</v>
          </cell>
          <cell r="BX340">
            <v>1.4982416686494198</v>
          </cell>
          <cell r="BY340">
            <v>0</v>
          </cell>
          <cell r="BZ340">
            <v>0</v>
          </cell>
          <cell r="CA340">
            <v>0</v>
          </cell>
          <cell r="CB340">
            <v>0</v>
          </cell>
          <cell r="CC340">
            <v>0</v>
          </cell>
          <cell r="CD340">
            <v>-4.6898888001836898</v>
          </cell>
          <cell r="CE340">
            <v>6.1484688770152798E-6</v>
          </cell>
          <cell r="CF340">
            <v>0</v>
          </cell>
        </row>
        <row r="341">
          <cell r="BN341" t="str">
            <v>Express Matara</v>
          </cell>
          <cell r="BO341">
            <v>0.20912595604081355</v>
          </cell>
          <cell r="BP341">
            <v>0.33302991456755415</v>
          </cell>
          <cell r="BQ341">
            <v>-37.205053692438504</v>
          </cell>
          <cell r="BR341">
            <v>0.22646066879775886</v>
          </cell>
          <cell r="BS341">
            <v>0.34184549029279426</v>
          </cell>
          <cell r="BT341">
            <v>0</v>
          </cell>
          <cell r="BU341">
            <v>4.5822265445157834E-5</v>
          </cell>
          <cell r="BV341">
            <v>1.0061677195782548E-5</v>
          </cell>
          <cell r="BW341">
            <v>0</v>
          </cell>
          <cell r="BX341">
            <v>0.23616021418587999</v>
          </cell>
          <cell r="BY341">
            <v>0.49904590823904454</v>
          </cell>
          <cell r="BZ341">
            <v>52.677657448549098</v>
          </cell>
          <cell r="CA341">
            <v>0</v>
          </cell>
          <cell r="CB341">
            <v>0</v>
          </cell>
          <cell r="CC341">
            <v>0</v>
          </cell>
          <cell r="CD341">
            <v>0.11341429167597851</v>
          </cell>
          <cell r="CE341">
            <v>-5.6237216522375441E-2</v>
          </cell>
          <cell r="CF341">
            <v>0</v>
          </cell>
        </row>
        <row r="342">
          <cell r="BN342" t="str">
            <v>Express Maligawatte</v>
          </cell>
          <cell r="BO342">
            <v>0.19583699915123914</v>
          </cell>
          <cell r="BP342">
            <v>0</v>
          </cell>
          <cell r="BQ342">
            <v>0</v>
          </cell>
          <cell r="BR342">
            <v>0.22163491016847403</v>
          </cell>
          <cell r="BS342">
            <v>8.9961844277873384E-7</v>
          </cell>
          <cell r="BT342">
            <v>0</v>
          </cell>
          <cell r="BU342">
            <v>2.094732134635787E-5</v>
          </cell>
          <cell r="BV342">
            <v>1.0061677195782548E-5</v>
          </cell>
          <cell r="BW342">
            <v>0</v>
          </cell>
          <cell r="BX342">
            <v>0.17879945762199115</v>
          </cell>
          <cell r="BY342">
            <v>0</v>
          </cell>
          <cell r="BZ342">
            <v>0</v>
          </cell>
          <cell r="CA342">
            <v>0</v>
          </cell>
          <cell r="CB342">
            <v>0</v>
          </cell>
          <cell r="CC342">
            <v>0</v>
          </cell>
          <cell r="CD342">
            <v>0.69692928807034493</v>
          </cell>
          <cell r="CE342">
            <v>6.1484688770152798E-6</v>
          </cell>
          <cell r="CF342">
            <v>0</v>
          </cell>
        </row>
        <row r="343">
          <cell r="BN343" t="str">
            <v>Express Peradeniya</v>
          </cell>
          <cell r="BO343">
            <v>6.6579851752678998E-2</v>
          </cell>
          <cell r="BP343">
            <v>0</v>
          </cell>
          <cell r="BQ343">
            <v>0</v>
          </cell>
          <cell r="BR343">
            <v>4.0199209716497306E-2</v>
          </cell>
          <cell r="BS343">
            <v>8.9961844277873384E-7</v>
          </cell>
          <cell r="BT343">
            <v>0</v>
          </cell>
          <cell r="BU343">
            <v>9.8190568811052493E-6</v>
          </cell>
          <cell r="BV343">
            <v>1.0061677195782548E-5</v>
          </cell>
          <cell r="BW343">
            <v>0</v>
          </cell>
          <cell r="BX343">
            <v>-4.5768194663796627E-2</v>
          </cell>
          <cell r="BY343">
            <v>0</v>
          </cell>
          <cell r="BZ343">
            <v>0</v>
          </cell>
          <cell r="CA343">
            <v>0</v>
          </cell>
          <cell r="CB343">
            <v>0</v>
          </cell>
          <cell r="CC343">
            <v>0</v>
          </cell>
          <cell r="CD343">
            <v>1.002049706501742</v>
          </cell>
          <cell r="CE343">
            <v>6.1484688770152798E-6</v>
          </cell>
          <cell r="CF343">
            <v>0</v>
          </cell>
        </row>
        <row r="344">
          <cell r="BN344" t="str">
            <v>Express Alexandra Place</v>
          </cell>
          <cell r="BO344">
            <v>0.33730312550504765</v>
          </cell>
          <cell r="BP344">
            <v>0</v>
          </cell>
          <cell r="BQ344">
            <v>0</v>
          </cell>
          <cell r="BR344">
            <v>0.41214720139934186</v>
          </cell>
          <cell r="BS344">
            <v>8.9961844277873384E-7</v>
          </cell>
          <cell r="BT344">
            <v>0</v>
          </cell>
          <cell r="BU344">
            <v>6.5460379207368331E-6</v>
          </cell>
          <cell r="BV344">
            <v>1.0061677195782548E-5</v>
          </cell>
          <cell r="BW344">
            <v>0</v>
          </cell>
          <cell r="BX344">
            <v>0.41540446069187598</v>
          </cell>
          <cell r="BY344">
            <v>0</v>
          </cell>
          <cell r="BZ344">
            <v>0</v>
          </cell>
          <cell r="CA344">
            <v>0</v>
          </cell>
          <cell r="CB344">
            <v>0</v>
          </cell>
          <cell r="CC344">
            <v>0</v>
          </cell>
          <cell r="CD344">
            <v>0.36752653910400751</v>
          </cell>
          <cell r="CE344">
            <v>6.1484688770152798E-6</v>
          </cell>
          <cell r="CF344">
            <v>0</v>
          </cell>
        </row>
        <row r="345">
          <cell r="BN345" t="str">
            <v>Express Boralla</v>
          </cell>
          <cell r="BO345">
            <v>5.4022572694459196E-2</v>
          </cell>
          <cell r="BP345">
            <v>0</v>
          </cell>
          <cell r="BQ345">
            <v>0</v>
          </cell>
          <cell r="BR345">
            <v>8.9694570496545601E-3</v>
          </cell>
          <cell r="BS345">
            <v>8.9961844277873384E-7</v>
          </cell>
          <cell r="BT345">
            <v>0</v>
          </cell>
          <cell r="BU345">
            <v>6.5460379207368331E-6</v>
          </cell>
          <cell r="BV345">
            <v>1.0061677195782548E-5</v>
          </cell>
          <cell r="BW345">
            <v>0</v>
          </cell>
          <cell r="BX345">
            <v>0.14911439629224418</v>
          </cell>
          <cell r="BY345">
            <v>0</v>
          </cell>
          <cell r="BZ345">
            <v>0</v>
          </cell>
          <cell r="CA345">
            <v>0</v>
          </cell>
          <cell r="CB345">
            <v>0</v>
          </cell>
          <cell r="CC345">
            <v>0</v>
          </cell>
          <cell r="CD345">
            <v>-1.5605002066504485</v>
          </cell>
          <cell r="CE345">
            <v>6.1484688770152798E-6</v>
          </cell>
          <cell r="CF345">
            <v>0</v>
          </cell>
        </row>
        <row r="346">
          <cell r="BN346" t="str">
            <v>Express Havelock Road</v>
          </cell>
          <cell r="BO346">
            <v>7.7679529184234986E-2</v>
          </cell>
          <cell r="BP346">
            <v>0</v>
          </cell>
          <cell r="BQ346">
            <v>0</v>
          </cell>
          <cell r="BR346">
            <v>0.10051410300964911</v>
          </cell>
          <cell r="BS346">
            <v>8.9961844277873384E-7</v>
          </cell>
          <cell r="BT346">
            <v>0</v>
          </cell>
          <cell r="BU346">
            <v>6.5460379207368331E-6</v>
          </cell>
          <cell r="BV346">
            <v>1.0061677195782548E-5</v>
          </cell>
          <cell r="BW346">
            <v>0</v>
          </cell>
          <cell r="BX346">
            <v>0.21522851004431529</v>
          </cell>
          <cell r="BY346">
            <v>0</v>
          </cell>
          <cell r="BZ346">
            <v>0</v>
          </cell>
          <cell r="CA346">
            <v>0</v>
          </cell>
          <cell r="CB346">
            <v>0</v>
          </cell>
          <cell r="CC346">
            <v>0</v>
          </cell>
          <cell r="CD346">
            <v>-1.1860035086683129</v>
          </cell>
          <cell r="CE346">
            <v>6.1484688770152798E-6</v>
          </cell>
          <cell r="CF346">
            <v>0</v>
          </cell>
        </row>
        <row r="347">
          <cell r="BN347" t="str">
            <v>Express Maradana</v>
          </cell>
          <cell r="BO347">
            <v>1.6543832739299713E-2</v>
          </cell>
          <cell r="BP347">
            <v>0</v>
          </cell>
          <cell r="BQ347">
            <v>0</v>
          </cell>
          <cell r="BR347">
            <v>5.3174502758830539E-3</v>
          </cell>
          <cell r="BS347">
            <v>8.9961844277873384E-7</v>
          </cell>
          <cell r="BT347">
            <v>0</v>
          </cell>
          <cell r="BU347">
            <v>6.5460379207368331E-6</v>
          </cell>
          <cell r="BV347">
            <v>1.0061677195782548E-5</v>
          </cell>
          <cell r="BW347">
            <v>0</v>
          </cell>
          <cell r="BX347">
            <v>8.2644037084567121E-2</v>
          </cell>
          <cell r="BY347">
            <v>0</v>
          </cell>
          <cell r="BZ347">
            <v>0</v>
          </cell>
          <cell r="CA347">
            <v>0</v>
          </cell>
          <cell r="CB347">
            <v>0</v>
          </cell>
          <cell r="CC347">
            <v>0</v>
          </cell>
          <cell r="CD347">
            <v>-0.86065987548586254</v>
          </cell>
          <cell r="CE347">
            <v>6.1484688770152798E-6</v>
          </cell>
          <cell r="CF347">
            <v>0</v>
          </cell>
        </row>
        <row r="348">
          <cell r="BN348" t="str">
            <v xml:space="preserve">Food City </v>
          </cell>
          <cell r="BO348">
            <v>100</v>
          </cell>
          <cell r="BP348">
            <v>100</v>
          </cell>
          <cell r="BQ348">
            <v>0</v>
          </cell>
          <cell r="BR348">
            <v>100</v>
          </cell>
          <cell r="BS348">
            <v>100</v>
          </cell>
          <cell r="BT348">
            <v>0</v>
          </cell>
          <cell r="BU348">
            <v>100</v>
          </cell>
          <cell r="BV348">
            <v>100</v>
          </cell>
          <cell r="BW348">
            <v>0</v>
          </cell>
          <cell r="BX348">
            <v>100</v>
          </cell>
          <cell r="BY348">
            <v>100</v>
          </cell>
          <cell r="BZ348">
            <v>0</v>
          </cell>
          <cell r="CA348">
            <v>100</v>
          </cell>
          <cell r="CB348">
            <v>100</v>
          </cell>
          <cell r="CC348">
            <v>0</v>
          </cell>
          <cell r="CD348">
            <v>100</v>
          </cell>
          <cell r="CE348">
            <v>100</v>
          </cell>
          <cell r="CF348">
            <v>0</v>
          </cell>
        </row>
        <row r="369">
          <cell r="BM369">
            <v>8</v>
          </cell>
          <cell r="CE369" t="str">
            <v>Appendix IV</v>
          </cell>
        </row>
        <row r="370">
          <cell r="BM370" t="str">
            <v>CARGILLS ( CEYLON ) LTD</v>
          </cell>
        </row>
        <row r="372">
          <cell r="BM372" t="str">
            <v xml:space="preserve"> Contribution % by Profit Centres/Divisions - Month of March 2004</v>
          </cell>
        </row>
        <row r="373">
          <cell r="BN373" t="str">
            <v>MTH V MTH</v>
          </cell>
          <cell r="CF373">
            <v>38154.357810300928</v>
          </cell>
        </row>
        <row r="374">
          <cell r="BM374" t="str">
            <v>Profit Centre</v>
          </cell>
          <cell r="BO374" t="str">
            <v>Gross Turnover</v>
          </cell>
          <cell r="BR374" t="str">
            <v>Achieved Gross Profit</v>
          </cell>
          <cell r="BU374" t="str">
            <v>Other Income</v>
          </cell>
          <cell r="BX374" t="str">
            <v>Direct Expenses</v>
          </cell>
          <cell r="CA374" t="str">
            <v>D&amp;A and Finance</v>
          </cell>
          <cell r="CD374" t="str">
            <v>Contribution</v>
          </cell>
        </row>
        <row r="375">
          <cell r="BO375">
            <v>38047</v>
          </cell>
          <cell r="BP375">
            <v>37681</v>
          </cell>
          <cell r="BQ375" t="str">
            <v>Var %</v>
          </cell>
          <cell r="BR375">
            <v>38047</v>
          </cell>
          <cell r="BS375">
            <v>37681</v>
          </cell>
          <cell r="BT375" t="str">
            <v>Var %</v>
          </cell>
          <cell r="BU375">
            <v>38047</v>
          </cell>
          <cell r="BV375">
            <v>37681</v>
          </cell>
          <cell r="BW375" t="str">
            <v>Var %</v>
          </cell>
          <cell r="BX375">
            <v>38047</v>
          </cell>
          <cell r="BY375">
            <v>37681</v>
          </cell>
          <cell r="BZ375" t="str">
            <v>Var %</v>
          </cell>
          <cell r="CA375">
            <v>38047</v>
          </cell>
          <cell r="CB375">
            <v>37681</v>
          </cell>
          <cell r="CC375" t="str">
            <v>Var %</v>
          </cell>
          <cell r="CD375">
            <v>38047</v>
          </cell>
          <cell r="CE375">
            <v>37681</v>
          </cell>
          <cell r="CF375" t="str">
            <v>Var %</v>
          </cell>
        </row>
        <row r="376">
          <cell r="BN376" t="str">
            <v>Staples Street</v>
          </cell>
          <cell r="BO376">
            <v>7.079932900199017</v>
          </cell>
          <cell r="BP376">
            <v>11.51549488695373</v>
          </cell>
          <cell r="BQ376">
            <v>-38.518205516116396</v>
          </cell>
          <cell r="BR376">
            <v>8.0877220925351931</v>
          </cell>
          <cell r="BS376">
            <v>12.422680175224578</v>
          </cell>
          <cell r="BT376">
            <v>-34.895513862901304</v>
          </cell>
          <cell r="BU376">
            <v>10.051302972579151</v>
          </cell>
          <cell r="BV376">
            <v>10.681562371240423</v>
          </cell>
          <cell r="BW376">
            <v>-5.9004420585345629</v>
          </cell>
          <cell r="BX376">
            <v>6.7869762710902641</v>
          </cell>
          <cell r="BY376">
            <v>8.4777592715561774</v>
          </cell>
          <cell r="BZ376">
            <v>19.943748652296343</v>
          </cell>
          <cell r="CA376">
            <v>6.3844940636889582</v>
          </cell>
          <cell r="CB376">
            <v>11.110225150372441</v>
          </cell>
          <cell r="CC376">
            <v>42.53497136847011</v>
          </cell>
          <cell r="CD376">
            <v>31.381306054294939</v>
          </cell>
          <cell r="CE376">
            <v>21.414627618950671</v>
          </cell>
          <cell r="CF376">
            <v>46.541451071156381</v>
          </cell>
        </row>
        <row r="377">
          <cell r="BN377" t="str">
            <v>Kandy</v>
          </cell>
          <cell r="BO377">
            <v>6.0063171820819798</v>
          </cell>
          <cell r="BP377">
            <v>8.8447034136014917</v>
          </cell>
          <cell r="BQ377">
            <v>-32.091366988683959</v>
          </cell>
          <cell r="BR377">
            <v>5.356050029271338</v>
          </cell>
          <cell r="BS377">
            <v>7.6555085631902955</v>
          </cell>
          <cell r="BT377">
            <v>-30.036652887769737</v>
          </cell>
          <cell r="BU377">
            <v>4.2609062142877638</v>
          </cell>
          <cell r="BV377">
            <v>6.4435667247814381</v>
          </cell>
          <cell r="BW377">
            <v>-33.873483487015633</v>
          </cell>
          <cell r="BX377">
            <v>3.7071732069411696</v>
          </cell>
          <cell r="BY377">
            <v>5.7035287697918546</v>
          </cell>
          <cell r="BZ377">
            <v>35.002112611830313</v>
          </cell>
          <cell r="CA377">
            <v>5.2977376858653908</v>
          </cell>
          <cell r="CB377">
            <v>7.2471390018769091</v>
          </cell>
          <cell r="CC377">
            <v>26.8989088729587</v>
          </cell>
          <cell r="CD377">
            <v>28.165598034822704</v>
          </cell>
          <cell r="CE377">
            <v>11.925941685776099</v>
          </cell>
          <cell r="CF377">
            <v>136.17085155141595</v>
          </cell>
        </row>
        <row r="378">
          <cell r="BN378" t="str">
            <v>Mount Lavinia</v>
          </cell>
          <cell r="BO378">
            <v>3.5816583897935397</v>
          </cell>
          <cell r="BP378">
            <v>5.0345738558810815</v>
          </cell>
          <cell r="BQ378">
            <v>-28.858757616403519</v>
          </cell>
          <cell r="BR378">
            <v>2.8725845914977812</v>
          </cell>
          <cell r="BS378">
            <v>3.6843344521684989</v>
          </cell>
          <cell r="BT378">
            <v>-22.032469397368196</v>
          </cell>
          <cell r="BU378">
            <v>-1.0402498157198734</v>
          </cell>
          <cell r="BV378">
            <v>2.8653042812289113</v>
          </cell>
          <cell r="BW378">
            <v>-136.30503826538506</v>
          </cell>
          <cell r="BX378">
            <v>2.6221800309544165</v>
          </cell>
          <cell r="BY378">
            <v>2.7326347164293883</v>
          </cell>
          <cell r="BZ378">
            <v>4.0420581942725926</v>
          </cell>
          <cell r="CA378">
            <v>1.1256430846960208</v>
          </cell>
          <cell r="CB378">
            <v>2.0909646473483772</v>
          </cell>
          <cell r="CC378">
            <v>46.16632633538368</v>
          </cell>
          <cell r="CD378">
            <v>4.1005912067095185</v>
          </cell>
          <cell r="CE378">
            <v>6.0243938323891397</v>
          </cell>
          <cell r="CF378">
            <v>-31.933546829834071</v>
          </cell>
        </row>
        <row r="379">
          <cell r="BN379" t="str">
            <v>Wellawatte</v>
          </cell>
          <cell r="BO379">
            <v>1.3998348102942733</v>
          </cell>
          <cell r="BP379">
            <v>1.7576605614224396</v>
          </cell>
          <cell r="BQ379">
            <v>-20.358069071003399</v>
          </cell>
          <cell r="BR379">
            <v>1.4337106484759696</v>
          </cell>
          <cell r="BS379">
            <v>1.9813907650012426</v>
          </cell>
          <cell r="BT379">
            <v>-27.641196587737678</v>
          </cell>
          <cell r="BU379">
            <v>1.3141275835956905</v>
          </cell>
          <cell r="BV379">
            <v>0.79484991157238949</v>
          </cell>
          <cell r="BW379">
            <v>65.330279901026174</v>
          </cell>
          <cell r="BX379">
            <v>1.8227641312197114</v>
          </cell>
          <cell r="BY379">
            <v>1.3470620832809455</v>
          </cell>
          <cell r="BZ379">
            <v>-35.314040372967185</v>
          </cell>
          <cell r="CA379">
            <v>0.35810885275491933</v>
          </cell>
          <cell r="CB379">
            <v>0.68192911021122948</v>
          </cell>
          <cell r="CC379">
            <v>47.485912040916674</v>
          </cell>
          <cell r="CD379">
            <v>-3.061705168899965</v>
          </cell>
          <cell r="CE379">
            <v>3.3777901939971025</v>
          </cell>
          <cell r="CF379">
            <v>-190.64225404944116</v>
          </cell>
        </row>
        <row r="380">
          <cell r="BN380" t="str">
            <v>Bambalapitiya</v>
          </cell>
          <cell r="BO380">
            <v>2.2543943320472262</v>
          </cell>
          <cell r="BP380">
            <v>3.9813429336627251</v>
          </cell>
          <cell r="BQ380">
            <v>-43.376032418959554</v>
          </cell>
          <cell r="BR380">
            <v>2.4692598013483869</v>
          </cell>
          <cell r="BS380">
            <v>4.1858642924170066</v>
          </cell>
          <cell r="BT380">
            <v>-41.009559105353034</v>
          </cell>
          <cell r="BU380">
            <v>4.1303671170316338</v>
          </cell>
          <cell r="BV380">
            <v>4.4370205892641374</v>
          </cell>
          <cell r="BW380">
            <v>-6.9112474477690196</v>
          </cell>
          <cell r="BX380">
            <v>2.4735669817299231</v>
          </cell>
          <cell r="BY380">
            <v>4.4032876525801621</v>
          </cell>
          <cell r="BZ380">
            <v>43.824542548781587</v>
          </cell>
          <cell r="CA380">
            <v>0.88253250584883935</v>
          </cell>
          <cell r="CB380">
            <v>1.516885775722713</v>
          </cell>
          <cell r="CC380">
            <v>41.819448769742671</v>
          </cell>
          <cell r="CD380">
            <v>6.2661314773567405</v>
          </cell>
          <cell r="CE380">
            <v>4.4054174861671296</v>
          </cell>
          <cell r="CF380">
            <v>42.23695023302998</v>
          </cell>
        </row>
        <row r="381">
          <cell r="BN381" t="str">
            <v>Nuwara Eliya</v>
          </cell>
          <cell r="BO381">
            <v>1.3875229760275771</v>
          </cell>
          <cell r="BP381">
            <v>1.8362762005309496</v>
          </cell>
          <cell r="BQ381">
            <v>-24.438220370858037</v>
          </cell>
          <cell r="BR381">
            <v>1.2809762780086109</v>
          </cell>
          <cell r="BS381">
            <v>1.4795518230153328</v>
          </cell>
          <cell r="BT381">
            <v>-13.421330832604708</v>
          </cell>
          <cell r="BU381">
            <v>0.32666808833599081</v>
          </cell>
          <cell r="BV381">
            <v>2.7880004061109922</v>
          </cell>
          <cell r="BW381">
            <v>-88.28306883958949</v>
          </cell>
          <cell r="BX381">
            <v>1.4016930998342525</v>
          </cell>
          <cell r="BY381">
            <v>1.7014486084888161</v>
          </cell>
          <cell r="BZ381">
            <v>17.617664568828729</v>
          </cell>
          <cell r="CA381">
            <v>2.1752374693638048</v>
          </cell>
          <cell r="CB381">
            <v>4.2421941110516403</v>
          </cell>
          <cell r="CC381">
            <v>48.723763872639879</v>
          </cell>
          <cell r="CD381">
            <v>-2.673130240862418</v>
          </cell>
          <cell r="CE381">
            <v>0.74160210141814664</v>
          </cell>
          <cell r="CF381">
            <v>-460.45343395746318</v>
          </cell>
        </row>
        <row r="382">
          <cell r="BN382" t="str">
            <v>Bandarawela</v>
          </cell>
          <cell r="BO382">
            <v>3.0287905001975197</v>
          </cell>
          <cell r="BP382">
            <v>4.4705448048057699</v>
          </cell>
          <cell r="BQ382">
            <v>-32.250080640247369</v>
          </cell>
          <cell r="BR382">
            <v>1.6514344716250577</v>
          </cell>
          <cell r="BS382">
            <v>2.1977155532953558</v>
          </cell>
          <cell r="BT382">
            <v>-24.856769150638222</v>
          </cell>
          <cell r="BU382">
            <v>-2.8429816238147665</v>
          </cell>
          <cell r="BV382">
            <v>1.4553361593071323</v>
          </cell>
          <cell r="BW382">
            <v>-295.3487931728622</v>
          </cell>
          <cell r="BX382">
            <v>1.7069659052160662</v>
          </cell>
          <cell r="BY382">
            <v>1.7074335991053038</v>
          </cell>
          <cell r="BZ382">
            <v>2.7391629723269535E-2</v>
          </cell>
          <cell r="CA382">
            <v>0.61326858610552115</v>
          </cell>
          <cell r="CB382">
            <v>1.1244317657892744</v>
          </cell>
          <cell r="CC382">
            <v>45.459688638816743</v>
          </cell>
          <cell r="CD382">
            <v>-3.113241755604653</v>
          </cell>
          <cell r="CE382">
            <v>3.3538133385896272</v>
          </cell>
          <cell r="CF382">
            <v>-192.82692390131223</v>
          </cell>
        </row>
        <row r="383">
          <cell r="BN383" t="str">
            <v>Maharagama</v>
          </cell>
          <cell r="BO383">
            <v>2.5190050856720965</v>
          </cell>
          <cell r="BP383">
            <v>3.5072488762852556</v>
          </cell>
          <cell r="BQ383">
            <v>-28.177178907813044</v>
          </cell>
          <cell r="BR383">
            <v>2.8805403887794303</v>
          </cell>
          <cell r="BS383">
            <v>3.8544510696139693</v>
          </cell>
          <cell r="BT383">
            <v>-25.267169390532128</v>
          </cell>
          <cell r="BU383">
            <v>2.7232932344647902</v>
          </cell>
          <cell r="BV383">
            <v>3.7865526953886612E-2</v>
          </cell>
          <cell r="BW383">
            <v>7092.0119790786757</v>
          </cell>
          <cell r="BX383">
            <v>2.3419504766251498</v>
          </cell>
          <cell r="BY383">
            <v>2.9510567555940406</v>
          </cell>
          <cell r="BZ383">
            <v>20.640276667477348</v>
          </cell>
          <cell r="CA383">
            <v>0.99118760529965622</v>
          </cell>
          <cell r="CB383">
            <v>1.8989778486042255</v>
          </cell>
          <cell r="CC383">
            <v>47.804151268631564</v>
          </cell>
          <cell r="CD383">
            <v>12.839504063276403</v>
          </cell>
          <cell r="CE383">
            <v>5.1360827531987194</v>
          </cell>
          <cell r="CF383">
            <v>149.98631603589411</v>
          </cell>
        </row>
        <row r="384">
          <cell r="BN384" t="str">
            <v>Kiribathgoda</v>
          </cell>
          <cell r="BO384">
            <v>1.0361749955688406</v>
          </cell>
          <cell r="BP384">
            <v>2.8391473305043413</v>
          </cell>
          <cell r="BQ384">
            <v>-63.504007543533284</v>
          </cell>
          <cell r="BR384">
            <v>1.0892060285201355</v>
          </cell>
          <cell r="BS384">
            <v>2.9794720321306087</v>
          </cell>
          <cell r="BT384">
            <v>-63.442985308331679</v>
          </cell>
          <cell r="BU384">
            <v>1.2451907767562143</v>
          </cell>
          <cell r="BV384">
            <v>1.4408621172652447</v>
          </cell>
          <cell r="BW384">
            <v>-13.580157196471687</v>
          </cell>
          <cell r="BX384">
            <v>0.28427411994927576</v>
          </cell>
          <cell r="BY384">
            <v>2.3612056553306378</v>
          </cell>
          <cell r="BZ384">
            <v>87.960637003070829</v>
          </cell>
          <cell r="CA384">
            <v>0.49595009342070551</v>
          </cell>
          <cell r="CB384">
            <v>0.98191624132086108</v>
          </cell>
          <cell r="CC384">
            <v>49.491609105725779</v>
          </cell>
          <cell r="CD384">
            <v>13.713301468372999</v>
          </cell>
          <cell r="CE384">
            <v>4.3853724506497622</v>
          </cell>
          <cell r="CF384">
            <v>212.7055141312149</v>
          </cell>
        </row>
        <row r="385">
          <cell r="BN385" t="str">
            <v>Nugegoda</v>
          </cell>
          <cell r="BO385">
            <v>2.6600722977985476</v>
          </cell>
          <cell r="BP385">
            <v>4.4737625795334424</v>
          </cell>
          <cell r="BQ385">
            <v>-40.540601998688089</v>
          </cell>
          <cell r="BR385">
            <v>2.9276471667724131</v>
          </cell>
          <cell r="BS385">
            <v>4.5969303010996301</v>
          </cell>
          <cell r="BT385">
            <v>-36.312996390828644</v>
          </cell>
          <cell r="BU385">
            <v>5.2424994361233752</v>
          </cell>
          <cell r="BV385">
            <v>4.720879376535458</v>
          </cell>
          <cell r="BW385">
            <v>11.049213885458812</v>
          </cell>
          <cell r="BX385">
            <v>2.8624395554257842</v>
          </cell>
          <cell r="BY385">
            <v>4.0641671958163865</v>
          </cell>
          <cell r="BZ385">
            <v>29.568853408089335</v>
          </cell>
          <cell r="CA385">
            <v>1.7442601613418602</v>
          </cell>
          <cell r="CB385">
            <v>1.6469159575092385</v>
          </cell>
          <cell r="CC385">
            <v>-5.9106964984323263</v>
          </cell>
          <cell r="CD385">
            <v>8.005186122253761</v>
          </cell>
          <cell r="CE385">
            <v>6.6042447404815601</v>
          </cell>
          <cell r="CF385">
            <v>21.212741756600149</v>
          </cell>
        </row>
        <row r="386">
          <cell r="BN386" t="str">
            <v>Fort</v>
          </cell>
          <cell r="BO386">
            <v>1.867296558964008</v>
          </cell>
          <cell r="BP386">
            <v>2.9607376226110524</v>
          </cell>
          <cell r="BQ386">
            <v>-36.931373293481741</v>
          </cell>
          <cell r="BR386">
            <v>1.5591998822849653</v>
          </cell>
          <cell r="BS386">
            <v>2.2214328067237274</v>
          </cell>
          <cell r="BT386">
            <v>-29.81107159461888</v>
          </cell>
          <cell r="BU386">
            <v>0.24712241990884806</v>
          </cell>
          <cell r="BV386">
            <v>1.8948948273358717</v>
          </cell>
          <cell r="BW386">
            <v>-86.958515251408969</v>
          </cell>
          <cell r="BX386">
            <v>1.0078229271705477</v>
          </cell>
          <cell r="BY386">
            <v>1.0437099345266729</v>
          </cell>
          <cell r="BZ386">
            <v>3.4384081408978999</v>
          </cell>
          <cell r="CA386">
            <v>0.47571810534733328</v>
          </cell>
          <cell r="CB386">
            <v>0.96695241531115605</v>
          </cell>
          <cell r="CC386">
            <v>50.802325138796853</v>
          </cell>
          <cell r="CD386">
            <v>9.3827792190335373</v>
          </cell>
          <cell r="CE386">
            <v>5.1806831084106433</v>
          </cell>
          <cell r="CF386">
            <v>81.110850107796594</v>
          </cell>
        </row>
        <row r="387">
          <cell r="BN387" t="str">
            <v>Malabe</v>
          </cell>
          <cell r="BO387">
            <v>2.1615417925467035</v>
          </cell>
          <cell r="BP387">
            <v>2.8331529943713418</v>
          </cell>
          <cell r="BQ387">
            <v>-23.705433598500896</v>
          </cell>
          <cell r="BR387">
            <v>2.1172874040702587</v>
          </cell>
          <cell r="BS387">
            <v>2.8719623111598227</v>
          </cell>
          <cell r="BT387">
            <v>-26.277326278170886</v>
          </cell>
          <cell r="BU387">
            <v>2.1647789566026652</v>
          </cell>
          <cell r="BV387">
            <v>1.9863194504093966</v>
          </cell>
          <cell r="BW387">
            <v>8.984431288556662</v>
          </cell>
          <cell r="BX387">
            <v>2.0536216524032289</v>
          </cell>
          <cell r="BY387">
            <v>2.6978454180630926</v>
          </cell>
          <cell r="BZ387">
            <v>23.879194906666729</v>
          </cell>
          <cell r="CA387">
            <v>0.73476480451719273</v>
          </cell>
          <cell r="CB387">
            <v>3.2122341945635458</v>
          </cell>
          <cell r="CC387">
            <v>77.126051215047625</v>
          </cell>
          <cell r="CD387">
            <v>4.7816610430596009</v>
          </cell>
          <cell r="CE387">
            <v>2.8941988329630881</v>
          </cell>
          <cell r="CF387">
            <v>65.215360762346947</v>
          </cell>
        </row>
        <row r="388">
          <cell r="BN388" t="str">
            <v>Negombo</v>
          </cell>
          <cell r="BO388">
            <v>3.082989581330398</v>
          </cell>
          <cell r="BP388">
            <v>4.5293111041732557</v>
          </cell>
          <cell r="BQ388">
            <v>-31.932483540603634</v>
          </cell>
          <cell r="BR388">
            <v>2.6246979096887597</v>
          </cell>
          <cell r="BS388">
            <v>3.8659396611631638</v>
          </cell>
          <cell r="BT388">
            <v>-32.107116516685252</v>
          </cell>
          <cell r="BU388">
            <v>7.5441374520279574</v>
          </cell>
          <cell r="BV388">
            <v>4.4875207301251869</v>
          </cell>
          <cell r="BW388">
            <v>68.113707004925658</v>
          </cell>
          <cell r="BX388">
            <v>2.5329756911410821</v>
          </cell>
          <cell r="BY388">
            <v>3.1965623118945574</v>
          </cell>
          <cell r="BZ388">
            <v>20.759383237556126</v>
          </cell>
          <cell r="CA388">
            <v>1.3142068118535886</v>
          </cell>
          <cell r="CB388">
            <v>4.3258890447470177</v>
          </cell>
          <cell r="CC388">
            <v>69.619960238012894</v>
          </cell>
          <cell r="CD388">
            <v>11.267598626479288</v>
          </cell>
          <cell r="CE388">
            <v>5.5427142293021978</v>
          </cell>
          <cell r="CF388">
            <v>103.28665993479925</v>
          </cell>
        </row>
        <row r="389">
          <cell r="BN389" t="str">
            <v>Rajagiriya</v>
          </cell>
          <cell r="BO389">
            <v>1.6501768020871512</v>
          </cell>
          <cell r="BP389">
            <v>2.3654221267563069</v>
          </cell>
          <cell r="BQ389">
            <v>-30.237534204939926</v>
          </cell>
          <cell r="BR389">
            <v>2.2424227302751421</v>
          </cell>
          <cell r="BS389">
            <v>2.5824084235523954</v>
          </cell>
          <cell r="BT389">
            <v>-13.165450134706596</v>
          </cell>
          <cell r="BU389">
            <v>1.6858745418050194</v>
          </cell>
          <cell r="BV389">
            <v>1.5229489525390689</v>
          </cell>
          <cell r="BW389">
            <v>10.698033508892076</v>
          </cell>
          <cell r="BX389">
            <v>1.5888038818424484</v>
          </cell>
          <cell r="BY389">
            <v>1.8379744227018391</v>
          </cell>
          <cell r="BZ389">
            <v>13.556801323334399</v>
          </cell>
          <cell r="CA389">
            <v>1.0371991952399755</v>
          </cell>
          <cell r="CB389">
            <v>2.7778782831642093</v>
          </cell>
          <cell r="CC389">
            <v>62.662179926093501</v>
          </cell>
          <cell r="CD389">
            <v>12.58030701604155</v>
          </cell>
          <cell r="CE389">
            <v>3.9205882159568897</v>
          </cell>
          <cell r="CF389">
            <v>220.87805000380794</v>
          </cell>
        </row>
        <row r="390">
          <cell r="BN390" t="str">
            <v>Boralesgamuwa</v>
          </cell>
          <cell r="BO390">
            <v>0.90871972486451047</v>
          </cell>
          <cell r="BP390">
            <v>1.1345247929520512</v>
          </cell>
          <cell r="BQ390">
            <v>-19.903052757445032</v>
          </cell>
          <cell r="BR390">
            <v>0.70961057460023502</v>
          </cell>
          <cell r="BS390">
            <v>1.1447853490622704</v>
          </cell>
          <cell r="BT390">
            <v>-38.013656867508018</v>
          </cell>
          <cell r="BU390">
            <v>0.69076569729242876</v>
          </cell>
          <cell r="BV390">
            <v>0.88117292333943564</v>
          </cell>
          <cell r="BW390">
            <v>-21.608383667238527</v>
          </cell>
          <cell r="BX390">
            <v>1.0533260905351183</v>
          </cell>
          <cell r="BY390">
            <v>1.6435599018074492</v>
          </cell>
          <cell r="BZ390">
            <v>35.911913561729101</v>
          </cell>
          <cell r="CA390">
            <v>0.66141552320049679</v>
          </cell>
          <cell r="CB390">
            <v>2.1183120073607258</v>
          </cell>
          <cell r="CC390">
            <v>68.776293534559343</v>
          </cell>
          <cell r="CD390">
            <v>-4.2586947886692066</v>
          </cell>
          <cell r="CE390">
            <v>-0.35363145879628111</v>
          </cell>
          <cell r="CF390">
            <v>-1104.2748694262923</v>
          </cell>
        </row>
        <row r="391">
          <cell r="BN391" t="str">
            <v>Pitakotte</v>
          </cell>
          <cell r="BO391">
            <v>1.6407645831907749</v>
          </cell>
          <cell r="BP391">
            <v>2.3857974050166342</v>
          </cell>
          <cell r="BQ391">
            <v>-31.227832684337454</v>
          </cell>
          <cell r="BR391">
            <v>1.9337406265928885</v>
          </cell>
          <cell r="BS391">
            <v>2.6377594182475499</v>
          </cell>
          <cell r="BT391">
            <v>-26.690030439636942</v>
          </cell>
          <cell r="BU391">
            <v>2.0734693417764762</v>
          </cell>
          <cell r="BV391">
            <v>2.1971788670582475</v>
          </cell>
          <cell r="BW391">
            <v>-5.630380263369414</v>
          </cell>
          <cell r="BX391">
            <v>1.5725760835304889</v>
          </cell>
          <cell r="BY391">
            <v>2.4367031132873316</v>
          </cell>
          <cell r="BZ391">
            <v>35.462959153487418</v>
          </cell>
          <cell r="CA391">
            <v>2.3604649829778457</v>
          </cell>
          <cell r="CB391">
            <v>4.364035868596142</v>
          </cell>
          <cell r="CC391">
            <v>45.910962832274357</v>
          </cell>
          <cell r="CD391">
            <v>6.8359456383814603</v>
          </cell>
          <cell r="CE391">
            <v>2.5420438819940481</v>
          </cell>
          <cell r="CF391">
            <v>168.91532781169613</v>
          </cell>
        </row>
        <row r="392">
          <cell r="BN392" t="str">
            <v>Panadura</v>
          </cell>
          <cell r="BO392">
            <v>2.2146050532593544</v>
          </cell>
          <cell r="BP392">
            <v>2.4983230113927326</v>
          </cell>
          <cell r="BQ392">
            <v>-11.356336103841706</v>
          </cell>
          <cell r="BR392">
            <v>2.3161841728405985</v>
          </cell>
          <cell r="BS392">
            <v>2.749631769522336</v>
          </cell>
          <cell r="BT392">
            <v>-15.763841598216466</v>
          </cell>
          <cell r="BU392">
            <v>1.8969633953483716</v>
          </cell>
          <cell r="BV392">
            <v>1.6205749803941731</v>
          </cell>
          <cell r="BW392">
            <v>17.054960017152204</v>
          </cell>
          <cell r="BX392">
            <v>1.9400883635594903</v>
          </cell>
          <cell r="BY392">
            <v>2.68858075566457</v>
          </cell>
          <cell r="BZ392">
            <v>27.839684209897037</v>
          </cell>
          <cell r="CA392">
            <v>3.465370479687877</v>
          </cell>
          <cell r="CB392">
            <v>5.6204770497796188</v>
          </cell>
          <cell r="CC392">
            <v>38.34383720464163</v>
          </cell>
          <cell r="CD392">
            <v>5.9076892434380124</v>
          </cell>
          <cell r="CE392">
            <v>1.8113905448950127</v>
          </cell>
          <cell r="CF392">
            <v>226.14111076639296</v>
          </cell>
        </row>
        <row r="393">
          <cell r="BN393" t="str">
            <v>Kurunagala</v>
          </cell>
          <cell r="BO393">
            <v>2.1203954234849531</v>
          </cell>
          <cell r="BP393">
            <v>1.7631025211333098</v>
          </cell>
          <cell r="BQ393">
            <v>20.265010007584699</v>
          </cell>
          <cell r="BR393">
            <v>1.9866908388794438</v>
          </cell>
          <cell r="BS393">
            <v>1.9460372749434356</v>
          </cell>
          <cell r="BT393">
            <v>2.0890434350590645</v>
          </cell>
          <cell r="BU393">
            <v>2.1860336614712459</v>
          </cell>
          <cell r="BV393">
            <v>2.1959242180640799</v>
          </cell>
          <cell r="BW393">
            <v>-0.45040518755030096</v>
          </cell>
          <cell r="BX393">
            <v>1.755419038106885</v>
          </cell>
          <cell r="BY393">
            <v>2.2627206337843959</v>
          </cell>
          <cell r="BZ393">
            <v>22.419983629576485</v>
          </cell>
          <cell r="CA393">
            <v>3.6254950109176085</v>
          </cell>
          <cell r="CB393">
            <v>6.5696753524380727</v>
          </cell>
          <cell r="CC393">
            <v>44.814700629428351</v>
          </cell>
          <cell r="CD393">
            <v>3.5919081510845876</v>
          </cell>
          <cell r="CE393">
            <v>0.17149690366324774</v>
          </cell>
          <cell r="CF393">
            <v>1994.444899213853</v>
          </cell>
        </row>
        <row r="394">
          <cell r="BN394" t="str">
            <v>Matara</v>
          </cell>
          <cell r="BO394">
            <v>1.7811298858511764</v>
          </cell>
          <cell r="BP394">
            <v>1.7369709743020656</v>
          </cell>
          <cell r="BQ394">
            <v>2.542294154734182</v>
          </cell>
          <cell r="BR394">
            <v>1.7980312198329562</v>
          </cell>
          <cell r="BS394">
            <v>1.969551213835083</v>
          </cell>
          <cell r="BT394">
            <v>-8.708582584564807</v>
          </cell>
          <cell r="BU394">
            <v>1.2394249818949141</v>
          </cell>
          <cell r="BV394">
            <v>1.3594643092288332</v>
          </cell>
          <cell r="BW394">
            <v>-8.8298991388756889</v>
          </cell>
          <cell r="BX394">
            <v>1.5996542879265483</v>
          </cell>
          <cell r="BY394">
            <v>2.8433369561483808</v>
          </cell>
          <cell r="BZ394">
            <v>43.74024912990054</v>
          </cell>
          <cell r="CA394">
            <v>3.3401732326218618</v>
          </cell>
          <cell r="CB394">
            <v>5.3211943800679773</v>
          </cell>
          <cell r="CC394">
            <v>37.228881449371301</v>
          </cell>
          <cell r="CD394">
            <v>2.1616767930833714</v>
          </cell>
          <cell r="CE394">
            <v>-1.1038824314537135</v>
          </cell>
          <cell r="CF394">
            <v>295.82491137544764</v>
          </cell>
        </row>
        <row r="395">
          <cell r="BN395" t="str">
            <v>Wattala</v>
          </cell>
          <cell r="BO395">
            <v>2.2705689923046659</v>
          </cell>
          <cell r="BP395">
            <v>2.0816617007826124</v>
          </cell>
          <cell r="BQ395">
            <v>9.0748314892392354</v>
          </cell>
          <cell r="BR395">
            <v>1.4385325500803745</v>
          </cell>
          <cell r="BS395">
            <v>1.3035136442988351</v>
          </cell>
          <cell r="BT395">
            <v>10.358073839278191</v>
          </cell>
          <cell r="BU395">
            <v>4.3945036277987448</v>
          </cell>
          <cell r="BV395">
            <v>2.1681661268041394</v>
          </cell>
          <cell r="BW395">
            <v>102.68297587861545</v>
          </cell>
          <cell r="BX395">
            <v>1.9137786156133776</v>
          </cell>
          <cell r="BY395">
            <v>3.2520583879433733</v>
          </cell>
          <cell r="BZ395">
            <v>41.151775665883235</v>
          </cell>
          <cell r="CA395">
            <v>5.0375417991175393</v>
          </cell>
          <cell r="CB395">
            <v>8.6880632038484364</v>
          </cell>
          <cell r="CC395">
            <v>42.017666297752918</v>
          </cell>
          <cell r="CD395">
            <v>-6.42815817445344</v>
          </cell>
          <cell r="CE395">
            <v>-4.7623480935918021</v>
          </cell>
          <cell r="CF395">
            <v>-34.978755188079298</v>
          </cell>
        </row>
        <row r="396">
          <cell r="BN396" t="str">
            <v>Pelawatte</v>
          </cell>
          <cell r="BO396">
            <v>2.2014393892813957</v>
          </cell>
          <cell r="BP396">
            <v>3.083955988842737</v>
          </cell>
          <cell r="BQ396">
            <v>-28.616381127167383</v>
          </cell>
          <cell r="BR396">
            <v>2.4233745415993719</v>
          </cell>
          <cell r="BS396">
            <v>3.5772498941887201</v>
          </cell>
          <cell r="BT396">
            <v>-32.255933656293642</v>
          </cell>
          <cell r="BU396">
            <v>2.3682138556256658</v>
          </cell>
          <cell r="BV396">
            <v>2.1731492816207765</v>
          </cell>
          <cell r="BW396">
            <v>8.9761239899454317</v>
          </cell>
          <cell r="BX396">
            <v>2.0985769390052913</v>
          </cell>
          <cell r="BY396">
            <v>2.9134276347635204</v>
          </cell>
          <cell r="BZ396">
            <v>27.968798196162147</v>
          </cell>
          <cell r="CA396">
            <v>3.6528605395915972</v>
          </cell>
          <cell r="CB396">
            <v>6.5449697796081692</v>
          </cell>
          <cell r="CC396">
            <v>44.188274925689811</v>
          </cell>
          <cell r="CD396">
            <v>5.5929613506261191</v>
          </cell>
          <cell r="CE396">
            <v>3.9380581452960586</v>
          </cell>
          <cell r="CF396">
            <v>42.023330897407227</v>
          </cell>
        </row>
        <row r="397">
          <cell r="BN397" t="str">
            <v>Gampaha</v>
          </cell>
          <cell r="BO397">
            <v>1.9292372920932233</v>
          </cell>
          <cell r="BP397">
            <v>1.8639218009191685</v>
          </cell>
          <cell r="BQ397">
            <v>3.5041969647999873</v>
          </cell>
          <cell r="BR397">
            <v>1.6041689877855041</v>
          </cell>
          <cell r="BS397">
            <v>2.2976481856194058</v>
          </cell>
          <cell r="BT397">
            <v>-30.182131545389389</v>
          </cell>
          <cell r="BU397">
            <v>3.2792295394236142</v>
          </cell>
          <cell r="BV397">
            <v>2.6548468503501734</v>
          </cell>
          <cell r="BW397">
            <v>23.518595394347695</v>
          </cell>
          <cell r="BX397">
            <v>1.8930944176080662</v>
          </cell>
          <cell r="BY397">
            <v>2.4188425418470136</v>
          </cell>
          <cell r="BZ397">
            <v>21.73552495225627</v>
          </cell>
          <cell r="CA397">
            <v>5.7519909704757097</v>
          </cell>
          <cell r="CB397">
            <v>9.8693497646376898</v>
          </cell>
          <cell r="CC397">
            <v>41.718642994239154</v>
          </cell>
          <cell r="CD397">
            <v>-5.7046165004563223</v>
          </cell>
          <cell r="CE397">
            <v>0.30806527383758509</v>
          </cell>
          <cell r="CF397">
            <v>-1951.7557754542142</v>
          </cell>
        </row>
        <row r="398">
          <cell r="BN398" t="str">
            <v>Ja-ela</v>
          </cell>
          <cell r="BO398">
            <v>1.8905944633489922</v>
          </cell>
          <cell r="BP398">
            <v>2.2488672626103128</v>
          </cell>
          <cell r="BQ398">
            <v>-15.931255935731173</v>
          </cell>
          <cell r="BR398">
            <v>2.0452788444394652</v>
          </cell>
          <cell r="BS398">
            <v>2.5609052369933538</v>
          </cell>
          <cell r="BT398">
            <v>-20.134536222014326</v>
          </cell>
          <cell r="BU398">
            <v>6.0577072752141135</v>
          </cell>
          <cell r="BV398">
            <v>6.2529276074458924</v>
          </cell>
          <cell r="BW398">
            <v>-3.1220628877793737</v>
          </cell>
          <cell r="BX398">
            <v>1.9778344894213384</v>
          </cell>
          <cell r="BY398">
            <v>3.5924330115498613</v>
          </cell>
          <cell r="BZ398">
            <v>44.944429497710978</v>
          </cell>
          <cell r="CA398">
            <v>7.6957342720510509</v>
          </cell>
          <cell r="CB398">
            <v>6.8328086527009706</v>
          </cell>
          <cell r="CC398">
            <v>-12.62914949343665</v>
          </cell>
          <cell r="CD398">
            <v>0.81183736984196897</v>
          </cell>
          <cell r="CE398">
            <v>0.37598936188232784</v>
          </cell>
          <cell r="CF398">
            <v>115.92030311114149</v>
          </cell>
        </row>
        <row r="399">
          <cell r="BN399" t="str">
            <v>Piliyandala</v>
          </cell>
          <cell r="BO399">
            <v>1.8600903690365094</v>
          </cell>
          <cell r="BP399">
            <v>1.3442199082955357</v>
          </cell>
          <cell r="BQ399">
            <v>38.376939484187147</v>
          </cell>
          <cell r="BR399">
            <v>1.6485664347021705</v>
          </cell>
          <cell r="BS399">
            <v>1.3997597873277534</v>
          </cell>
          <cell r="BT399">
            <v>17.774953218895337</v>
          </cell>
          <cell r="BU399">
            <v>1.6141899253804186</v>
          </cell>
          <cell r="BV399">
            <v>0</v>
          </cell>
          <cell r="BW399">
            <v>0</v>
          </cell>
          <cell r="BX399">
            <v>1.5600127682207068</v>
          </cell>
          <cell r="BY399">
            <v>2.7158629181994129</v>
          </cell>
          <cell r="BZ399">
            <v>42.559222788203982</v>
          </cell>
          <cell r="CA399">
            <v>6.9260344581870736</v>
          </cell>
          <cell r="CB399">
            <v>0</v>
          </cell>
          <cell r="CC399">
            <v>0</v>
          </cell>
          <cell r="CD399">
            <v>-3.523078612874647</v>
          </cell>
          <cell r="CE399">
            <v>-1.2938822206897405</v>
          </cell>
          <cell r="CF399">
            <v>-172.28742744425151</v>
          </cell>
        </row>
        <row r="400">
          <cell r="BN400" t="str">
            <v>Chilaw</v>
          </cell>
          <cell r="BO400">
            <v>1.3240956240631012</v>
          </cell>
          <cell r="BP400">
            <v>1.1418191127554873</v>
          </cell>
          <cell r="BQ400">
            <v>15.963694185126778</v>
          </cell>
          <cell r="BR400">
            <v>1.2487629447919428</v>
          </cell>
          <cell r="BS400">
            <v>1.171999538048113</v>
          </cell>
          <cell r="BT400">
            <v>6.5497813140501915</v>
          </cell>
          <cell r="BU400">
            <v>1.9177649698094921</v>
          </cell>
          <cell r="BV400">
            <v>1.478061126907686</v>
          </cell>
          <cell r="BW400">
            <v>29.748691369871082</v>
          </cell>
          <cell r="BX400">
            <v>1.5635824197639208</v>
          </cell>
          <cell r="BY400">
            <v>2.5997819830852071</v>
          </cell>
          <cell r="BZ400">
            <v>39.857171488341884</v>
          </cell>
          <cell r="CA400">
            <v>5.0980951138364938</v>
          </cell>
          <cell r="CB400">
            <v>0</v>
          </cell>
          <cell r="CC400">
            <v>0</v>
          </cell>
          <cell r="CD400">
            <v>-7.2422034309703305</v>
          </cell>
          <cell r="CE400">
            <v>-1.7965031435814829</v>
          </cell>
          <cell r="CF400">
            <v>-303.12779061061804</v>
          </cell>
        </row>
        <row r="401">
          <cell r="BN401" t="str">
            <v>Ratnapura</v>
          </cell>
          <cell r="BO401">
            <v>2.4014917712207637</v>
          </cell>
          <cell r="BP401">
            <v>1.621508940024545</v>
          </cell>
          <cell r="BQ401">
            <v>48.102283739762299</v>
          </cell>
          <cell r="BR401">
            <v>1.6885821308702018</v>
          </cell>
          <cell r="BS401">
            <v>1.3297587378967191</v>
          </cell>
          <cell r="BT401">
            <v>26.984097396572416</v>
          </cell>
          <cell r="BU401">
            <v>5.2994244494422631</v>
          </cell>
          <cell r="BV401">
            <v>2.0961709223826261</v>
          </cell>
          <cell r="BW401">
            <v>152.81451969663993</v>
          </cell>
          <cell r="BX401">
            <v>2.0813467161924764</v>
          </cell>
          <cell r="BY401">
            <v>2.7130488413013181</v>
          </cell>
          <cell r="BZ401">
            <v>23.283846405280521</v>
          </cell>
          <cell r="CA401">
            <v>8.0863189952732402</v>
          </cell>
          <cell r="CB401">
            <v>0</v>
          </cell>
          <cell r="CC401">
            <v>0</v>
          </cell>
          <cell r="CD401">
            <v>-7.6218375847965341</v>
          </cell>
          <cell r="CE401">
            <v>-1.3375298305970533</v>
          </cell>
          <cell r="CF401">
            <v>-469.84430630562156</v>
          </cell>
        </row>
        <row r="402">
          <cell r="BN402" t="str">
            <v>Nawala</v>
          </cell>
          <cell r="BO402">
            <v>3.3705572576950775</v>
          </cell>
          <cell r="BP402">
            <v>3.1537850775560585</v>
          </cell>
          <cell r="BQ402">
            <v>6.8733973561381934</v>
          </cell>
          <cell r="BR402">
            <v>3.1689025820283154</v>
          </cell>
          <cell r="BS402">
            <v>3.3994770592704073</v>
          </cell>
          <cell r="BT402">
            <v>0</v>
          </cell>
          <cell r="BU402">
            <v>7.8237046789680669</v>
          </cell>
          <cell r="BV402">
            <v>3.0831462449838689</v>
          </cell>
          <cell r="BW402">
            <v>0</v>
          </cell>
          <cell r="BX402">
            <v>2.6447889814926953</v>
          </cell>
          <cell r="BY402">
            <v>3.0928459129064363</v>
          </cell>
          <cell r="BZ402">
            <v>14.486881792073794</v>
          </cell>
          <cell r="CA402">
            <v>8.4162306634388955</v>
          </cell>
          <cell r="CB402">
            <v>0</v>
          </cell>
          <cell r="CC402">
            <v>0</v>
          </cell>
          <cell r="CD402">
            <v>9.8217738257485063</v>
          </cell>
          <cell r="CE402">
            <v>4.83201516127518</v>
          </cell>
          <cell r="CF402">
            <v>0</v>
          </cell>
        </row>
        <row r="403">
          <cell r="BN403" t="str">
            <v>Collupitiya</v>
          </cell>
          <cell r="BO403">
            <v>1.7320580070453724</v>
          </cell>
          <cell r="BP403">
            <v>2.6807021593296261</v>
          </cell>
          <cell r="BQ403">
            <v>-35.387898240865553</v>
          </cell>
          <cell r="BR403">
            <v>1.9134034176995858</v>
          </cell>
          <cell r="BS403">
            <v>2.8967856078546608</v>
          </cell>
          <cell r="BT403">
            <v>-33.947358323260971</v>
          </cell>
          <cell r="BU403">
            <v>1.6477037126768939</v>
          </cell>
          <cell r="BV403">
            <v>1.1889939259151905</v>
          </cell>
          <cell r="BW403">
            <v>38.579657705873146</v>
          </cell>
          <cell r="BX403">
            <v>1.8698401880154303</v>
          </cell>
          <cell r="BY403">
            <v>3.6309443798504328</v>
          </cell>
          <cell r="BZ403">
            <v>48.502648556339125</v>
          </cell>
          <cell r="CA403">
            <v>3.4406148641560721</v>
          </cell>
          <cell r="CB403">
            <v>0</v>
          </cell>
          <cell r="CC403">
            <v>0</v>
          </cell>
          <cell r="CD403">
            <v>0.38101602770149312</v>
          </cell>
          <cell r="CE403">
            <v>1.281852725430171</v>
          </cell>
          <cell r="CF403">
            <v>-70.276146382289767</v>
          </cell>
        </row>
        <row r="404">
          <cell r="BN404" t="str">
            <v>Dehiwala</v>
          </cell>
          <cell r="BO404">
            <v>1.5596794606040711</v>
          </cell>
          <cell r="BP404">
            <v>2.6272498025682212</v>
          </cell>
          <cell r="BQ404">
            <v>-40.634519828322595</v>
          </cell>
          <cell r="BR404">
            <v>1.6607818246818575</v>
          </cell>
          <cell r="BS404">
            <v>2.7463424138415209</v>
          </cell>
          <cell r="BT404">
            <v>-39.527503332740146</v>
          </cell>
          <cell r="BU404">
            <v>1.9548532819771394</v>
          </cell>
          <cell r="BV404">
            <v>1.262538643396558</v>
          </cell>
          <cell r="BW404">
            <v>0</v>
          </cell>
          <cell r="BX404">
            <v>2.4656081727976717</v>
          </cell>
          <cell r="BY404">
            <v>3.4396140421523844</v>
          </cell>
          <cell r="BZ404">
            <v>28.317301226774138</v>
          </cell>
          <cell r="CA404">
            <v>2.2141961003544917</v>
          </cell>
          <cell r="CB404">
            <v>0</v>
          </cell>
          <cell r="CC404">
            <v>0</v>
          </cell>
          <cell r="CD404">
            <v>-10.390665873210372</v>
          </cell>
          <cell r="CE404">
            <v>1.2683579375794953</v>
          </cell>
          <cell r="CF404">
            <v>-919.22189039473153</v>
          </cell>
        </row>
        <row r="405">
          <cell r="BN405" t="str">
            <v>Thibirigasyaya</v>
          </cell>
          <cell r="BO405">
            <v>1.1625272239988671</v>
          </cell>
          <cell r="BP405">
            <v>1.7353594886651398</v>
          </cell>
          <cell r="BQ405">
            <v>-33.009429366528686</v>
          </cell>
          <cell r="BR405">
            <v>1.2942641932582197</v>
          </cell>
          <cell r="BS405">
            <v>1.8361332934171755</v>
          </cell>
          <cell r="BT405">
            <v>-29.511425020266284</v>
          </cell>
          <cell r="BU405">
            <v>0.41273160575618745</v>
          </cell>
          <cell r="BV405">
            <v>0.16058166108476904</v>
          </cell>
          <cell r="BW405">
            <v>0</v>
          </cell>
          <cell r="BX405">
            <v>1.312194961677392</v>
          </cell>
          <cell r="BY405">
            <v>2.581370676337444</v>
          </cell>
          <cell r="BZ405">
            <v>49.166736350348998</v>
          </cell>
          <cell r="CA405">
            <v>2.2297538198995759</v>
          </cell>
          <cell r="CB405">
            <v>0</v>
          </cell>
          <cell r="CC405">
            <v>0</v>
          </cell>
          <cell r="CD405">
            <v>-1.1287606708148328</v>
          </cell>
          <cell r="CE405">
            <v>-4.9763652010478873E-2</v>
          </cell>
          <cell r="CF405">
            <v>-2168.2432362020904</v>
          </cell>
        </row>
        <row r="406">
          <cell r="BN406" t="str">
            <v>Moratuwa</v>
          </cell>
          <cell r="BO406">
            <v>2.5269114829364052</v>
          </cell>
          <cell r="BP406">
            <v>2.0478086679370358</v>
          </cell>
          <cell r="BQ406">
            <v>23.395877871833505</v>
          </cell>
          <cell r="BR406">
            <v>2.7625983578550182</v>
          </cell>
          <cell r="BS406">
            <v>2.1972247683880246</v>
          </cell>
          <cell r="BT406">
            <v>0</v>
          </cell>
          <cell r="BU406">
            <v>2.5214756216419927</v>
          </cell>
          <cell r="BV406">
            <v>1.4212004153346345</v>
          </cell>
          <cell r="BW406">
            <v>0</v>
          </cell>
          <cell r="BX406">
            <v>1.9589670244512005</v>
          </cell>
          <cell r="BY406">
            <v>3.2045555268206036</v>
          </cell>
          <cell r="BZ406">
            <v>38.869306271787792</v>
          </cell>
          <cell r="CA406">
            <v>4.0073831758957228</v>
          </cell>
          <cell r="CB406">
            <v>0</v>
          </cell>
          <cell r="CC406">
            <v>0</v>
          </cell>
          <cell r="CD406">
            <v>12.670223784288726</v>
          </cell>
          <cell r="CE406">
            <v>9.2060375730543459E-2</v>
          </cell>
          <cell r="CF406">
            <v>0</v>
          </cell>
        </row>
        <row r="407">
          <cell r="BN407" t="str">
            <v>Kegalle</v>
          </cell>
          <cell r="BO407">
            <v>1.3610731937715335</v>
          </cell>
          <cell r="BP407">
            <v>0</v>
          </cell>
          <cell r="BQ407">
            <v>0</v>
          </cell>
          <cell r="BR407">
            <v>0.88039214710022551</v>
          </cell>
          <cell r="BS407">
            <v>1.102214616099549E-2</v>
          </cell>
          <cell r="BT407">
            <v>0</v>
          </cell>
          <cell r="BU407">
            <v>1.2193642972807937</v>
          </cell>
          <cell r="BV407">
            <v>7.9822432508425076E-6</v>
          </cell>
          <cell r="BW407">
            <v>0</v>
          </cell>
          <cell r="BX407">
            <v>1.6480897811198603</v>
          </cell>
          <cell r="BY407">
            <v>0.17631246492961664</v>
          </cell>
          <cell r="BZ407">
            <v>-834.75511318940062</v>
          </cell>
          <cell r="CA407">
            <v>0</v>
          </cell>
          <cell r="CB407">
            <v>0</v>
          </cell>
          <cell r="CC407">
            <v>0</v>
          </cell>
          <cell r="CD407">
            <v>-8.8337152061109627</v>
          </cell>
          <cell r="CE407">
            <v>-0.37871719318783498</v>
          </cell>
          <cell r="CF407">
            <v>0</v>
          </cell>
        </row>
        <row r="408">
          <cell r="BN408" t="str">
            <v>Kadawatha</v>
          </cell>
          <cell r="BO408">
            <v>0.90175392421787404</v>
          </cell>
          <cell r="BP408">
            <v>0</v>
          </cell>
          <cell r="BQ408">
            <v>0</v>
          </cell>
          <cell r="BR408">
            <v>1.0023413294300423</v>
          </cell>
          <cell r="BS408">
            <v>-3.8822887091197666E-3</v>
          </cell>
          <cell r="BT408">
            <v>0</v>
          </cell>
          <cell r="BU408">
            <v>1.2092659226135125</v>
          </cell>
          <cell r="BV408">
            <v>7.9822432508425076E-6</v>
          </cell>
          <cell r="BW408">
            <v>0</v>
          </cell>
          <cell r="BX408">
            <v>1.4053370718190767</v>
          </cell>
          <cell r="BY408">
            <v>0.41453649232149969</v>
          </cell>
          <cell r="BZ408">
            <v>-239.01407906186157</v>
          </cell>
          <cell r="CA408">
            <v>0</v>
          </cell>
          <cell r="CB408">
            <v>0</v>
          </cell>
          <cell r="CC408">
            <v>0</v>
          </cell>
          <cell r="CD408">
            <v>-3.4060724493833217</v>
          </cell>
          <cell r="CE408">
            <v>-0.98720604180955462</v>
          </cell>
          <cell r="CF408">
            <v>0</v>
          </cell>
        </row>
        <row r="409">
          <cell r="BN409" t="str">
            <v>Aluthgama</v>
          </cell>
          <cell r="BO409">
            <v>1.1568594949000341</v>
          </cell>
          <cell r="BP409">
            <v>0</v>
          </cell>
          <cell r="BQ409">
            <v>0</v>
          </cell>
          <cell r="BR409">
            <v>1.4002595570094569</v>
          </cell>
          <cell r="BS409">
            <v>8.4629760541306085E-7</v>
          </cell>
          <cell r="BT409">
            <v>0</v>
          </cell>
          <cell r="BU409">
            <v>1.2666767218727661</v>
          </cell>
          <cell r="BV409">
            <v>7.9822432508425076E-6</v>
          </cell>
          <cell r="BW409">
            <v>0</v>
          </cell>
          <cell r="BX409">
            <v>1.6668930643010238</v>
          </cell>
          <cell r="BY409">
            <v>0</v>
          </cell>
          <cell r="BZ409">
            <v>0</v>
          </cell>
          <cell r="CA409">
            <v>0</v>
          </cell>
          <cell r="CB409">
            <v>0</v>
          </cell>
          <cell r="CC409">
            <v>0</v>
          </cell>
          <cell r="CD409">
            <v>-0.93375990576848089</v>
          </cell>
          <cell r="CE409">
            <v>5.4976647698552198E-6</v>
          </cell>
          <cell r="CF409">
            <v>0</v>
          </cell>
        </row>
        <row r="410">
          <cell r="BN410" t="str">
            <v>Park Road</v>
          </cell>
          <cell r="BO410">
            <v>1.9156596850494738</v>
          </cell>
          <cell r="BP410">
            <v>0</v>
          </cell>
          <cell r="BQ410">
            <v>0</v>
          </cell>
          <cell r="BR410">
            <v>1.9507133836104955</v>
          </cell>
          <cell r="BS410">
            <v>8.4629760541306085E-7</v>
          </cell>
          <cell r="BT410">
            <v>0</v>
          </cell>
          <cell r="BU410">
            <v>1.3090542534962688</v>
          </cell>
          <cell r="BV410">
            <v>7.9822432508425076E-6</v>
          </cell>
          <cell r="BW410">
            <v>0</v>
          </cell>
          <cell r="BX410">
            <v>1.7846903744083935</v>
          </cell>
          <cell r="BY410">
            <v>0</v>
          </cell>
          <cell r="BZ410">
            <v>0</v>
          </cell>
          <cell r="CA410">
            <v>0</v>
          </cell>
          <cell r="CB410">
            <v>0</v>
          </cell>
          <cell r="CC410">
            <v>0</v>
          </cell>
          <cell r="CD410">
            <v>5.9966203711422521</v>
          </cell>
          <cell r="CE410">
            <v>5.4976647698552198E-6</v>
          </cell>
          <cell r="CF410">
            <v>0</v>
          </cell>
        </row>
        <row r="411">
          <cell r="BN411" t="str">
            <v>Kotahena</v>
          </cell>
          <cell r="BO411">
            <v>2.1393715730989298</v>
          </cell>
          <cell r="BP411">
            <v>0</v>
          </cell>
          <cell r="BQ411">
            <v>0</v>
          </cell>
          <cell r="BR411">
            <v>2.4859921647710119</v>
          </cell>
          <cell r="BS411">
            <v>8.4629760541306085E-7</v>
          </cell>
          <cell r="BT411">
            <v>0</v>
          </cell>
          <cell r="BU411">
            <v>4.7028091192317261</v>
          </cell>
          <cell r="BV411">
            <v>7.9822432508425076E-6</v>
          </cell>
          <cell r="BW411">
            <v>0</v>
          </cell>
          <cell r="BX411">
            <v>2.2682691373929078</v>
          </cell>
          <cell r="BY411">
            <v>0</v>
          </cell>
          <cell r="BZ411">
            <v>0</v>
          </cell>
          <cell r="CA411">
            <v>0</v>
          </cell>
          <cell r="CB411">
            <v>0</v>
          </cell>
          <cell r="CC411">
            <v>0</v>
          </cell>
          <cell r="CD411">
            <v>11.255469024750143</v>
          </cell>
          <cell r="CE411">
            <v>5.4976647698552198E-6</v>
          </cell>
          <cell r="CF411">
            <v>0</v>
          </cell>
        </row>
        <row r="412">
          <cell r="BN412" t="str">
            <v>Ambalangoda</v>
          </cell>
          <cell r="BO412">
            <v>0.87739728849853971</v>
          </cell>
          <cell r="BP412">
            <v>0</v>
          </cell>
          <cell r="BQ412">
            <v>0</v>
          </cell>
          <cell r="BR412">
            <v>0.88621520096469708</v>
          </cell>
          <cell r="BS412">
            <v>8.4629760541306085E-7</v>
          </cell>
          <cell r="BT412">
            <v>0</v>
          </cell>
          <cell r="BU412">
            <v>0.89486138241931779</v>
          </cell>
          <cell r="BV412">
            <v>7.9822432508425076E-6</v>
          </cell>
          <cell r="BW412">
            <v>0</v>
          </cell>
          <cell r="BX412">
            <v>1.4063575589250139</v>
          </cell>
          <cell r="BY412">
            <v>0</v>
          </cell>
          <cell r="BZ412">
            <v>0</v>
          </cell>
          <cell r="CA412">
            <v>7.2863127554564047E-2</v>
          </cell>
          <cell r="CB412">
            <v>0</v>
          </cell>
          <cell r="CC412">
            <v>0</v>
          </cell>
          <cell r="CD412">
            <v>-5.688246472807049</v>
          </cell>
          <cell r="CE412">
            <v>5.4976647698552198E-6</v>
          </cell>
          <cell r="CF412">
            <v>0</v>
          </cell>
        </row>
        <row r="413">
          <cell r="BN413" t="str">
            <v>Katugastota</v>
          </cell>
          <cell r="BO413">
            <v>2.0214213741778493</v>
          </cell>
          <cell r="BP413">
            <v>0</v>
          </cell>
          <cell r="BQ413">
            <v>0</v>
          </cell>
          <cell r="BR413">
            <v>1.8445224549066965</v>
          </cell>
          <cell r="BS413">
            <v>8.4629760541306085E-7</v>
          </cell>
          <cell r="BT413">
            <v>0</v>
          </cell>
          <cell r="BU413">
            <v>2.2527628705541414</v>
          </cell>
          <cell r="BV413">
            <v>7.9822432508425076E-6</v>
          </cell>
          <cell r="BW413">
            <v>0</v>
          </cell>
          <cell r="BX413">
            <v>1.8038921366868699</v>
          </cell>
          <cell r="BY413">
            <v>0</v>
          </cell>
          <cell r="BZ413">
            <v>0</v>
          </cell>
          <cell r="CA413">
            <v>0</v>
          </cell>
          <cell r="CB413">
            <v>0</v>
          </cell>
          <cell r="CC413">
            <v>0</v>
          </cell>
          <cell r="CD413">
            <v>5.154512719410846</v>
          </cell>
          <cell r="CE413">
            <v>5.4976647698552198E-6</v>
          </cell>
          <cell r="CF413">
            <v>0</v>
          </cell>
        </row>
        <row r="414">
          <cell r="BN414" t="str">
            <v>Beruwela</v>
          </cell>
          <cell r="BO414">
            <v>0.80222062471737876</v>
          </cell>
          <cell r="BP414">
            <v>0</v>
          </cell>
          <cell r="BQ414">
            <v>0</v>
          </cell>
          <cell r="BR414">
            <v>0.82202749610026593</v>
          </cell>
          <cell r="BS414">
            <v>8.4629760541306085E-7</v>
          </cell>
          <cell r="BT414">
            <v>0</v>
          </cell>
          <cell r="BU414">
            <v>1.0049530921481542</v>
          </cell>
          <cell r="BV414">
            <v>7.9822432508425076E-6</v>
          </cell>
          <cell r="BW414">
            <v>0</v>
          </cell>
          <cell r="BX414">
            <v>1.2893102086257886</v>
          </cell>
          <cell r="BY414">
            <v>0</v>
          </cell>
          <cell r="BZ414">
            <v>0</v>
          </cell>
          <cell r="CA414">
            <v>1.5553590567926543E-2</v>
          </cell>
          <cell r="CB414">
            <v>0</v>
          </cell>
          <cell r="CC414">
            <v>0</v>
          </cell>
          <cell r="CD414">
            <v>-4.7886953596341471</v>
          </cell>
          <cell r="CE414">
            <v>5.4976647698552198E-6</v>
          </cell>
          <cell r="CF414">
            <v>0</v>
          </cell>
        </row>
        <row r="415">
          <cell r="BN415" t="str">
            <v>Warakapola</v>
          </cell>
          <cell r="BO415">
            <v>1.0186127178706745</v>
          </cell>
          <cell r="BP415">
            <v>0</v>
          </cell>
          <cell r="BQ415">
            <v>0</v>
          </cell>
          <cell r="BR415">
            <v>0.85777199808363336</v>
          </cell>
          <cell r="BS415">
            <v>8.4629760541306085E-7</v>
          </cell>
          <cell r="BT415">
            <v>0</v>
          </cell>
          <cell r="BU415">
            <v>1.1949849882166346</v>
          </cell>
          <cell r="BV415">
            <v>7.9822432508425076E-6</v>
          </cell>
          <cell r="BW415">
            <v>0</v>
          </cell>
          <cell r="BX415">
            <v>1.3448078465315119</v>
          </cell>
          <cell r="BY415">
            <v>0</v>
          </cell>
          <cell r="BZ415">
            <v>0</v>
          </cell>
          <cell r="CA415">
            <v>4.0024439868652758E-3</v>
          </cell>
          <cell r="CB415">
            <v>0</v>
          </cell>
          <cell r="CC415">
            <v>0</v>
          </cell>
          <cell r="CD415">
            <v>-4.8038747425828445</v>
          </cell>
          <cell r="CE415">
            <v>5.4976647698552198E-6</v>
          </cell>
          <cell r="CF415">
            <v>0</v>
          </cell>
        </row>
        <row r="416">
          <cell r="BN416" t="str">
            <v>Karagampitiya</v>
          </cell>
          <cell r="BO416">
            <v>0.85504619871355125</v>
          </cell>
          <cell r="BP416">
            <v>0</v>
          </cell>
          <cell r="BQ416">
            <v>0</v>
          </cell>
          <cell r="BR416">
            <v>0.92290910510633672</v>
          </cell>
          <cell r="BS416">
            <v>8.4629760541306085E-7</v>
          </cell>
          <cell r="BT416">
            <v>0</v>
          </cell>
          <cell r="BU416">
            <v>0.81549308656620745</v>
          </cell>
          <cell r="BV416">
            <v>7.9822432508425076E-6</v>
          </cell>
          <cell r="BW416">
            <v>0</v>
          </cell>
          <cell r="BX416">
            <v>1.5627636818292194</v>
          </cell>
          <cell r="BY416">
            <v>0</v>
          </cell>
          <cell r="BZ416">
            <v>0</v>
          </cell>
          <cell r="CA416">
            <v>0</v>
          </cell>
          <cell r="CB416">
            <v>0</v>
          </cell>
          <cell r="CC416">
            <v>0</v>
          </cell>
          <cell r="CD416">
            <v>-7.3962372347395346</v>
          </cell>
          <cell r="CE416">
            <v>5.4976647698552198E-6</v>
          </cell>
          <cell r="CF416">
            <v>0</v>
          </cell>
        </row>
        <row r="417">
          <cell r="BN417" t="str">
            <v>Mathale</v>
          </cell>
          <cell r="BO417">
            <v>1.6313232613581392</v>
          </cell>
          <cell r="BP417">
            <v>0</v>
          </cell>
          <cell r="BQ417">
            <v>0</v>
          </cell>
          <cell r="BR417">
            <v>1.1635187596173648</v>
          </cell>
          <cell r="BS417">
            <v>8.4629760541306085E-7</v>
          </cell>
          <cell r="BT417">
            <v>0</v>
          </cell>
          <cell r="BU417">
            <v>2.1129106665096275E-2</v>
          </cell>
          <cell r="BV417">
            <v>7.9822432508425076E-6</v>
          </cell>
          <cell r="BW417">
            <v>0</v>
          </cell>
          <cell r="BX417">
            <v>1.5753041156134024</v>
          </cell>
          <cell r="BY417">
            <v>0</v>
          </cell>
          <cell r="BZ417">
            <v>0</v>
          </cell>
          <cell r="CA417">
            <v>4.0024439868652758E-3</v>
          </cell>
          <cell r="CB417">
            <v>0</v>
          </cell>
          <cell r="CC417">
            <v>0</v>
          </cell>
          <cell r="CD417">
            <v>-4.7485589487980624</v>
          </cell>
          <cell r="CE417">
            <v>5.4976647698552198E-6</v>
          </cell>
          <cell r="CF417">
            <v>0</v>
          </cell>
        </row>
        <row r="418">
          <cell r="BN418" t="str">
            <v>Peliyagoda</v>
          </cell>
          <cell r="BO418">
            <v>0.67955397851828114</v>
          </cell>
          <cell r="BP418">
            <v>0</v>
          </cell>
          <cell r="BQ418">
            <v>0</v>
          </cell>
          <cell r="BR418">
            <v>0.66953880112117492</v>
          </cell>
          <cell r="BS418">
            <v>8.4629760541306085E-7</v>
          </cell>
          <cell r="BT418">
            <v>0</v>
          </cell>
          <cell r="BU418">
            <v>3.8049277977864011E-2</v>
          </cell>
          <cell r="BV418">
            <v>7.9822432508425076E-6</v>
          </cell>
          <cell r="BW418">
            <v>0</v>
          </cell>
          <cell r="BX418">
            <v>1.2607173718815141</v>
          </cell>
          <cell r="BY418">
            <v>0</v>
          </cell>
          <cell r="BZ418">
            <v>0</v>
          </cell>
          <cell r="CA418">
            <v>0</v>
          </cell>
          <cell r="CB418">
            <v>0</v>
          </cell>
          <cell r="CC418">
            <v>0</v>
          </cell>
          <cell r="CD418">
            <v>-7.8576743677529191</v>
          </cell>
          <cell r="CE418">
            <v>5.4976647698552198E-6</v>
          </cell>
          <cell r="CF418">
            <v>0</v>
          </cell>
        </row>
        <row r="419">
          <cell r="BN419" t="str">
            <v>Kelaniya</v>
          </cell>
          <cell r="BO419">
            <v>0.91730837026528733</v>
          </cell>
          <cell r="BP419">
            <v>0</v>
          </cell>
          <cell r="BQ419">
            <v>0</v>
          </cell>
          <cell r="BR419">
            <v>0.99917020107478682</v>
          </cell>
          <cell r="BS419">
            <v>8.4629760541306085E-7</v>
          </cell>
          <cell r="BT419">
            <v>0</v>
          </cell>
          <cell r="BU419">
            <v>1.1470486196604623</v>
          </cell>
          <cell r="BV419">
            <v>7.9822432508425076E-6</v>
          </cell>
          <cell r="BW419">
            <v>0</v>
          </cell>
          <cell r="BX419">
            <v>1.2243346889100684</v>
          </cell>
          <cell r="BY419">
            <v>0</v>
          </cell>
          <cell r="BZ419">
            <v>0</v>
          </cell>
          <cell r="CA419">
            <v>0</v>
          </cell>
          <cell r="CB419">
            <v>0</v>
          </cell>
          <cell r="CC419">
            <v>0</v>
          </cell>
          <cell r="CD419">
            <v>-0.89215556792847672</v>
          </cell>
          <cell r="CE419">
            <v>5.4976647698552198E-6</v>
          </cell>
          <cell r="CF419">
            <v>0</v>
          </cell>
        </row>
        <row r="420">
          <cell r="BN420" t="str">
            <v>Demategoda</v>
          </cell>
          <cell r="BO420">
            <v>1.1023136865673644</v>
          </cell>
          <cell r="BP420">
            <v>0</v>
          </cell>
          <cell r="BQ420">
            <v>0</v>
          </cell>
          <cell r="BR420">
            <v>1.2639133552331347</v>
          </cell>
          <cell r="BS420">
            <v>8.4629760541306085E-7</v>
          </cell>
          <cell r="BT420">
            <v>0</v>
          </cell>
          <cell r="BU420">
            <v>1.399614326154774</v>
          </cell>
          <cell r="BV420">
            <v>7.9822432508425076E-6</v>
          </cell>
          <cell r="BW420">
            <v>0</v>
          </cell>
          <cell r="BX420">
            <v>1.3668635560585769</v>
          </cell>
          <cell r="BY420">
            <v>0</v>
          </cell>
          <cell r="BZ420">
            <v>0</v>
          </cell>
          <cell r="CA420">
            <v>0</v>
          </cell>
          <cell r="CB420">
            <v>0</v>
          </cell>
          <cell r="CC420">
            <v>0</v>
          </cell>
          <cell r="CD420">
            <v>1.4602055587870748</v>
          </cell>
          <cell r="CE420">
            <v>5.4976647698552198E-6</v>
          </cell>
          <cell r="CF420">
            <v>0</v>
          </cell>
        </row>
        <row r="421">
          <cell r="BN421" t="str">
            <v>Kolannawa</v>
          </cell>
          <cell r="BO421">
            <v>1.1885840992467356</v>
          </cell>
          <cell r="BP421">
            <v>0</v>
          </cell>
          <cell r="BQ421">
            <v>0</v>
          </cell>
          <cell r="BR421">
            <v>1.1649489697196027</v>
          </cell>
          <cell r="BS421">
            <v>8.4629760541306085E-7</v>
          </cell>
          <cell r="BT421">
            <v>0</v>
          </cell>
          <cell r="BU421">
            <v>1.1581534545983336</v>
          </cell>
          <cell r="BV421">
            <v>7.9822432508425076E-6</v>
          </cell>
          <cell r="BW421">
            <v>0</v>
          </cell>
          <cell r="BX421">
            <v>0.92913447355003986</v>
          </cell>
          <cell r="BY421">
            <v>0</v>
          </cell>
          <cell r="BZ421">
            <v>0</v>
          </cell>
          <cell r="CA421">
            <v>0</v>
          </cell>
          <cell r="CB421">
            <v>0</v>
          </cell>
          <cell r="CC421">
            <v>0</v>
          </cell>
          <cell r="CD421">
            <v>6.0083223001662303</v>
          </cell>
          <cell r="CE421">
            <v>5.4976647698552198E-6</v>
          </cell>
          <cell r="CF421">
            <v>0</v>
          </cell>
        </row>
        <row r="422">
          <cell r="BN422" t="str">
            <v>Avissawella</v>
          </cell>
          <cell r="BO422">
            <v>0.87136998633475793</v>
          </cell>
          <cell r="BP422">
            <v>0</v>
          </cell>
          <cell r="BQ422">
            <v>0</v>
          </cell>
          <cell r="BR422">
            <v>0.93682380156679435</v>
          </cell>
          <cell r="BS422">
            <v>8.4629760541306085E-7</v>
          </cell>
          <cell r="BT422">
            <v>0</v>
          </cell>
          <cell r="BU422">
            <v>0.64137769261109345</v>
          </cell>
          <cell r="BV422">
            <v>7.9822432508425076E-6</v>
          </cell>
          <cell r="BW422">
            <v>0</v>
          </cell>
          <cell r="BX422">
            <v>1.0538964593030906</v>
          </cell>
          <cell r="BY422">
            <v>0</v>
          </cell>
          <cell r="BZ422">
            <v>0</v>
          </cell>
          <cell r="CA422">
            <v>0</v>
          </cell>
          <cell r="CB422">
            <v>0</v>
          </cell>
          <cell r="CC422">
            <v>0</v>
          </cell>
          <cell r="CD422">
            <v>2.8816940161554151E-2</v>
          </cell>
          <cell r="CE422">
            <v>5.4976647698552198E-6</v>
          </cell>
          <cell r="CF422">
            <v>0</v>
          </cell>
        </row>
        <row r="423">
          <cell r="BN423" t="str">
            <v>Homagama</v>
          </cell>
          <cell r="BO423">
            <v>1.2307319038883995</v>
          </cell>
          <cell r="BP423">
            <v>0</v>
          </cell>
          <cell r="BQ423">
            <v>0</v>
          </cell>
          <cell r="BR423">
            <v>1.3124659399601977</v>
          </cell>
          <cell r="BS423">
            <v>8.4629760541306085E-7</v>
          </cell>
          <cell r="BT423">
            <v>0</v>
          </cell>
          <cell r="BU423">
            <v>0.56306721273844218</v>
          </cell>
          <cell r="BV423">
            <v>7.9822432508425076E-6</v>
          </cell>
          <cell r="BW423">
            <v>0</v>
          </cell>
          <cell r="BX423">
            <v>1.4234735410470341</v>
          </cell>
          <cell r="BY423">
            <v>0</v>
          </cell>
          <cell r="BZ423">
            <v>0</v>
          </cell>
          <cell r="CA423">
            <v>0</v>
          </cell>
          <cell r="CB423">
            <v>0</v>
          </cell>
          <cell r="CC423">
            <v>0</v>
          </cell>
          <cell r="CD423">
            <v>0.42266914518691934</v>
          </cell>
          <cell r="CE423">
            <v>5.4976647698552198E-6</v>
          </cell>
          <cell r="CF423">
            <v>0</v>
          </cell>
        </row>
        <row r="424">
          <cell r="BN424" t="str">
            <v>Galle</v>
          </cell>
          <cell r="BO424">
            <v>1.5007824958230842</v>
          </cell>
          <cell r="BP424">
            <v>0</v>
          </cell>
          <cell r="BQ424">
            <v>0</v>
          </cell>
          <cell r="BR424">
            <v>1.6407922141763267</v>
          </cell>
          <cell r="BS424">
            <v>8.4629760541306085E-7</v>
          </cell>
          <cell r="BT424">
            <v>0</v>
          </cell>
          <cell r="BU424">
            <v>0.5154110677296001</v>
          </cell>
          <cell r="BV424">
            <v>7.9822432508425076E-6</v>
          </cell>
          <cell r="BW424">
            <v>0</v>
          </cell>
          <cell r="BX424">
            <v>1.3298932652709323</v>
          </cell>
          <cell r="BY424">
            <v>0</v>
          </cell>
          <cell r="BZ424">
            <v>0</v>
          </cell>
          <cell r="CA424">
            <v>0</v>
          </cell>
          <cell r="CB424">
            <v>0</v>
          </cell>
          <cell r="CC424">
            <v>0</v>
          </cell>
          <cell r="CD424">
            <v>6.8575132101762151</v>
          </cell>
          <cell r="CE424">
            <v>5.4976647698552198E-6</v>
          </cell>
          <cell r="CF424">
            <v>0</v>
          </cell>
        </row>
        <row r="425">
          <cell r="BN425" t="str">
            <v>Kohuwela</v>
          </cell>
          <cell r="BO425">
            <v>1.4018925108580065</v>
          </cell>
          <cell r="BP425">
            <v>0</v>
          </cell>
          <cell r="BQ425">
            <v>0</v>
          </cell>
          <cell r="BR425">
            <v>1.5089052897198263</v>
          </cell>
          <cell r="BS425">
            <v>8.4629760541306085E-7</v>
          </cell>
          <cell r="BT425">
            <v>0</v>
          </cell>
          <cell r="BU425">
            <v>0.8078253162434722</v>
          </cell>
          <cell r="BV425">
            <v>7.9822432508425076E-6</v>
          </cell>
          <cell r="BW425">
            <v>0</v>
          </cell>
          <cell r="BX425">
            <v>1.1662242167188421</v>
          </cell>
          <cell r="BY425">
            <v>0</v>
          </cell>
          <cell r="BZ425">
            <v>0</v>
          </cell>
          <cell r="CA425">
            <v>0</v>
          </cell>
          <cell r="CB425">
            <v>0</v>
          </cell>
          <cell r="CC425">
            <v>0</v>
          </cell>
          <cell r="CD425">
            <v>7.5206823751861513</v>
          </cell>
          <cell r="CE425">
            <v>5.4976647698552198E-6</v>
          </cell>
          <cell r="CF425">
            <v>0</v>
          </cell>
        </row>
        <row r="426">
          <cell r="BN426" t="str">
            <v>Mt lavinia-STC</v>
          </cell>
          <cell r="BO426">
            <v>0.79970624635245757</v>
          </cell>
          <cell r="BP426">
            <v>0</v>
          </cell>
          <cell r="BQ426">
            <v>0</v>
          </cell>
          <cell r="BR426">
            <v>0.95151002801891815</v>
          </cell>
          <cell r="BS426">
            <v>8.4629760541306085E-7</v>
          </cell>
          <cell r="BT426">
            <v>0</v>
          </cell>
          <cell r="BU426">
            <v>7.047454751080626E-4</v>
          </cell>
          <cell r="BV426">
            <v>7.9822432508425076E-6</v>
          </cell>
          <cell r="BW426">
            <v>0</v>
          </cell>
          <cell r="BX426">
            <v>1.4165135507721098</v>
          </cell>
          <cell r="BY426">
            <v>0</v>
          </cell>
          <cell r="BZ426">
            <v>0</v>
          </cell>
          <cell r="CA426">
            <v>0</v>
          </cell>
          <cell r="CB426">
            <v>0</v>
          </cell>
          <cell r="CC426">
            <v>0</v>
          </cell>
          <cell r="CD426">
            <v>-5.7661170995157436</v>
          </cell>
          <cell r="CE426">
            <v>5.4976647698552198E-6</v>
          </cell>
          <cell r="CF426">
            <v>0</v>
          </cell>
        </row>
        <row r="427">
          <cell r="BN427" t="str">
            <v>Express Matara</v>
          </cell>
          <cell r="BO427">
            <v>0.20477770113182908</v>
          </cell>
          <cell r="BP427">
            <v>0.32110766198763663</v>
          </cell>
          <cell r="BQ427">
            <v>-36.227712579554236</v>
          </cell>
          <cell r="BR427">
            <v>0.21711301214210132</v>
          </cell>
          <cell r="BS427">
            <v>0.32158413622829785</v>
          </cell>
          <cell r="BT427">
            <v>0</v>
          </cell>
          <cell r="BU427">
            <v>4.8843745799568688E-5</v>
          </cell>
          <cell r="BV427">
            <v>7.9822432508425076E-6</v>
          </cell>
          <cell r="BW427">
            <v>0</v>
          </cell>
          <cell r="BX427">
            <v>0.22327782663333443</v>
          </cell>
          <cell r="BY427">
            <v>0.4656691275115914</v>
          </cell>
          <cell r="BZ427">
            <v>52.052259116581311</v>
          </cell>
          <cell r="CA427">
            <v>0</v>
          </cell>
          <cell r="CB427">
            <v>0</v>
          </cell>
          <cell r="CC427">
            <v>0</v>
          </cell>
          <cell r="CD427">
            <v>0.13944042479998928</v>
          </cell>
          <cell r="CE427">
            <v>-5.0284610724071657E-2</v>
          </cell>
          <cell r="CF427">
            <v>0</v>
          </cell>
        </row>
        <row r="428">
          <cell r="BN428" t="str">
            <v>Express Maligawatte</v>
          </cell>
          <cell r="BO428">
            <v>0.19176505509875635</v>
          </cell>
          <cell r="BP428">
            <v>0</v>
          </cell>
          <cell r="BQ428">
            <v>0</v>
          </cell>
          <cell r="BR428">
            <v>0.21248644719624549</v>
          </cell>
          <cell r="BS428">
            <v>8.4629760541306085E-7</v>
          </cell>
          <cell r="BT428">
            <v>0</v>
          </cell>
          <cell r="BU428">
            <v>2.2328569508374257E-5</v>
          </cell>
          <cell r="BV428">
            <v>7.9822432508425076E-6</v>
          </cell>
          <cell r="BW428">
            <v>0</v>
          </cell>
          <cell r="BX428">
            <v>0.16904606238896311</v>
          </cell>
          <cell r="BY428">
            <v>0</v>
          </cell>
          <cell r="BZ428">
            <v>0</v>
          </cell>
          <cell r="CA428">
            <v>0</v>
          </cell>
          <cell r="CB428">
            <v>0</v>
          </cell>
          <cell r="CC428">
            <v>0</v>
          </cell>
          <cell r="CD428">
            <v>0.85685952403356624</v>
          </cell>
          <cell r="CE428">
            <v>5.4976647698552198E-6</v>
          </cell>
          <cell r="CF428">
            <v>0</v>
          </cell>
        </row>
        <row r="429">
          <cell r="BN429" t="str">
            <v>Express Peradeniya</v>
          </cell>
          <cell r="BO429">
            <v>6.5195489080995414E-2</v>
          </cell>
          <cell r="BP429">
            <v>0</v>
          </cell>
          <cell r="BQ429">
            <v>0</v>
          </cell>
          <cell r="BR429">
            <v>3.8539899902331864E-2</v>
          </cell>
          <cell r="BS429">
            <v>8.4629760541306085E-7</v>
          </cell>
          <cell r="BT429">
            <v>0</v>
          </cell>
          <cell r="BU429">
            <v>1.0466516957050434E-5</v>
          </cell>
          <cell r="BV429">
            <v>7.9822432508425076E-6</v>
          </cell>
          <cell r="BW429">
            <v>0</v>
          </cell>
          <cell r="BX429">
            <v>-4.3271569128153678E-2</v>
          </cell>
          <cell r="BY429">
            <v>0</v>
          </cell>
          <cell r="BZ429">
            <v>0</v>
          </cell>
          <cell r="CA429">
            <v>0</v>
          </cell>
          <cell r="CB429">
            <v>0</v>
          </cell>
          <cell r="CC429">
            <v>0</v>
          </cell>
          <cell r="CD429">
            <v>1.2319984957848298</v>
          </cell>
          <cell r="CE429">
            <v>5.4976647698552198E-6</v>
          </cell>
          <cell r="CF429">
            <v>0</v>
          </cell>
        </row>
        <row r="430">
          <cell r="BN430" t="str">
            <v>Express Alexandra Place</v>
          </cell>
          <cell r="BO430">
            <v>0.33028974467437305</v>
          </cell>
          <cell r="BP430">
            <v>0</v>
          </cell>
          <cell r="BQ430">
            <v>0</v>
          </cell>
          <cell r="BR430">
            <v>0.39513492924310367</v>
          </cell>
          <cell r="BS430">
            <v>8.4629760541306085E-7</v>
          </cell>
          <cell r="BT430">
            <v>0</v>
          </cell>
          <cell r="BU430">
            <v>6.9776779713669549E-6</v>
          </cell>
          <cell r="BV430">
            <v>7.9822432508425076E-6</v>
          </cell>
          <cell r="BW430">
            <v>0</v>
          </cell>
          <cell r="BX430">
            <v>0.39274441495920709</v>
          </cell>
          <cell r="BY430">
            <v>0</v>
          </cell>
          <cell r="BZ430">
            <v>0</v>
          </cell>
          <cell r="CA430">
            <v>0</v>
          </cell>
          <cell r="CB430">
            <v>0</v>
          </cell>
          <cell r="CC430">
            <v>0</v>
          </cell>
          <cell r="CD430">
            <v>0.45186595075995323</v>
          </cell>
          <cell r="CE430">
            <v>5.4976647698552198E-6</v>
          </cell>
          <cell r="CF430">
            <v>0</v>
          </cell>
        </row>
        <row r="431">
          <cell r="BN431" t="str">
            <v>Express Boralla</v>
          </cell>
          <cell r="BO431">
            <v>5.2899307455835216E-2</v>
          </cell>
          <cell r="BP431">
            <v>0</v>
          </cell>
          <cell r="BQ431">
            <v>0</v>
          </cell>
          <cell r="BR431">
            <v>8.5992232013976048E-3</v>
          </cell>
          <cell r="BS431">
            <v>8.4629760541306085E-7</v>
          </cell>
          <cell r="BT431">
            <v>0</v>
          </cell>
          <cell r="BU431">
            <v>6.9776779713669549E-6</v>
          </cell>
          <cell r="BV431">
            <v>7.9822432508425076E-6</v>
          </cell>
          <cell r="BW431">
            <v>0</v>
          </cell>
          <cell r="BX431">
            <v>0.14098030203202899</v>
          </cell>
          <cell r="BY431">
            <v>0</v>
          </cell>
          <cell r="BZ431">
            <v>0</v>
          </cell>
          <cell r="CA431">
            <v>0</v>
          </cell>
          <cell r="CB431">
            <v>0</v>
          </cell>
          <cell r="CC431">
            <v>0</v>
          </cell>
          <cell r="CD431">
            <v>-1.9186013376292794</v>
          </cell>
          <cell r="CE431">
            <v>5.4976647698552198E-6</v>
          </cell>
          <cell r="CF431">
            <v>0</v>
          </cell>
        </row>
        <row r="432">
          <cell r="BN432" t="str">
            <v>Express Havelock Road</v>
          </cell>
          <cell r="BO432">
            <v>7.606437628548611E-2</v>
          </cell>
          <cell r="BP432">
            <v>0</v>
          </cell>
          <cell r="BQ432">
            <v>0</v>
          </cell>
          <cell r="BR432">
            <v>9.6365164790162147E-2</v>
          </cell>
          <cell r="BS432">
            <v>8.4629760541306085E-7</v>
          </cell>
          <cell r="BT432">
            <v>0</v>
          </cell>
          <cell r="BU432">
            <v>6.9776779713669549E-6</v>
          </cell>
          <cell r="BV432">
            <v>7.9822432508425076E-6</v>
          </cell>
          <cell r="BW432">
            <v>0</v>
          </cell>
          <cell r="BX432">
            <v>0.20348793346876443</v>
          </cell>
          <cell r="BY432">
            <v>0</v>
          </cell>
          <cell r="BZ432">
            <v>0</v>
          </cell>
          <cell r="CA432">
            <v>0</v>
          </cell>
          <cell r="CB432">
            <v>0</v>
          </cell>
          <cell r="CC432">
            <v>0</v>
          </cell>
          <cell r="CD432">
            <v>-1.4581657269038399</v>
          </cell>
          <cell r="CE432">
            <v>5.4976647698552198E-6</v>
          </cell>
          <cell r="CF432">
            <v>0</v>
          </cell>
        </row>
        <row r="433">
          <cell r="BN433" t="str">
            <v>Express Maradana</v>
          </cell>
          <cell r="BO433">
            <v>1.6199844822715897E-2</v>
          </cell>
          <cell r="BP433">
            <v>0</v>
          </cell>
          <cell r="BQ433">
            <v>0</v>
          </cell>
          <cell r="BR433">
            <v>5.0979609503133405E-3</v>
          </cell>
          <cell r="BS433">
            <v>8.4629760541306085E-7</v>
          </cell>
          <cell r="BT433">
            <v>0</v>
          </cell>
          <cell r="BU433">
            <v>6.9776779713669549E-6</v>
          </cell>
          <cell r="BV433">
            <v>7.9822432508425076E-6</v>
          </cell>
          <cell r="BW433">
            <v>0</v>
          </cell>
          <cell r="BX433">
            <v>7.8135858099802308E-2</v>
          </cell>
          <cell r="BY433">
            <v>0</v>
          </cell>
          <cell r="BZ433">
            <v>0</v>
          </cell>
          <cell r="CA433">
            <v>0</v>
          </cell>
          <cell r="CB433">
            <v>0</v>
          </cell>
          <cell r="CC433">
            <v>0</v>
          </cell>
          <cell r="CD433">
            <v>-1.0581627489145902</v>
          </cell>
          <cell r="CE433">
            <v>5.4976647698552198E-6</v>
          </cell>
          <cell r="CF433">
            <v>0</v>
          </cell>
        </row>
        <row r="434">
          <cell r="BN434" t="str">
            <v xml:space="preserve">Food City </v>
          </cell>
          <cell r="BO434">
            <v>97.920748341666467</v>
          </cell>
          <cell r="BP434">
            <v>96.420065568164105</v>
          </cell>
          <cell r="BQ434">
            <v>1.5564009054126346</v>
          </cell>
          <cell r="BR434">
            <v>95.872282500408261</v>
          </cell>
          <cell r="BS434">
            <v>94.07294972733375</v>
          </cell>
          <cell r="BT434">
            <v>1.9126994298465143</v>
          </cell>
          <cell r="BU434">
            <v>106.59391307928041</v>
          </cell>
          <cell r="BV434">
            <v>79.333128021522541</v>
          </cell>
          <cell r="BW434">
            <v>34.362423035131307</v>
          </cell>
          <cell r="BX434">
            <v>94.545064418680653</v>
          </cell>
          <cell r="BY434">
            <v>93.311881697371717</v>
          </cell>
          <cell r="BZ434">
            <v>-1.3215709498908006</v>
          </cell>
          <cell r="CA434">
            <v>99.736404633123144</v>
          </cell>
          <cell r="CB434">
            <v>99.753419606630658</v>
          </cell>
          <cell r="CC434">
            <v>1.7057032806104672E-2</v>
          </cell>
          <cell r="CD434">
            <v>122.94784258615898</v>
          </cell>
          <cell r="CE434">
            <v>89.415184167346922</v>
          </cell>
          <cell r="CF434">
            <v>37.502196893151044</v>
          </cell>
        </row>
        <row r="435">
          <cell r="BM435">
            <v>8</v>
          </cell>
          <cell r="CE435" t="str">
            <v>Appendix IV</v>
          </cell>
        </row>
        <row r="436">
          <cell r="BM436" t="str">
            <v>CARGILLS ( CEYLON ) LTD</v>
          </cell>
        </row>
        <row r="438">
          <cell r="BM438" t="str">
            <v xml:space="preserve"> Contribution % by Profit Centres/Divisions - Month of March 2004</v>
          </cell>
        </row>
        <row r="439">
          <cell r="BN439" t="str">
            <v>MTH V MTH</v>
          </cell>
          <cell r="CF439">
            <v>38154.357810300928</v>
          </cell>
        </row>
        <row r="440">
          <cell r="BM440" t="str">
            <v>Profit Centre</v>
          </cell>
          <cell r="BO440" t="str">
            <v>Gross Turnover</v>
          </cell>
          <cell r="BR440" t="str">
            <v>Achieved Gross Profit</v>
          </cell>
          <cell r="BU440" t="str">
            <v>Other Income</v>
          </cell>
          <cell r="BX440" t="str">
            <v>Direct Expenses</v>
          </cell>
          <cell r="CA440" t="str">
            <v>D&amp;A and Finance</v>
          </cell>
          <cell r="CD440" t="str">
            <v>Contribution</v>
          </cell>
        </row>
        <row r="441">
          <cell r="BO441">
            <v>38047</v>
          </cell>
          <cell r="BP441">
            <v>37681</v>
          </cell>
          <cell r="BQ441" t="str">
            <v>Var %</v>
          </cell>
          <cell r="BR441">
            <v>38047</v>
          </cell>
          <cell r="BS441">
            <v>37681</v>
          </cell>
          <cell r="BT441" t="str">
            <v>Var %</v>
          </cell>
          <cell r="BU441">
            <v>38047</v>
          </cell>
          <cell r="BV441">
            <v>37681</v>
          </cell>
          <cell r="BW441" t="str">
            <v>Var %</v>
          </cell>
          <cell r="BX441">
            <v>38047</v>
          </cell>
          <cell r="BY441">
            <v>37681</v>
          </cell>
          <cell r="BZ441" t="str">
            <v>Var %</v>
          </cell>
          <cell r="CA441">
            <v>38047</v>
          </cell>
          <cell r="CB441">
            <v>37681</v>
          </cell>
          <cell r="CC441" t="str">
            <v>Var %</v>
          </cell>
          <cell r="CD441">
            <v>38047</v>
          </cell>
          <cell r="CE441">
            <v>37681</v>
          </cell>
          <cell r="CF441" t="str">
            <v>Var %</v>
          </cell>
        </row>
        <row r="442">
          <cell r="BN442" t="str">
            <v>Department Store</v>
          </cell>
          <cell r="BO442">
            <v>0.13181827953012659</v>
          </cell>
          <cell r="BP442">
            <v>0.19804258754641807</v>
          </cell>
          <cell r="BQ442">
            <v>-33.439427769933346</v>
          </cell>
          <cell r="BR442">
            <v>0.24124674008343361</v>
          </cell>
          <cell r="BS442">
            <v>0.28757311113600559</v>
          </cell>
          <cell r="BT442">
            <v>-16.1094237460408</v>
          </cell>
          <cell r="BU442">
            <v>2.791071188546782E-5</v>
          </cell>
          <cell r="BV442">
            <v>3.1928973003370031E-5</v>
          </cell>
          <cell r="BW442">
            <v>-12.58499957852729</v>
          </cell>
          <cell r="BX442">
            <v>6.1934090861955421E-2</v>
          </cell>
          <cell r="BY442">
            <v>6.242048753152802E-2</v>
          </cell>
          <cell r="BZ442">
            <v>0.77922600224313254</v>
          </cell>
          <cell r="CA442">
            <v>7.9915686925762579E-5</v>
          </cell>
          <cell r="CB442">
            <v>8.3360126629407469E-4</v>
          </cell>
          <cell r="CC442">
            <v>90.413199912586236</v>
          </cell>
          <cell r="CD442">
            <v>2.8656469713408548</v>
          </cell>
          <cell r="CE442">
            <v>0.78711275996266561</v>
          </cell>
          <cell r="CF442">
            <v>264.07070461883734</v>
          </cell>
        </row>
        <row r="443">
          <cell r="BN443" t="str">
            <v>Books and Stationery</v>
          </cell>
          <cell r="BO443">
            <v>0.29820577568671119</v>
          </cell>
          <cell r="BP443">
            <v>0.47968240543789614</v>
          </cell>
          <cell r="BQ443">
            <v>-37.832663381830145</v>
          </cell>
          <cell r="BR443">
            <v>0.58782540076427547</v>
          </cell>
          <cell r="BS443">
            <v>0.83417051617248605</v>
          </cell>
          <cell r="BT443">
            <v>-29.531745684148881</v>
          </cell>
          <cell r="BU443">
            <v>3.5027943416262116E-4</v>
          </cell>
          <cell r="BV443">
            <v>0.11851491986309898</v>
          </cell>
          <cell r="BW443">
            <v>-99.704442753226985</v>
          </cell>
          <cell r="BX443">
            <v>0.44758877195410124</v>
          </cell>
          <cell r="BY443">
            <v>0.87231028950270373</v>
          </cell>
          <cell r="BZ443">
            <v>48.689270625333606</v>
          </cell>
          <cell r="CA443">
            <v>5.3596787364878107E-2</v>
          </cell>
          <cell r="CB443">
            <v>0.14452618894350722</v>
          </cell>
          <cell r="CC443">
            <v>62.915518802043437</v>
          </cell>
          <cell r="CD443">
            <v>2.5976942208417197</v>
          </cell>
          <cell r="CE443">
            <v>0.66451879391352853</v>
          </cell>
          <cell r="CF443">
            <v>290.91358207391022</v>
          </cell>
        </row>
        <row r="444">
          <cell r="BN444" t="str">
            <v>Hatton Liquor</v>
          </cell>
          <cell r="BO444">
            <v>0.36239443100649121</v>
          </cell>
          <cell r="BP444">
            <v>0.69147228521301074</v>
          </cell>
          <cell r="BQ444">
            <v>-47.590895722616821</v>
          </cell>
          <cell r="BR444">
            <v>0.12907112535443446</v>
          </cell>
          <cell r="BS444">
            <v>0.20076944900972293</v>
          </cell>
          <cell r="BT444">
            <v>-35.711769897727933</v>
          </cell>
          <cell r="BU444">
            <v>6.9776779713669549E-6</v>
          </cell>
          <cell r="BV444">
            <v>7.9822432508425076E-6</v>
          </cell>
          <cell r="BW444">
            <v>-12.58499957852729</v>
          </cell>
          <cell r="BX444">
            <v>0.13842813272514484</v>
          </cell>
          <cell r="BY444">
            <v>0.27737360980361753</v>
          </cell>
          <cell r="BZ444">
            <v>50.093257673953573</v>
          </cell>
          <cell r="CA444">
            <v>0</v>
          </cell>
          <cell r="CB444">
            <v>0</v>
          </cell>
          <cell r="CC444">
            <v>0</v>
          </cell>
          <cell r="CD444">
            <v>-1.6205862264613018E-5</v>
          </cell>
          <cell r="CE444">
            <v>-5.4976647698814711E-6</v>
          </cell>
          <cell r="CF444">
            <v>0</v>
          </cell>
        </row>
        <row r="445">
          <cell r="BN445" t="str">
            <v>Retail Division</v>
          </cell>
          <cell r="BO445">
            <v>98.713166827889793</v>
          </cell>
          <cell r="BP445">
            <v>97.789262846361439</v>
          </cell>
          <cell r="BQ445">
            <v>0.94479082328283603</v>
          </cell>
          <cell r="BR445">
            <v>96.830425766610418</v>
          </cell>
          <cell r="BS445">
            <v>95.395462803651967</v>
          </cell>
          <cell r="BT445">
            <v>1.5042255897557399</v>
          </cell>
          <cell r="BU445">
            <v>106.59429824710445</v>
          </cell>
          <cell r="BV445">
            <v>79.451682852601891</v>
          </cell>
          <cell r="BW445">
            <v>34.162417232693883</v>
          </cell>
          <cell r="BX445">
            <v>95.193015414221847</v>
          </cell>
          <cell r="BY445">
            <v>94.523986084209582</v>
          </cell>
          <cell r="BZ445">
            <v>-0.70778789355776794</v>
          </cell>
          <cell r="CA445">
            <v>99.790081336174936</v>
          </cell>
          <cell r="CB445">
            <v>99.898779396840467</v>
          </cell>
          <cell r="CC445">
            <v>0.10880819697880062</v>
          </cell>
          <cell r="CD445">
            <v>128.41116757247931</v>
          </cell>
          <cell r="CE445">
            <v>90.866810223558346</v>
          </cell>
          <cell r="CF445">
            <v>41.318009575279582</v>
          </cell>
        </row>
        <row r="446">
          <cell r="BN446" t="str">
            <v>Commercial Division</v>
          </cell>
          <cell r="BO446">
            <v>3.4737331415576753E-7</v>
          </cell>
          <cell r="BP446">
            <v>0</v>
          </cell>
          <cell r="BQ446">
            <v>0</v>
          </cell>
          <cell r="BR446">
            <v>1.063463097593899</v>
          </cell>
          <cell r="BS446">
            <v>2.0077678471736662</v>
          </cell>
          <cell r="BT446">
            <v>-47.032566584282364</v>
          </cell>
          <cell r="BU446">
            <v>2.7688538432252709</v>
          </cell>
          <cell r="BV446">
            <v>4.1676808638866385</v>
          </cell>
          <cell r="BW446">
            <v>-33.563678850325132</v>
          </cell>
          <cell r="BX446">
            <v>3.8547325040402631</v>
          </cell>
          <cell r="BY446">
            <v>3.4312371691850139</v>
          </cell>
          <cell r="BZ446">
            <v>-12.342350993937201</v>
          </cell>
          <cell r="CA446">
            <v>0.83919129858714436</v>
          </cell>
          <cell r="CB446">
            <v>1.8949774735656493</v>
          </cell>
          <cell r="CC446">
            <v>55.714972325866462</v>
          </cell>
          <cell r="CD446">
            <v>-37.328709383798426</v>
          </cell>
          <cell r="CE446">
            <v>-0.56785830216345801</v>
          </cell>
          <cell r="CF446">
            <v>-6473.5957793663392</v>
          </cell>
        </row>
        <row r="447">
          <cell r="BN447" t="str">
            <v>Hampers</v>
          </cell>
          <cell r="BO447">
            <v>6.9474662831153498E-8</v>
          </cell>
          <cell r="BP447">
            <v>0</v>
          </cell>
          <cell r="BQ447">
            <v>0</v>
          </cell>
          <cell r="BR447">
            <v>-6.1151871842482358E-3</v>
          </cell>
          <cell r="BS447">
            <v>8.4629760541306085E-7</v>
          </cell>
          <cell r="BT447">
            <v>0</v>
          </cell>
          <cell r="BU447">
            <v>6.9776779713669549E-6</v>
          </cell>
          <cell r="BV447">
            <v>7.9822432508425076E-6</v>
          </cell>
          <cell r="BW447">
            <v>-12.58499957852729</v>
          </cell>
          <cell r="BX447">
            <v>3.200119356447912E-2</v>
          </cell>
          <cell r="BY447">
            <v>3.5204314086257696E-3</v>
          </cell>
          <cell r="BZ447">
            <v>-809.01340915405194</v>
          </cell>
          <cell r="CA447">
            <v>0</v>
          </cell>
          <cell r="CB447">
            <v>0</v>
          </cell>
          <cell r="CC447">
            <v>0</v>
          </cell>
          <cell r="CD447">
            <v>-0.56148321341038498</v>
          </cell>
          <cell r="CE447">
            <v>-8.2712366462471803E-3</v>
          </cell>
          <cell r="CF447">
            <v>-6688.3828915128515</v>
          </cell>
        </row>
        <row r="448">
          <cell r="BN448" t="str">
            <v>Wines &amp; Spirits</v>
          </cell>
          <cell r="BO448">
            <v>1.2868327552622592</v>
          </cell>
          <cell r="BP448">
            <v>2.2107371536385645</v>
          </cell>
          <cell r="BQ448">
            <v>-41.791689113999276</v>
          </cell>
          <cell r="BR448">
            <v>2.1122263229799367</v>
          </cell>
          <cell r="BS448">
            <v>2.5967685028767571</v>
          </cell>
          <cell r="BT448">
            <v>-18.659429185159706</v>
          </cell>
          <cell r="BU448">
            <v>-9.3631590680076844</v>
          </cell>
          <cell r="BV448">
            <v>16.380628301268217</v>
          </cell>
          <cell r="BW448">
            <v>0</v>
          </cell>
          <cell r="BX448">
            <v>0.92025088817340417</v>
          </cell>
          <cell r="BY448">
            <v>2.0412563151967937</v>
          </cell>
          <cell r="BZ448">
            <v>54.917426032081394</v>
          </cell>
          <cell r="CA448">
            <v>-0.62927263476208584</v>
          </cell>
          <cell r="CB448">
            <v>-1.7937568704061195</v>
          </cell>
          <cell r="CC448">
            <v>-64.918733126880568</v>
          </cell>
          <cell r="CD448">
            <v>9.479025024729502</v>
          </cell>
          <cell r="CE448">
            <v>9.7093193152513599</v>
          </cell>
          <cell r="CF448">
            <v>-2.3718891411894609</v>
          </cell>
        </row>
        <row r="449">
          <cell r="BN449" t="str">
            <v xml:space="preserve">Total </v>
          </cell>
          <cell r="BO449">
            <v>100</v>
          </cell>
          <cell r="BP449">
            <v>100</v>
          </cell>
          <cell r="BQ449">
            <v>0</v>
          </cell>
          <cell r="BR449">
            <v>100</v>
          </cell>
          <cell r="BS449">
            <v>100</v>
          </cell>
          <cell r="BT449">
            <v>0</v>
          </cell>
          <cell r="BU449">
            <v>100</v>
          </cell>
          <cell r="BV449">
            <v>100</v>
          </cell>
          <cell r="BW449">
            <v>0</v>
          </cell>
          <cell r="BX449">
            <v>100</v>
          </cell>
          <cell r="BY449">
            <v>100</v>
          </cell>
          <cell r="BZ449">
            <v>0</v>
          </cell>
          <cell r="CA449">
            <v>100</v>
          </cell>
          <cell r="CB449">
            <v>100</v>
          </cell>
          <cell r="CC449">
            <v>0</v>
          </cell>
          <cell r="CD449">
            <v>100</v>
          </cell>
          <cell r="CE449">
            <v>100</v>
          </cell>
          <cell r="CF449">
            <v>0</v>
          </cell>
        </row>
        <row r="461">
          <cell r="CH461">
            <v>5</v>
          </cell>
          <cell r="CW461" t="str">
            <v>Appendix I</v>
          </cell>
        </row>
        <row r="462">
          <cell r="CH462" t="str">
            <v>CARGILLS ( CEYLON ) LTD</v>
          </cell>
        </row>
        <row r="464">
          <cell r="CH464" t="str">
            <v xml:space="preserve"> Margin Analysis by Profit Centres/Divisions - Month of March 2004</v>
          </cell>
        </row>
        <row r="465">
          <cell r="CI465" t="str">
            <v>MTH V MTH</v>
          </cell>
          <cell r="CX465">
            <v>38154.357810300928</v>
          </cell>
        </row>
        <row r="466">
          <cell r="CH466" t="str">
            <v>Profit Centre</v>
          </cell>
          <cell r="CJ466" t="str">
            <v>Achieved Gross Profit</v>
          </cell>
          <cell r="CM466" t="str">
            <v>Other Income</v>
          </cell>
          <cell r="CP466" t="str">
            <v>Direct Expenses</v>
          </cell>
          <cell r="CS466" t="str">
            <v>D&amp;A and Finance</v>
          </cell>
          <cell r="CV466" t="str">
            <v>Contribution</v>
          </cell>
        </row>
        <row r="467">
          <cell r="CJ467">
            <v>38047</v>
          </cell>
          <cell r="CK467">
            <v>37681</v>
          </cell>
          <cell r="CL467" t="str">
            <v>Var %</v>
          </cell>
          <cell r="CM467">
            <v>38047</v>
          </cell>
          <cell r="CN467">
            <v>37681</v>
          </cell>
          <cell r="CO467" t="str">
            <v>Var %</v>
          </cell>
          <cell r="CP467">
            <v>38047</v>
          </cell>
          <cell r="CQ467">
            <v>37681</v>
          </cell>
          <cell r="CR467" t="str">
            <v>Var %</v>
          </cell>
          <cell r="CS467">
            <v>38047</v>
          </cell>
          <cell r="CT467">
            <v>37681</v>
          </cell>
          <cell r="CU467" t="str">
            <v>Var %</v>
          </cell>
          <cell r="CV467">
            <v>38047</v>
          </cell>
          <cell r="CW467">
            <v>37681</v>
          </cell>
          <cell r="CX467" t="str">
            <v>Var %</v>
          </cell>
        </row>
        <row r="468">
          <cell r="CI468" t="str">
            <v>Staples Street</v>
          </cell>
          <cell r="CJ468">
            <v>15.296134062625855</v>
          </cell>
          <cell r="CK468">
            <v>16.116938720194266</v>
          </cell>
          <cell r="CL468">
            <v>-5.0928074606373972</v>
          </cell>
          <cell r="CM468">
            <v>1.413542099791651</v>
          </cell>
          <cell r="CN468">
            <v>1.4692651743568059</v>
          </cell>
          <cell r="CO468">
            <v>-3.7925811853226943</v>
          </cell>
          <cell r="CP468">
            <v>11.968556262473275</v>
          </cell>
          <cell r="CQ468">
            <v>7.9613425635972952</v>
          </cell>
          <cell r="CR468">
            <v>-50.333391219700751</v>
          </cell>
          <cell r="CS468">
            <v>0.94074734815053784</v>
          </cell>
          <cell r="CT468">
            <v>1.0711885893637625</v>
          </cell>
          <cell r="CU468">
            <v>12.17724334523586</v>
          </cell>
          <cell r="CV468">
            <v>3.8003725517936937</v>
          </cell>
          <cell r="CW468">
            <v>8.5536727415900131</v>
          </cell>
          <cell r="CX468">
            <v>-55.570283472322146</v>
          </cell>
        </row>
        <row r="469">
          <cell r="CI469" t="str">
            <v>Kandy</v>
          </cell>
          <cell r="CJ469">
            <v>11.940457454373394</v>
          </cell>
          <cell r="CK469">
            <v>12.93125361114171</v>
          </cell>
          <cell r="CL469">
            <v>-7.6620271055130678</v>
          </cell>
          <cell r="CM469">
            <v>0.70633257848961239</v>
          </cell>
          <cell r="CN469">
            <v>1.1539608275984159</v>
          </cell>
          <cell r="CO469">
            <v>-38.790593094948655</v>
          </cell>
          <cell r="CP469">
            <v>7.706003315358025</v>
          </cell>
          <cell r="CQ469">
            <v>6.9734581638198705</v>
          </cell>
          <cell r="CR469">
            <v>-10.504761544835686</v>
          </cell>
          <cell r="CS469">
            <v>0.92014833567861942</v>
          </cell>
          <cell r="CT469">
            <v>0.90972263658396157</v>
          </cell>
          <cell r="CU469">
            <v>-1.1460305235238171</v>
          </cell>
          <cell r="CV469">
            <v>4.0206383818263634</v>
          </cell>
          <cell r="CW469">
            <v>6.2020336383362951</v>
          </cell>
          <cell r="CX469">
            <v>-35.172257741818605</v>
          </cell>
        </row>
        <row r="470">
          <cell r="CI470" t="str">
            <v>Mount Lavinia</v>
          </cell>
          <cell r="CJ470">
            <v>10.73923308283266</v>
          </cell>
          <cell r="CK470">
            <v>10.933172191946182</v>
          </cell>
          <cell r="CL470">
            <v>-1.7738594591639696</v>
          </cell>
          <cell r="CM470">
            <v>-0.28918050477772506</v>
          </cell>
          <cell r="CN470">
            <v>0.90147989054697419</v>
          </cell>
          <cell r="CO470">
            <v>-132.07841991930229</v>
          </cell>
          <cell r="CP470">
            <v>9.140562463566452</v>
          </cell>
          <cell r="CQ470">
            <v>5.8695756297389385</v>
          </cell>
          <cell r="CR470">
            <v>-55.727824976896969</v>
          </cell>
          <cell r="CS470">
            <v>0.32786284500592738</v>
          </cell>
          <cell r="CT470">
            <v>0.4611154336766855</v>
          </cell>
          <cell r="CU470">
            <v>28.897880864293334</v>
          </cell>
          <cell r="CV470">
            <v>0.98162726948255752</v>
          </cell>
          <cell r="CW470">
            <v>5.5039610190775319</v>
          </cell>
          <cell r="CX470">
            <v>-82.165075913871959</v>
          </cell>
        </row>
        <row r="471">
          <cell r="CI471" t="str">
            <v>Wellawatte</v>
          </cell>
          <cell r="CJ471">
            <v>13.714163569087622</v>
          </cell>
          <cell r="CK471">
            <v>16.841663410426147</v>
          </cell>
          <cell r="CL471">
            <v>-18.57001749246685</v>
          </cell>
          <cell r="CM471">
            <v>0.93470866253154961</v>
          </cell>
          <cell r="CN471">
            <v>0.71630524794712969</v>
          </cell>
          <cell r="CO471">
            <v>30.49027146043473</v>
          </cell>
          <cell r="CP471">
            <v>16.257294062625977</v>
          </cell>
          <cell r="CQ471">
            <v>8.2878225044872806</v>
          </cell>
          <cell r="CR471">
            <v>-96.158810759083963</v>
          </cell>
          <cell r="CS471">
            <v>0.26687870718361867</v>
          </cell>
          <cell r="CT471">
            <v>0.43075458266697891</v>
          </cell>
          <cell r="CU471">
            <v>38.043907616429117</v>
          </cell>
          <cell r="CV471">
            <v>-1.8753005381904231</v>
          </cell>
          <cell r="CW471">
            <v>8.8393915712190161</v>
          </cell>
          <cell r="CX471">
            <v>-121.21526717174049</v>
          </cell>
        </row>
        <row r="472">
          <cell r="CI472" t="str">
            <v>Bambalapitiya</v>
          </cell>
          <cell r="CJ472">
            <v>14.666331792032953</v>
          </cell>
          <cell r="CK472">
            <v>15.707440168129677</v>
          </cell>
          <cell r="CL472">
            <v>-6.6281225008841913</v>
          </cell>
          <cell r="CM472">
            <v>1.8242077484025219</v>
          </cell>
          <cell r="CN472">
            <v>1.7652648255333458</v>
          </cell>
          <cell r="CO472">
            <v>3.3390413730907134</v>
          </cell>
          <cell r="CP472">
            <v>13.698984296920885</v>
          </cell>
          <cell r="CQ472">
            <v>11.960113687019394</v>
          </cell>
          <cell r="CR472">
            <v>-14.538913721102254</v>
          </cell>
          <cell r="CS472">
            <v>0.40839130178609284</v>
          </cell>
          <cell r="CT472">
            <v>0.42300838499058185</v>
          </cell>
          <cell r="CU472">
            <v>3.4555067282683907</v>
          </cell>
          <cell r="CV472">
            <v>2.3831639417284958</v>
          </cell>
          <cell r="CW472">
            <v>5.0895829216530455</v>
          </cell>
          <cell r="CX472">
            <v>-53.175653517902241</v>
          </cell>
        </row>
        <row r="473">
          <cell r="CI473" t="str">
            <v>Nuwara Eliya</v>
          </cell>
          <cell r="CJ473">
            <v>12.361908000115543</v>
          </cell>
          <cell r="CK473">
            <v>12.037658902776643</v>
          </cell>
          <cell r="CL473">
            <v>2.6936225719446769</v>
          </cell>
          <cell r="CM473">
            <v>0.23441319439345201</v>
          </cell>
          <cell r="CN473">
            <v>2.4049322044496129</v>
          </cell>
          <cell r="CO473">
            <v>-90.252814862733345</v>
          </cell>
          <cell r="CP473">
            <v>12.612678589049093</v>
          </cell>
          <cell r="CQ473">
            <v>10.020021839540512</v>
          </cell>
          <cell r="CR473">
            <v>-25.874761462869955</v>
          </cell>
          <cell r="CS473">
            <v>1.6354683696160899</v>
          </cell>
          <cell r="CT473">
            <v>2.5649459379760824</v>
          </cell>
          <cell r="CU473">
            <v>36.237706011590006</v>
          </cell>
          <cell r="CV473">
            <v>-1.6518257641561882</v>
          </cell>
          <cell r="CW473">
            <v>1.8576233297096627</v>
          </cell>
          <cell r="CX473">
            <v>-188.92145881987608</v>
          </cell>
        </row>
        <row r="474">
          <cell r="CI474" t="str">
            <v>Bandarawela</v>
          </cell>
          <cell r="CJ474">
            <v>7.3009052874237836</v>
          </cell>
          <cell r="CK474">
            <v>7.3444772005235706</v>
          </cell>
          <cell r="CL474">
            <v>-0.59326092123590191</v>
          </cell>
          <cell r="CM474">
            <v>-0.93458830793175585</v>
          </cell>
          <cell r="CN474">
            <v>0.51564508077284843</v>
          </cell>
          <cell r="CO474">
            <v>-281.24643146619292</v>
          </cell>
          <cell r="CP474">
            <v>7.036394634645438</v>
          </cell>
          <cell r="CQ474">
            <v>4.1302012051988379</v>
          </cell>
          <cell r="CR474">
            <v>-70.364451634667731</v>
          </cell>
          <cell r="CS474">
            <v>0.21123075026485233</v>
          </cell>
          <cell r="CT474">
            <v>0.27925331600504477</v>
          </cell>
          <cell r="CU474">
            <v>24.358731603732721</v>
          </cell>
          <cell r="CV474">
            <v>-0.88130840541826161</v>
          </cell>
          <cell r="CW474">
            <v>3.4506677600925357</v>
          </cell>
          <cell r="CX474">
            <v>-125.54022776723737</v>
          </cell>
        </row>
        <row r="475">
          <cell r="CI475" t="str">
            <v>Maharagama</v>
          </cell>
          <cell r="CJ475">
            <v>15.311915646246629</v>
          </cell>
          <cell r="CK475">
            <v>16.418966216153226</v>
          </cell>
          <cell r="CL475">
            <v>-6.7425107971625193</v>
          </cell>
          <cell r="CM475">
            <v>1.0764178433101461</v>
          </cell>
          <cell r="CN475">
            <v>1.7101154519356045E-2</v>
          </cell>
          <cell r="CO475">
            <v>6194.4162167051127</v>
          </cell>
          <cell r="CP475">
            <v>11.607621532190516</v>
          </cell>
          <cell r="CQ475">
            <v>9.0991078979198932</v>
          </cell>
          <cell r="CR475">
            <v>-27.568786549328454</v>
          </cell>
          <cell r="CS475">
            <v>0.41048989941661213</v>
          </cell>
          <cell r="CT475">
            <v>0.60114466686574486</v>
          </cell>
          <cell r="CU475">
            <v>31.715288841065632</v>
          </cell>
          <cell r="CV475">
            <v>4.3702220579496496</v>
          </cell>
          <cell r="CW475">
            <v>6.735814805886946</v>
          </cell>
          <cell r="CX475">
            <v>-35.119622734725766</v>
          </cell>
        </row>
        <row r="476">
          <cell r="CI476" t="str">
            <v>Kiribathgoda</v>
          </cell>
          <cell r="CJ476">
            <v>14.075425477205631</v>
          </cell>
          <cell r="CK476">
            <v>15.678381955691547</v>
          </cell>
          <cell r="CL476">
            <v>-10.223991755118666</v>
          </cell>
          <cell r="CM476">
            <v>1.1965154551665735</v>
          </cell>
          <cell r="CN476">
            <v>0.80386386017290334</v>
          </cell>
          <cell r="CO476">
            <v>48.845533982484874</v>
          </cell>
          <cell r="CP476">
            <v>3.4253014027354722</v>
          </cell>
          <cell r="CQ476">
            <v>8.9936032032422677</v>
          </cell>
          <cell r="CR476">
            <v>61.914025721074474</v>
          </cell>
          <cell r="CS476">
            <v>0.49932179774889157</v>
          </cell>
          <cell r="CT476">
            <v>0.38398317766437917</v>
          </cell>
          <cell r="CU476">
            <v>-30.03741486438873</v>
          </cell>
          <cell r="CV476">
            <v>11.347317731887843</v>
          </cell>
          <cell r="CW476">
            <v>7.1046594349578047</v>
          </cell>
          <cell r="CX476">
            <v>59.71656116343086</v>
          </cell>
        </row>
        <row r="477">
          <cell r="CI477" t="str">
            <v>Nugegoda</v>
          </cell>
          <cell r="CJ477">
            <v>14.737027644582955</v>
          </cell>
          <cell r="CK477">
            <v>15.351288853328244</v>
          </cell>
          <cell r="CL477">
            <v>-4.0013657134209506</v>
          </cell>
          <cell r="CM477">
            <v>1.9622777407603094</v>
          </cell>
          <cell r="CN477">
            <v>1.6714676753225248</v>
          </cell>
          <cell r="CO477">
            <v>17.398485757833761</v>
          </cell>
          <cell r="CP477">
            <v>13.434993506032395</v>
          </cell>
          <cell r="CQ477">
            <v>9.8239574138322663</v>
          </cell>
          <cell r="CR477">
            <v>-36.757448552410665</v>
          </cell>
          <cell r="CS477">
            <v>0.68405886933827209</v>
          </cell>
          <cell r="CT477">
            <v>0.40871840000984416</v>
          </cell>
          <cell r="CU477">
            <v>-67.366790759064486</v>
          </cell>
          <cell r="CV477">
            <v>2.5802530099725995</v>
          </cell>
          <cell r="CW477">
            <v>6.7900807148086582</v>
          </cell>
          <cell r="CX477">
            <v>-61.999671015025484</v>
          </cell>
        </row>
        <row r="478">
          <cell r="CI478" t="str">
            <v>Fort</v>
          </cell>
          <cell r="CJ478">
            <v>11.180805682031098</v>
          </cell>
          <cell r="CK478">
            <v>11.209419335751202</v>
          </cell>
          <cell r="CL478">
            <v>-0.25526437064267682</v>
          </cell>
          <cell r="CM478">
            <v>0.13176934180428462</v>
          </cell>
          <cell r="CN478">
            <v>1.0137554422540294</v>
          </cell>
          <cell r="CO478">
            <v>-87.001860970403001</v>
          </cell>
          <cell r="CP478">
            <v>6.7385353917134223</v>
          </cell>
          <cell r="CQ478">
            <v>3.8121302649451883</v>
          </cell>
          <cell r="CR478">
            <v>-76.765611964477571</v>
          </cell>
          <cell r="CS478">
            <v>0.26577372331105154</v>
          </cell>
          <cell r="CT478">
            <v>0.36260255898679106</v>
          </cell>
          <cell r="CU478">
            <v>26.703847856536171</v>
          </cell>
          <cell r="CV478">
            <v>4.3082659088109079</v>
          </cell>
          <cell r="CW478">
            <v>8.048441954073251</v>
          </cell>
          <cell r="CX478">
            <v>-46.470808469575537</v>
          </cell>
        </row>
        <row r="479">
          <cell r="CI479" t="str">
            <v>Malabe</v>
          </cell>
          <cell r="CJ479">
            <v>13.115981041713006</v>
          </cell>
          <cell r="CK479">
            <v>15.144626452657088</v>
          </cell>
          <cell r="CL479">
            <v>-13.395149872370476</v>
          </cell>
          <cell r="CM479">
            <v>0.99716137126711368</v>
          </cell>
          <cell r="CN479">
            <v>1.1105217747024645</v>
          </cell>
          <cell r="CO479">
            <v>-10.207850581383044</v>
          </cell>
          <cell r="CP479">
            <v>11.861821228271383</v>
          </cell>
          <cell r="CQ479">
            <v>10.297572817472897</v>
          </cell>
          <cell r="CR479">
            <v>-15.190457387630929</v>
          </cell>
          <cell r="CS479">
            <v>0.3546176646343227</v>
          </cell>
          <cell r="CT479">
            <v>1.2588177490953607</v>
          </cell>
          <cell r="CU479">
            <v>71.829308500840099</v>
          </cell>
          <cell r="CV479">
            <v>1.8967035200744127</v>
          </cell>
          <cell r="CW479">
            <v>4.6987576607912933</v>
          </cell>
          <cell r="CX479">
            <v>-59.633936095461479</v>
          </cell>
        </row>
        <row r="480">
          <cell r="CI480" t="str">
            <v>Negombo</v>
          </cell>
          <cell r="CJ480">
            <v>11.399659292668337</v>
          </cell>
          <cell r="CK480">
            <v>12.751837696310012</v>
          </cell>
          <cell r="CL480">
            <v>-10.603792455992078</v>
          </cell>
          <cell r="CM480">
            <v>2.4364250772236695</v>
          </cell>
          <cell r="CN480">
            <v>1.5693590876964949</v>
          </cell>
          <cell r="CO480">
            <v>55.24968736121788</v>
          </cell>
          <cell r="CP480">
            <v>10.257783802010321</v>
          </cell>
          <cell r="CQ480">
            <v>7.6320087629177431</v>
          </cell>
          <cell r="CR480">
            <v>-34.404769709524487</v>
          </cell>
          <cell r="CS480">
            <v>0.44470018878625978</v>
          </cell>
          <cell r="CT480">
            <v>1.0603980208510668</v>
          </cell>
          <cell r="CU480">
            <v>58.062899020751935</v>
          </cell>
          <cell r="CV480">
            <v>3.1336003790954257</v>
          </cell>
          <cell r="CW480">
            <v>5.6287900002376983</v>
          </cell>
          <cell r="CX480">
            <v>-44.329058661575637</v>
          </cell>
        </row>
        <row r="481">
          <cell r="CI481" t="str">
            <v>Rajagiriya</v>
          </cell>
          <cell r="CJ481">
            <v>18.195819190772323</v>
          </cell>
          <cell r="CK481">
            <v>16.310457080932796</v>
          </cell>
          <cell r="CL481">
            <v>11.559223021674525</v>
          </cell>
          <cell r="CM481">
            <v>1.0172092489430342</v>
          </cell>
          <cell r="CN481">
            <v>1.0198227652104124</v>
          </cell>
          <cell r="CO481">
            <v>-0.25627161468972798</v>
          </cell>
          <cell r="CP481">
            <v>12.020828225826209</v>
          </cell>
          <cell r="CQ481">
            <v>8.4026958944436743</v>
          </cell>
          <cell r="CR481">
            <v>-43.05918453832232</v>
          </cell>
          <cell r="CS481">
            <v>0.65570327153932295</v>
          </cell>
          <cell r="CT481">
            <v>1.3038578381750712</v>
          </cell>
          <cell r="CU481">
            <v>49.710524234983311</v>
          </cell>
          <cell r="CV481">
            <v>6.5364969423498227</v>
          </cell>
          <cell r="CW481">
            <v>7.6237261135244649</v>
          </cell>
          <cell r="CX481">
            <v>-14.26112579314597</v>
          </cell>
        </row>
        <row r="482">
          <cell r="CI482" t="str">
            <v>Boralesgamuwa</v>
          </cell>
          <cell r="CJ482">
            <v>10.456220352730657</v>
          </cell>
          <cell r="CK482">
            <v>15.075090526716428</v>
          </cell>
          <cell r="CL482">
            <v>-30.639087478778993</v>
          </cell>
          <cell r="CM482">
            <v>0.7568613589838995</v>
          </cell>
          <cell r="CN482">
            <v>1.2302550700238102</v>
          </cell>
          <cell r="CO482">
            <v>-38.479313971105903</v>
          </cell>
          <cell r="CP482">
            <v>14.471963656159215</v>
          </cell>
          <cell r="CQ482">
            <v>15.666045507973511</v>
          </cell>
          <cell r="CR482">
            <v>7.6221012584608356</v>
          </cell>
          <cell r="CS482">
            <v>0.75931168869812515</v>
          </cell>
          <cell r="CT482">
            <v>2.0730110710278367</v>
          </cell>
          <cell r="CU482">
            <v>63.371556509746739</v>
          </cell>
          <cell r="CV482">
            <v>-4.0181936331427828</v>
          </cell>
          <cell r="CW482">
            <v>-1.4337109822611094</v>
          </cell>
          <cell r="CX482">
            <v>-180.26524751911148</v>
          </cell>
        </row>
        <row r="483">
          <cell r="CI483" t="str">
            <v>Pitakotte</v>
          </cell>
          <cell r="CJ483">
            <v>15.781073837167819</v>
          </cell>
          <cell r="CK483">
            <v>16.517772399659776</v>
          </cell>
          <cell r="CL483">
            <v>-4.4600358006333325</v>
          </cell>
          <cell r="CM483">
            <v>1.2582498020587802</v>
          </cell>
          <cell r="CN483">
            <v>1.4587466180293294</v>
          </cell>
          <cell r="CO483">
            <v>-13.744457981428409</v>
          </cell>
          <cell r="CP483">
            <v>11.966302299734231</v>
          </cell>
          <cell r="CQ483">
            <v>11.04477553249704</v>
          </cell>
          <cell r="CR483">
            <v>-8.3435536061894897</v>
          </cell>
          <cell r="CS483">
            <v>1.5008142552890669</v>
          </cell>
          <cell r="CT483">
            <v>2.0308620965844226</v>
          </cell>
          <cell r="CU483">
            <v>26.099647149198823</v>
          </cell>
          <cell r="CV483">
            <v>3.5722070842033014</v>
          </cell>
          <cell r="CW483">
            <v>4.900881388607643</v>
          </cell>
          <cell r="CX483">
            <v>-27.110925546839699</v>
          </cell>
        </row>
        <row r="484">
          <cell r="CI484" t="str">
            <v>Panadura</v>
          </cell>
          <cell r="CJ484">
            <v>14.004300021954455</v>
          </cell>
          <cell r="CK484">
            <v>16.442801198729629</v>
          </cell>
          <cell r="CL484">
            <v>-14.830205311754138</v>
          </cell>
          <cell r="CM484">
            <v>0.85286087089914508</v>
          </cell>
          <cell r="CN484">
            <v>1.0274685854791692</v>
          </cell>
          <cell r="CO484">
            <v>-16.993971109938531</v>
          </cell>
          <cell r="CP484">
            <v>10.937543691160837</v>
          </cell>
          <cell r="CQ484">
            <v>11.637570774934522</v>
          </cell>
          <cell r="CR484">
            <v>6.0152337400295979</v>
          </cell>
          <cell r="CS484">
            <v>1.6324092307178109</v>
          </cell>
          <cell r="CT484">
            <v>2.4977575199847442</v>
          </cell>
          <cell r="CU484">
            <v>34.645007865784294</v>
          </cell>
          <cell r="CV484">
            <v>2.2872079709749547</v>
          </cell>
          <cell r="CW484">
            <v>3.3349414892895313</v>
          </cell>
          <cell r="CX484">
            <v>-31.416848591780944</v>
          </cell>
        </row>
        <row r="485">
          <cell r="CI485" t="str">
            <v>Kurunagala</v>
          </cell>
          <cell r="CJ485">
            <v>12.545790590588105</v>
          </cell>
          <cell r="CK485">
            <v>16.490105921645533</v>
          </cell>
          <cell r="CL485">
            <v>-23.919284386645277</v>
          </cell>
          <cell r="CM485">
            <v>1.0264918660193898</v>
          </cell>
          <cell r="CN485">
            <v>1.9728215024174673</v>
          </cell>
          <cell r="CO485">
            <v>-47.968335464635736</v>
          </cell>
          <cell r="CP485">
            <v>10.336143318216468</v>
          </cell>
          <cell r="CQ485">
            <v>13.878457774874533</v>
          </cell>
          <cell r="CR485">
            <v>25.523833513195161</v>
          </cell>
          <cell r="CS485">
            <v>1.7837176536531372</v>
          </cell>
          <cell r="CT485">
            <v>4.1370619768163239</v>
          </cell>
          <cell r="CU485">
            <v>56.884434807868232</v>
          </cell>
          <cell r="CV485">
            <v>1.4524214847378896</v>
          </cell>
          <cell r="CW485">
            <v>0.44740767237214185</v>
          </cell>
          <cell r="CX485">
            <v>224.63043761346225</v>
          </cell>
        </row>
        <row r="486">
          <cell r="CI486" t="str">
            <v>Matara</v>
          </cell>
          <cell r="CJ486">
            <v>13.517184470974689</v>
          </cell>
          <cell r="CK486">
            <v>16.940435624837495</v>
          </cell>
          <cell r="CL486">
            <v>-20.207574525673653</v>
          </cell>
          <cell r="CM486">
            <v>0.69285152976166642</v>
          </cell>
          <cell r="CN486">
            <v>1.2397190075088753</v>
          </cell>
          <cell r="CO486">
            <v>-44.112212076678496</v>
          </cell>
          <cell r="CP486">
            <v>11.213085154337474</v>
          </cell>
          <cell r="CQ486">
            <v>17.70205175821939</v>
          </cell>
          <cell r="CR486">
            <v>36.656579093262273</v>
          </cell>
          <cell r="CS486">
            <v>1.9563612745888386</v>
          </cell>
          <cell r="CT486">
            <v>3.4012789167699573</v>
          </cell>
          <cell r="CU486">
            <v>42.481598173468598</v>
          </cell>
          <cell r="CV486">
            <v>1.0405895718100417</v>
          </cell>
          <cell r="CW486">
            <v>-2.9231760426429783</v>
          </cell>
          <cell r="CX486">
            <v>135.59790982924164</v>
          </cell>
        </row>
        <row r="487">
          <cell r="CI487" t="str">
            <v>Wattala</v>
          </cell>
          <cell r="CJ487">
            <v>8.4833931426065927</v>
          </cell>
          <cell r="CK487">
            <v>9.3552476079242908</v>
          </cell>
          <cell r="CL487">
            <v>-9.3194162448378215</v>
          </cell>
          <cell r="CM487">
            <v>1.9270396476472118</v>
          </cell>
          <cell r="CN487">
            <v>1.649796637152132</v>
          </cell>
          <cell r="CO487">
            <v>16.804677876762732</v>
          </cell>
          <cell r="CP487">
            <v>10.523290790031609</v>
          </cell>
          <cell r="CQ487">
            <v>16.894137325418914</v>
          </cell>
          <cell r="CR487">
            <v>37.710398658839658</v>
          </cell>
          <cell r="CS487">
            <v>2.3145129604954287</v>
          </cell>
          <cell r="CT487">
            <v>4.6338130065682668</v>
          </cell>
          <cell r="CU487">
            <v>50.051653849331259</v>
          </cell>
          <cell r="CV487">
            <v>-2.4273709602732327</v>
          </cell>
          <cell r="CW487">
            <v>-10.52290608691076</v>
          </cell>
          <cell r="CX487">
            <v>76.932503813821995</v>
          </cell>
        </row>
        <row r="488">
          <cell r="CI488" t="str">
            <v>Pelawatte</v>
          </cell>
          <cell r="CJ488">
            <v>14.740031498404004</v>
          </cell>
          <cell r="CK488">
            <v>17.329696825726199</v>
          </cell>
          <cell r="CL488">
            <v>-14.943512015038813</v>
          </cell>
          <cell r="CM488">
            <v>1.071099237897982</v>
          </cell>
          <cell r="CN488">
            <v>1.1161675695351934</v>
          </cell>
          <cell r="CO488">
            <v>-4.037774691481065</v>
          </cell>
          <cell r="CP488">
            <v>11.901802518077259</v>
          </cell>
          <cell r="CQ488">
            <v>10.216070972444484</v>
          </cell>
          <cell r="CR488">
            <v>-16.500781466570178</v>
          </cell>
          <cell r="CS488">
            <v>1.7310197222333135</v>
          </cell>
          <cell r="CT488">
            <v>2.3562705680029716</v>
          </cell>
          <cell r="CU488">
            <v>26.535613280591196</v>
          </cell>
          <cell r="CV488">
            <v>2.1783084959914127</v>
          </cell>
          <cell r="CW488">
            <v>5.8735228548139364</v>
          </cell>
          <cell r="CX488">
            <v>-62.913083853822549</v>
          </cell>
        </row>
        <row r="489">
          <cell r="CI489" t="str">
            <v>Gampaha</v>
          </cell>
          <cell r="CJ489">
            <v>11.133944989280916</v>
          </cell>
          <cell r="CK489">
            <v>18.416440731383389</v>
          </cell>
          <cell r="CL489">
            <v>-39.543448423735853</v>
          </cell>
          <cell r="CM489">
            <v>1.6923948483653504</v>
          </cell>
          <cell r="CN489">
            <v>2.2561075345924388</v>
          </cell>
          <cell r="CO489">
            <v>-24.986073473174319</v>
          </cell>
          <cell r="CP489">
            <v>12.251272595686832</v>
          </cell>
          <cell r="CQ489">
            <v>14.033556513552314</v>
          </cell>
          <cell r="CR489">
            <v>12.700158481881035</v>
          </cell>
          <cell r="CS489">
            <v>3.1103424263665009</v>
          </cell>
          <cell r="CT489">
            <v>5.8787709166716544</v>
          </cell>
          <cell r="CU489">
            <v>47.09196070991888</v>
          </cell>
          <cell r="CV489">
            <v>-2.5352751844070642</v>
          </cell>
          <cell r="CW489">
            <v>0.76022083575185717</v>
          </cell>
          <cell r="CX489">
            <v>-433.49193618189662</v>
          </cell>
        </row>
        <row r="490">
          <cell r="CI490" t="str">
            <v>Ja-ela</v>
          </cell>
          <cell r="CJ490">
            <v>14.485675352658994</v>
          </cell>
          <cell r="CK490">
            <v>17.012946763611573</v>
          </cell>
          <cell r="CL490">
            <v>-14.854989238889974</v>
          </cell>
          <cell r="CM490">
            <v>3.1902552125736143</v>
          </cell>
          <cell r="CN490">
            <v>4.4042056446517073</v>
          </cell>
          <cell r="CO490">
            <v>-27.56343663362464</v>
          </cell>
          <cell r="CP490">
            <v>13.061292060240595</v>
          </cell>
          <cell r="CQ490">
            <v>17.274786708352632</v>
          </cell>
          <cell r="CR490">
            <v>24.391008232100177</v>
          </cell>
          <cell r="CS490">
            <v>4.2464629443787878</v>
          </cell>
          <cell r="CT490">
            <v>3.3733478058708593</v>
          </cell>
          <cell r="CU490">
            <v>-25.882748793005835</v>
          </cell>
          <cell r="CV490">
            <v>0.3681755606132231</v>
          </cell>
          <cell r="CW490">
            <v>0.76901789403979059</v>
          </cell>
          <cell r="CX490">
            <v>-52.123928003920682</v>
          </cell>
        </row>
        <row r="491">
          <cell r="CI491" t="str">
            <v>Piliyandala</v>
          </cell>
          <cell r="CJ491">
            <v>11.86743911716575</v>
          </cell>
          <cell r="CK491">
            <v>15.557257739798477</v>
          </cell>
          <cell r="CL491">
            <v>-23.717667241530982</v>
          </cell>
          <cell r="CM491">
            <v>0.86404450728085058</v>
          </cell>
          <cell r="CN491">
            <v>1.8640263137835313</v>
          </cell>
          <cell r="CO491">
            <v>-53.64633530698152</v>
          </cell>
          <cell r="CP491">
            <v>10.471012677617304</v>
          </cell>
          <cell r="CQ491">
            <v>21.848687843698102</v>
          </cell>
          <cell r="CR491">
            <v>52.074867138359991</v>
          </cell>
          <cell r="CS491">
            <v>3.8844207085706044</v>
          </cell>
          <cell r="CT491">
            <v>0</v>
          </cell>
          <cell r="CU491">
            <v>0</v>
          </cell>
          <cell r="CV491">
            <v>-1.6239497617413083</v>
          </cell>
          <cell r="CW491">
            <v>-4.4274037901160925</v>
          </cell>
          <cell r="CX491">
            <v>63.320495741394168</v>
          </cell>
        </row>
        <row r="492">
          <cell r="CI492" t="str">
            <v>Chilaw</v>
          </cell>
          <cell r="CJ492">
            <v>12.628310631966677</v>
          </cell>
          <cell r="CK492">
            <v>15.334866138852888</v>
          </cell>
          <cell r="CL492">
            <v>-17.649684597042544</v>
          </cell>
          <cell r="CM492">
            <v>1.4420873147708515</v>
          </cell>
          <cell r="CN492">
            <v>2.0504212668328012</v>
          </cell>
          <cell r="CO492">
            <v>-29.668730124010921</v>
          </cell>
          <cell r="CP492">
            <v>14.743344211121986</v>
          </cell>
          <cell r="CQ492">
            <v>24.622234264027902</v>
          </cell>
          <cell r="CR492">
            <v>40.121826260659773</v>
          </cell>
          <cell r="CS492">
            <v>4.0166523147661035</v>
          </cell>
          <cell r="CT492">
            <v>0</v>
          </cell>
          <cell r="CU492">
            <v>0</v>
          </cell>
          <cell r="CV492">
            <v>-4.6895985791505623</v>
          </cell>
          <cell r="CW492">
            <v>-7.2369468583422112</v>
          </cell>
          <cell r="CX492">
            <v>35.19921216853011</v>
          </cell>
        </row>
        <row r="493">
          <cell r="CI493" t="str">
            <v>Ratnapura</v>
          </cell>
          <cell r="CJ493">
            <v>9.41511631103719</v>
          </cell>
          <cell r="CK493">
            <v>12.251897714712513</v>
          </cell>
          <cell r="CL493">
            <v>-23.153812329569281</v>
          </cell>
          <cell r="CM493">
            <v>2.1971673039017983</v>
          </cell>
          <cell r="CN493">
            <v>2.0476482550790194</v>
          </cell>
          <cell r="CO493">
            <v>7.3019889256814228</v>
          </cell>
          <cell r="CP493">
            <v>10.820763518543526</v>
          </cell>
          <cell r="CQ493">
            <v>18.093646550256132</v>
          </cell>
          <cell r="CR493">
            <v>40.19578370513517</v>
          </cell>
          <cell r="CS493">
            <v>3.5127352903199314</v>
          </cell>
          <cell r="CT493">
            <v>0</v>
          </cell>
          <cell r="CU493">
            <v>0</v>
          </cell>
          <cell r="CV493">
            <v>-2.7212151939244693</v>
          </cell>
          <cell r="CW493">
            <v>-3.7941005804646015</v>
          </cell>
          <cell r="CX493">
            <v>28.277726533247399</v>
          </cell>
        </row>
        <row r="494">
          <cell r="CI494" t="str">
            <v>Nawala</v>
          </cell>
          <cell r="CJ494">
            <v>12.589015911571192</v>
          </cell>
          <cell r="CK494">
            <v>16.103855981170639</v>
          </cell>
          <cell r="CL494">
            <v>-21.826077392328635</v>
          </cell>
          <cell r="CM494">
            <v>2.3111400579947436</v>
          </cell>
          <cell r="CN494">
            <v>1.5484958375794962</v>
          </cell>
          <cell r="CO494">
            <v>49.250647105862505</v>
          </cell>
          <cell r="CP494">
            <v>9.7967921554678234</v>
          </cell>
          <cell r="CQ494">
            <v>10.60508191690618</v>
          </cell>
          <cell r="CR494">
            <v>7.6217210557309736</v>
          </cell>
          <cell r="CS494">
            <v>2.6049031294263769</v>
          </cell>
          <cell r="CT494">
            <v>0</v>
          </cell>
          <cell r="CU494">
            <v>0</v>
          </cell>
          <cell r="CV494">
            <v>2.4984606846717345</v>
          </cell>
          <cell r="CW494">
            <v>7.0472699018439586</v>
          </cell>
          <cell r="CX494">
            <v>-64.547112293542227</v>
          </cell>
        </row>
        <row r="495">
          <cell r="CI495" t="str">
            <v>Collupitiya</v>
          </cell>
          <cell r="CJ495">
            <v>14.7920619175966</v>
          </cell>
          <cell r="CK495">
            <v>16.144241557294873</v>
          </cell>
          <cell r="CL495">
            <v>-8.3756157568596468</v>
          </cell>
          <cell r="CM495">
            <v>0.94717933250305608</v>
          </cell>
          <cell r="CN495">
            <v>0.70255298386684883</v>
          </cell>
          <cell r="CO495">
            <v>34.819629871868848</v>
          </cell>
          <cell r="CP495">
            <v>13.478347021121692</v>
          </cell>
          <cell r="CQ495">
            <v>14.647343610735769</v>
          </cell>
          <cell r="CR495">
            <v>7.9809460382786455</v>
          </cell>
          <cell r="CS495">
            <v>2.0722840564341913</v>
          </cell>
          <cell r="CT495">
            <v>0</v>
          </cell>
          <cell r="CU495">
            <v>0</v>
          </cell>
          <cell r="CV495">
            <v>0.18861017254377016</v>
          </cell>
          <cell r="CW495">
            <v>2.1994509304259524</v>
          </cell>
          <cell r="CX495">
            <v>-91.424670133138946</v>
          </cell>
        </row>
        <row r="496">
          <cell r="CI496" t="str">
            <v>Dehiwala</v>
          </cell>
          <cell r="CJ496">
            <v>14.258105820378555</v>
          </cell>
          <cell r="CK496">
            <v>15.6172000379784</v>
          </cell>
          <cell r="CL496">
            <v>-8.7025472830901602</v>
          </cell>
          <cell r="CM496">
            <v>1.2479418244287606</v>
          </cell>
          <cell r="CN496">
            <v>0.76118692981898606</v>
          </cell>
          <cell r="CO496">
            <v>0</v>
          </cell>
          <cell r="CP496">
            <v>19.737097411477261</v>
          </cell>
          <cell r="CQ496">
            <v>14.157813361612154</v>
          </cell>
          <cell r="CR496">
            <v>-39.407809012321884</v>
          </cell>
          <cell r="CS496">
            <v>1.4810045253603767</v>
          </cell>
          <cell r="CT496">
            <v>0</v>
          </cell>
          <cell r="CU496">
            <v>0</v>
          </cell>
          <cell r="CV496">
            <v>-5.7120542920303228</v>
          </cell>
          <cell r="CW496">
            <v>2.2205736061852335</v>
          </cell>
          <cell r="CX496">
            <v>-357.23327865015796</v>
          </cell>
        </row>
        <row r="497">
          <cell r="CI497" t="str">
            <v>Thibirigasyaya</v>
          </cell>
          <cell r="CJ497">
            <v>14.907485910554573</v>
          </cell>
          <cell r="CK497">
            <v>15.807551587159397</v>
          </cell>
          <cell r="CL497">
            <v>-5.6938968166072854</v>
          </cell>
          <cell r="CM497">
            <v>0.35349243222301757</v>
          </cell>
          <cell r="CN497">
            <v>0.14657317723446656</v>
          </cell>
          <cell r="CO497">
            <v>0</v>
          </cell>
          <cell r="CP497">
            <v>14.092557339024832</v>
          </cell>
          <cell r="CQ497">
            <v>16.086025585796609</v>
          </cell>
          <cell r="CR497">
            <v>12.392546786273535</v>
          </cell>
          <cell r="CS497">
            <v>2.0009186934979164</v>
          </cell>
          <cell r="CT497">
            <v>0</v>
          </cell>
          <cell r="CU497">
            <v>0</v>
          </cell>
          <cell r="CV497">
            <v>-0.83249768974515947</v>
          </cell>
          <cell r="CW497">
            <v>-0.13190082140274542</v>
          </cell>
          <cell r="CX497">
            <v>-531.15428766225386</v>
          </cell>
        </row>
        <row r="498">
          <cell r="CI498" t="str">
            <v>Moratuwa</v>
          </cell>
          <cell r="CJ498">
            <v>14.639030769044318</v>
          </cell>
          <cell r="CK498">
            <v>16.030053291975136</v>
          </cell>
          <cell r="CL498">
            <v>-8.677591381603099</v>
          </cell>
          <cell r="CM498">
            <v>0.99352836380057519</v>
          </cell>
          <cell r="CN498">
            <v>1.0992942582977263</v>
          </cell>
          <cell r="CO498">
            <v>-9.621254154545591</v>
          </cell>
          <cell r="CP498">
            <v>9.6790263717792193</v>
          </cell>
          <cell r="CQ498">
            <v>16.922567766650133</v>
          </cell>
          <cell r="CR498">
            <v>42.804032430267476</v>
          </cell>
          <cell r="CS498">
            <v>1.6544227695454554</v>
          </cell>
          <cell r="CT498">
            <v>0</v>
          </cell>
          <cell r="CU498">
            <v>0</v>
          </cell>
          <cell r="CV498">
            <v>4.2991099915202193</v>
          </cell>
          <cell r="CW498">
            <v>0.20677978362273033</v>
          </cell>
          <cell r="CX498">
            <v>1979.0765500383466</v>
          </cell>
        </row>
        <row r="499">
          <cell r="CI499" t="str">
            <v>Kegalle</v>
          </cell>
          <cell r="CJ499">
            <v>8.6612242397426673</v>
          </cell>
          <cell r="CK499">
            <v>0</v>
          </cell>
          <cell r="CL499">
            <v>0</v>
          </cell>
          <cell r="CM499">
            <v>0.89200547410484987</v>
          </cell>
          <cell r="CN499">
            <v>0</v>
          </cell>
          <cell r="CO499">
            <v>0</v>
          </cell>
          <cell r="CP499">
            <v>15.117986823810211</v>
          </cell>
          <cell r="CQ499">
            <v>0</v>
          </cell>
          <cell r="CR499">
            <v>0</v>
          </cell>
          <cell r="CS499">
            <v>0</v>
          </cell>
          <cell r="CT499">
            <v>0</v>
          </cell>
          <cell r="CU499">
            <v>0</v>
          </cell>
          <cell r="CV499">
            <v>-5.5647571099626942</v>
          </cell>
          <cell r="CW499">
            <v>0</v>
          </cell>
          <cell r="CX499">
            <v>0</v>
          </cell>
        </row>
        <row r="500">
          <cell r="CI500" t="str">
            <v>Kadawatha</v>
          </cell>
          <cell r="CJ500">
            <v>14.883744297834561</v>
          </cell>
          <cell r="CK500">
            <v>0</v>
          </cell>
          <cell r="CL500">
            <v>0</v>
          </cell>
          <cell r="CM500">
            <v>1.3352091474869985</v>
          </cell>
          <cell r="CN500">
            <v>0</v>
          </cell>
          <cell r="CO500">
            <v>0</v>
          </cell>
          <cell r="CP500">
            <v>19.45749997004917</v>
          </cell>
          <cell r="CQ500">
            <v>0</v>
          </cell>
          <cell r="CR500">
            <v>0</v>
          </cell>
          <cell r="CS500">
            <v>0</v>
          </cell>
          <cell r="CT500">
            <v>0</v>
          </cell>
          <cell r="CU500">
            <v>0</v>
          </cell>
          <cell r="CV500">
            <v>-3.2385465247276111</v>
          </cell>
          <cell r="CW500">
            <v>0</v>
          </cell>
          <cell r="CX500">
            <v>0</v>
          </cell>
        </row>
        <row r="501">
          <cell r="CI501" t="str">
            <v>Aluthgama</v>
          </cell>
          <cell r="CJ501">
            <v>16.207369497779929</v>
          </cell>
          <cell r="CK501">
            <v>0</v>
          </cell>
          <cell r="CL501">
            <v>0</v>
          </cell>
          <cell r="CM501">
            <v>1.090186248280631</v>
          </cell>
          <cell r="CN501">
            <v>0</v>
          </cell>
          <cell r="CO501">
            <v>0</v>
          </cell>
          <cell r="CP501">
            <v>17.98960803057453</v>
          </cell>
          <cell r="CQ501">
            <v>0</v>
          </cell>
          <cell r="CR501">
            <v>0</v>
          </cell>
          <cell r="CS501">
            <v>0</v>
          </cell>
          <cell r="CT501">
            <v>0</v>
          </cell>
          <cell r="CU501">
            <v>0</v>
          </cell>
          <cell r="CV501">
            <v>-0.69205228451396805</v>
          </cell>
          <cell r="CW501">
            <v>0</v>
          </cell>
          <cell r="CX501">
            <v>0</v>
          </cell>
        </row>
        <row r="502">
          <cell r="CI502" t="str">
            <v>Park Road</v>
          </cell>
          <cell r="CJ502">
            <v>13.635143321118345</v>
          </cell>
          <cell r="CK502">
            <v>0</v>
          </cell>
          <cell r="CL502">
            <v>0</v>
          </cell>
          <cell r="CM502">
            <v>0.68038512773550219</v>
          </cell>
          <cell r="CN502">
            <v>0</v>
          </cell>
          <cell r="CO502">
            <v>0</v>
          </cell>
          <cell r="CP502">
            <v>11.631590344657358</v>
          </cell>
          <cell r="CQ502">
            <v>0</v>
          </cell>
          <cell r="CR502">
            <v>0</v>
          </cell>
          <cell r="CS502">
            <v>0</v>
          </cell>
          <cell r="CT502">
            <v>0</v>
          </cell>
          <cell r="CU502">
            <v>0</v>
          </cell>
          <cell r="CV502">
            <v>2.6839381041964887</v>
          </cell>
          <cell r="CW502">
            <v>0</v>
          </cell>
          <cell r="CX502">
            <v>0</v>
          </cell>
        </row>
        <row r="503">
          <cell r="CI503" t="str">
            <v>Kotahena</v>
          </cell>
          <cell r="CJ503">
            <v>15.55958960368033</v>
          </cell>
          <cell r="CK503">
            <v>0</v>
          </cell>
          <cell r="CL503">
            <v>0</v>
          </cell>
          <cell r="CM503">
            <v>2.1887021084382248</v>
          </cell>
          <cell r="CN503">
            <v>0</v>
          </cell>
          <cell r="CO503">
            <v>0</v>
          </cell>
          <cell r="CP503">
            <v>13.237407533804726</v>
          </cell>
          <cell r="CQ503">
            <v>0</v>
          </cell>
          <cell r="CR503">
            <v>0</v>
          </cell>
          <cell r="CS503">
            <v>0</v>
          </cell>
          <cell r="CT503">
            <v>0</v>
          </cell>
          <cell r="CU503">
            <v>0</v>
          </cell>
          <cell r="CV503">
            <v>4.5108841783138294</v>
          </cell>
          <cell r="CW503">
            <v>0</v>
          </cell>
          <cell r="CX503">
            <v>0</v>
          </cell>
        </row>
        <row r="504">
          <cell r="CI504" t="str">
            <v>Ambalangoda</v>
          </cell>
          <cell r="CJ504">
            <v>13.524695947442659</v>
          </cell>
          <cell r="CK504">
            <v>0</v>
          </cell>
          <cell r="CL504">
            <v>0</v>
          </cell>
          <cell r="CM504">
            <v>1.0154884872154228</v>
          </cell>
          <cell r="CN504">
            <v>0</v>
          </cell>
          <cell r="CO504">
            <v>0</v>
          </cell>
          <cell r="CP504">
            <v>20.012163408807755</v>
          </cell>
          <cell r="CQ504">
            <v>0</v>
          </cell>
          <cell r="CR504">
            <v>0</v>
          </cell>
          <cell r="CS504">
            <v>8.6633762834670031E-2</v>
          </cell>
          <cell r="CT504">
            <v>0</v>
          </cell>
          <cell r="CU504">
            <v>0</v>
          </cell>
          <cell r="CV504">
            <v>-5.5586127369843403</v>
          </cell>
          <cell r="CW504">
            <v>0</v>
          </cell>
          <cell r="CX504">
            <v>0</v>
          </cell>
        </row>
        <row r="505">
          <cell r="CI505" t="str">
            <v>Katugastota</v>
          </cell>
          <cell r="CJ505">
            <v>12.218325658464552</v>
          </cell>
          <cell r="CK505">
            <v>0</v>
          </cell>
          <cell r="CL505">
            <v>0</v>
          </cell>
          <cell r="CM505">
            <v>1.1096196820030448</v>
          </cell>
          <cell r="CN505">
            <v>0</v>
          </cell>
          <cell r="CO505">
            <v>0</v>
          </cell>
          <cell r="CP505">
            <v>11.141618622716388</v>
          </cell>
          <cell r="CQ505">
            <v>0</v>
          </cell>
          <cell r="CR505">
            <v>0</v>
          </cell>
          <cell r="CS505">
            <v>0</v>
          </cell>
          <cell r="CT505">
            <v>0</v>
          </cell>
          <cell r="CU505">
            <v>0</v>
          </cell>
          <cell r="CV505">
            <v>2.1863267177512089</v>
          </cell>
          <cell r="CW505">
            <v>0</v>
          </cell>
          <cell r="CX505">
            <v>0</v>
          </cell>
        </row>
        <row r="506">
          <cell r="CI506" t="str">
            <v>Beruwela</v>
          </cell>
          <cell r="CJ506">
            <v>13.720727037897895</v>
          </cell>
          <cell r="CK506">
            <v>0</v>
          </cell>
          <cell r="CL506">
            <v>0</v>
          </cell>
          <cell r="CM506">
            <v>1.2472901507760612</v>
          </cell>
          <cell r="CN506">
            <v>0</v>
          </cell>
          <cell r="CO506">
            <v>0</v>
          </cell>
          <cell r="CP506">
            <v>20.065878335135427</v>
          </cell>
          <cell r="CQ506">
            <v>0</v>
          </cell>
          <cell r="CR506">
            <v>0</v>
          </cell>
          <cell r="CS506">
            <v>2.0226116113546983E-2</v>
          </cell>
          <cell r="CT506">
            <v>0</v>
          </cell>
          <cell r="CU506">
            <v>0</v>
          </cell>
          <cell r="CV506">
            <v>-5.1180872625750169</v>
          </cell>
          <cell r="CW506">
            <v>0</v>
          </cell>
          <cell r="CX506">
            <v>0</v>
          </cell>
        </row>
        <row r="507">
          <cell r="CI507" t="str">
            <v>Warakapola</v>
          </cell>
          <cell r="CJ507">
            <v>11.27580024590968</v>
          </cell>
          <cell r="CK507">
            <v>0</v>
          </cell>
          <cell r="CL507">
            <v>0</v>
          </cell>
          <cell r="CM507">
            <v>1.1680700291492567</v>
          </cell>
          <cell r="CN507">
            <v>0</v>
          </cell>
          <cell r="CO507">
            <v>0</v>
          </cell>
          <cell r="CP507">
            <v>16.483358973024252</v>
          </cell>
          <cell r="CQ507">
            <v>0</v>
          </cell>
          <cell r="CR507">
            <v>0</v>
          </cell>
          <cell r="CS507">
            <v>4.0991312624494907E-3</v>
          </cell>
          <cell r="CT507">
            <v>0</v>
          </cell>
          <cell r="CU507">
            <v>0</v>
          </cell>
          <cell r="CV507">
            <v>-4.0435878292277634</v>
          </cell>
          <cell r="CW507">
            <v>0</v>
          </cell>
          <cell r="CX507">
            <v>0</v>
          </cell>
        </row>
        <row r="508">
          <cell r="CI508" t="str">
            <v>Karagampitiya</v>
          </cell>
          <cell r="CJ508">
            <v>14.452865239485559</v>
          </cell>
          <cell r="CK508">
            <v>0</v>
          </cell>
          <cell r="CL508">
            <v>0</v>
          </cell>
          <cell r="CM508">
            <v>0.94961207525628388</v>
          </cell>
          <cell r="CN508">
            <v>0</v>
          </cell>
          <cell r="CO508">
            <v>0</v>
          </cell>
          <cell r="CP508">
            <v>22.819089188768125</v>
          </cell>
          <cell r="CQ508">
            <v>0</v>
          </cell>
          <cell r="CR508">
            <v>0</v>
          </cell>
          <cell r="CS508">
            <v>0</v>
          </cell>
          <cell r="CT508">
            <v>0</v>
          </cell>
          <cell r="CU508">
            <v>0</v>
          </cell>
          <cell r="CV508">
            <v>-7.4166118740262812</v>
          </cell>
          <cell r="CW508">
            <v>0</v>
          </cell>
          <cell r="CX508">
            <v>0</v>
          </cell>
        </row>
        <row r="509">
          <cell r="CI509" t="str">
            <v>Mathale</v>
          </cell>
          <cell r="CJ509">
            <v>9.5503208927293191</v>
          </cell>
          <cell r="CK509">
            <v>0</v>
          </cell>
          <cell r="CL509">
            <v>0</v>
          </cell>
          <cell r="CM509">
            <v>1.2896047736355432E-2</v>
          </cell>
          <cell r="CN509">
            <v>0</v>
          </cell>
          <cell r="CO509">
            <v>0</v>
          </cell>
          <cell r="CP509">
            <v>12.056436283656561</v>
          </cell>
          <cell r="CQ509">
            <v>0</v>
          </cell>
          <cell r="CR509">
            <v>0</v>
          </cell>
          <cell r="CS509">
            <v>2.5595339287175505E-3</v>
          </cell>
          <cell r="CT509">
            <v>0</v>
          </cell>
          <cell r="CU509">
            <v>0</v>
          </cell>
          <cell r="CV509">
            <v>-2.4957788771196046</v>
          </cell>
          <cell r="CW509">
            <v>0</v>
          </cell>
          <cell r="CX509">
            <v>0</v>
          </cell>
        </row>
        <row r="510">
          <cell r="CI510" t="str">
            <v>Peliyagoda</v>
          </cell>
          <cell r="CJ510">
            <v>13.192782242807491</v>
          </cell>
          <cell r="CK510">
            <v>0</v>
          </cell>
          <cell r="CL510">
            <v>0</v>
          </cell>
          <cell r="CM510">
            <v>5.5749116095872943E-2</v>
          </cell>
          <cell r="CN510">
            <v>0</v>
          </cell>
          <cell r="CO510">
            <v>0</v>
          </cell>
          <cell r="CP510">
            <v>23.16265584168028</v>
          </cell>
          <cell r="CQ510">
            <v>0</v>
          </cell>
          <cell r="CR510">
            <v>0</v>
          </cell>
          <cell r="CS510">
            <v>0</v>
          </cell>
          <cell r="CT510">
            <v>0</v>
          </cell>
          <cell r="CU510">
            <v>0</v>
          </cell>
          <cell r="CV510">
            <v>-9.9141244827769146</v>
          </cell>
          <cell r="CW510">
            <v>0</v>
          </cell>
          <cell r="CX510">
            <v>0</v>
          </cell>
        </row>
        <row r="511">
          <cell r="CI511" t="str">
            <v>Kelaniya</v>
          </cell>
          <cell r="CJ511">
            <v>14.585076795310053</v>
          </cell>
          <cell r="CK511">
            <v>0</v>
          </cell>
          <cell r="CL511">
            <v>0</v>
          </cell>
          <cell r="CM511">
            <v>1.2450362480158756</v>
          </cell>
          <cell r="CN511">
            <v>0</v>
          </cell>
          <cell r="CO511">
            <v>0</v>
          </cell>
          <cell r="CP511">
            <v>16.664004518015837</v>
          </cell>
          <cell r="CQ511">
            <v>0</v>
          </cell>
          <cell r="CR511">
            <v>0</v>
          </cell>
          <cell r="CS511">
            <v>0</v>
          </cell>
          <cell r="CT511">
            <v>0</v>
          </cell>
          <cell r="CU511">
            <v>0</v>
          </cell>
          <cell r="CV511">
            <v>-0.83389147468990699</v>
          </cell>
          <cell r="CW511">
            <v>0</v>
          </cell>
          <cell r="CX511">
            <v>0</v>
          </cell>
        </row>
        <row r="512">
          <cell r="CI512" t="str">
            <v>Demategoda</v>
          </cell>
          <cell r="CJ512">
            <v>15.353122191847158</v>
          </cell>
          <cell r="CK512">
            <v>0</v>
          </cell>
          <cell r="CL512">
            <v>0</v>
          </cell>
          <cell r="CM512">
            <v>1.2642084966791707</v>
          </cell>
          <cell r="CN512">
            <v>0</v>
          </cell>
          <cell r="CO512">
            <v>0</v>
          </cell>
          <cell r="CP512">
            <v>15.481553615688396</v>
          </cell>
          <cell r="CQ512">
            <v>0</v>
          </cell>
          <cell r="CR512">
            <v>0</v>
          </cell>
          <cell r="CS512">
            <v>0</v>
          </cell>
          <cell r="CT512">
            <v>0</v>
          </cell>
          <cell r="CU512">
            <v>0</v>
          </cell>
          <cell r="CV512">
            <v>1.1357770728379297</v>
          </cell>
          <cell r="CW512">
            <v>0</v>
          </cell>
          <cell r="CX512">
            <v>0</v>
          </cell>
        </row>
        <row r="513">
          <cell r="CI513" t="str">
            <v>Kolannawa</v>
          </cell>
          <cell r="CJ513">
            <v>13.123859999842766</v>
          </cell>
          <cell r="CK513">
            <v>0</v>
          </cell>
          <cell r="CL513">
            <v>0</v>
          </cell>
          <cell r="CM513">
            <v>0.97017865707584738</v>
          </cell>
          <cell r="CN513">
            <v>0</v>
          </cell>
          <cell r="CO513">
            <v>0</v>
          </cell>
          <cell r="CP513">
            <v>9.7598520566186906</v>
          </cell>
          <cell r="CQ513">
            <v>0</v>
          </cell>
          <cell r="CR513">
            <v>0</v>
          </cell>
          <cell r="CS513">
            <v>0</v>
          </cell>
          <cell r="CT513">
            <v>0</v>
          </cell>
          <cell r="CU513">
            <v>0</v>
          </cell>
          <cell r="CV513">
            <v>4.3341866002999216</v>
          </cell>
          <cell r="CW513">
            <v>0</v>
          </cell>
          <cell r="CX513">
            <v>0</v>
          </cell>
        </row>
        <row r="514">
          <cell r="CI514" t="str">
            <v>Avissawella</v>
          </cell>
          <cell r="CJ514">
            <v>14.395936505944009</v>
          </cell>
          <cell r="CK514">
            <v>0</v>
          </cell>
          <cell r="CL514">
            <v>0</v>
          </cell>
          <cell r="CM514">
            <v>0.73286972188551414</v>
          </cell>
          <cell r="CN514">
            <v>0</v>
          </cell>
          <cell r="CO514">
            <v>0</v>
          </cell>
          <cell r="CP514">
            <v>15.100451233305842</v>
          </cell>
          <cell r="CQ514">
            <v>0</v>
          </cell>
          <cell r="CR514">
            <v>0</v>
          </cell>
          <cell r="CS514">
            <v>0</v>
          </cell>
          <cell r="CT514">
            <v>0</v>
          </cell>
          <cell r="CU514">
            <v>0</v>
          </cell>
          <cell r="CV514">
            <v>2.8354994523680909E-2</v>
          </cell>
          <cell r="CW514">
            <v>0</v>
          </cell>
          <cell r="CX514">
            <v>0</v>
          </cell>
        </row>
        <row r="515">
          <cell r="CI515" t="str">
            <v>Homagama</v>
          </cell>
          <cell r="CJ515">
            <v>14.279374577603221</v>
          </cell>
          <cell r="CK515">
            <v>0</v>
          </cell>
          <cell r="CL515">
            <v>0</v>
          </cell>
          <cell r="CM515">
            <v>0.45552509338375902</v>
          </cell>
          <cell r="CN515">
            <v>0</v>
          </cell>
          <cell r="CO515">
            <v>0</v>
          </cell>
          <cell r="CP515">
            <v>14.440443007559276</v>
          </cell>
          <cell r="CQ515">
            <v>0</v>
          </cell>
          <cell r="CR515">
            <v>0</v>
          </cell>
          <cell r="CS515">
            <v>0</v>
          </cell>
          <cell r="CT515">
            <v>0</v>
          </cell>
          <cell r="CU515">
            <v>0</v>
          </cell>
          <cell r="CV515">
            <v>0.29445666342770399</v>
          </cell>
          <cell r="CW515">
            <v>0</v>
          </cell>
          <cell r="CX515">
            <v>0</v>
          </cell>
        </row>
        <row r="516">
          <cell r="CI516" t="str">
            <v>Galle</v>
          </cell>
          <cell r="CJ516">
            <v>14.639304156473877</v>
          </cell>
          <cell r="CK516">
            <v>0</v>
          </cell>
          <cell r="CL516">
            <v>0</v>
          </cell>
          <cell r="CM516">
            <v>0.34194126174643791</v>
          </cell>
          <cell r="CN516">
            <v>0</v>
          </cell>
          <cell r="CO516">
            <v>0</v>
          </cell>
          <cell r="CP516">
            <v>11.063527191259572</v>
          </cell>
          <cell r="CQ516">
            <v>0</v>
          </cell>
          <cell r="CR516">
            <v>0</v>
          </cell>
          <cell r="CS516">
            <v>0</v>
          </cell>
          <cell r="CT516">
            <v>0</v>
          </cell>
          <cell r="CU516">
            <v>0</v>
          </cell>
          <cell r="CV516">
            <v>3.9177182269607416</v>
          </cell>
          <cell r="CW516">
            <v>0</v>
          </cell>
          <cell r="CX516">
            <v>0</v>
          </cell>
        </row>
        <row r="517">
          <cell r="CI517" t="str">
            <v>Kohuwela</v>
          </cell>
          <cell r="CJ517">
            <v>14.412252709962434</v>
          </cell>
          <cell r="CK517">
            <v>0</v>
          </cell>
          <cell r="CL517">
            <v>0</v>
          </cell>
          <cell r="CM517">
            <v>0.5737441481940585</v>
          </cell>
          <cell r="CN517">
            <v>0</v>
          </cell>
          <cell r="CO517">
            <v>0</v>
          </cell>
          <cell r="CP517">
            <v>10.386325196205643</v>
          </cell>
          <cell r="CQ517">
            <v>0</v>
          </cell>
          <cell r="CR517">
            <v>0</v>
          </cell>
          <cell r="CS517">
            <v>0</v>
          </cell>
          <cell r="CT517">
            <v>0</v>
          </cell>
          <cell r="CU517">
            <v>0</v>
          </cell>
          <cell r="CV517">
            <v>4.5996716619508504</v>
          </cell>
          <cell r="CW517">
            <v>0</v>
          </cell>
          <cell r="CX517">
            <v>0</v>
          </cell>
        </row>
        <row r="518">
          <cell r="CI518" t="str">
            <v>Mt lavinia-STC</v>
          </cell>
          <cell r="CJ518">
            <v>15.931896805676907</v>
          </cell>
          <cell r="CK518">
            <v>0</v>
          </cell>
          <cell r="CL518">
            <v>0</v>
          </cell>
          <cell r="CM518">
            <v>8.7743980717313306E-4</v>
          </cell>
          <cell r="CN518">
            <v>0</v>
          </cell>
          <cell r="CO518">
            <v>0</v>
          </cell>
          <cell r="CP518">
            <v>22.114891950976208</v>
          </cell>
          <cell r="CQ518">
            <v>0</v>
          </cell>
          <cell r="CR518">
            <v>0</v>
          </cell>
          <cell r="CS518">
            <v>0</v>
          </cell>
          <cell r="CT518">
            <v>0</v>
          </cell>
          <cell r="CU518">
            <v>0</v>
          </cell>
          <cell r="CV518">
            <v>-6.1821177054921241</v>
          </cell>
          <cell r="CW518">
            <v>0</v>
          </cell>
          <cell r="CX518">
            <v>0</v>
          </cell>
        </row>
        <row r="519">
          <cell r="CI519" t="str">
            <v>Express Matara</v>
          </cell>
          <cell r="CJ519">
            <v>14.196712669578792</v>
          </cell>
          <cell r="CK519">
            <v>14.962143148856521</v>
          </cell>
          <cell r="CL519">
            <v>-5.1157810192200097</v>
          </cell>
          <cell r="CM519">
            <v>2.3748808445944814E-4</v>
          </cell>
          <cell r="CN519">
            <v>3.9375157205315146E-5</v>
          </cell>
          <cell r="CO519">
            <v>503.14193343052932</v>
          </cell>
          <cell r="CP519">
            <v>13.613114879127217</v>
          </cell>
          <cell r="CQ519">
            <v>15.682475424783135</v>
          </cell>
          <cell r="CR519">
            <v>13.195369287081377</v>
          </cell>
          <cell r="CS519">
            <v>0</v>
          </cell>
          <cell r="CT519">
            <v>0</v>
          </cell>
          <cell r="CU519">
            <v>0</v>
          </cell>
          <cell r="CV519">
            <v>0.58383527853603401</v>
          </cell>
          <cell r="CW519">
            <v>-0.72029290076940755</v>
          </cell>
          <cell r="CX519">
            <v>181.05525931359156</v>
          </cell>
        </row>
        <row r="520">
          <cell r="CI520" t="str">
            <v>Express Maligawatte</v>
          </cell>
          <cell r="CJ520">
            <v>14.837009296048857</v>
          </cell>
          <cell r="CK520">
            <v>0</v>
          </cell>
          <cell r="CL520">
            <v>0</v>
          </cell>
          <cell r="CM520">
            <v>1.1593296857198515E-4</v>
          </cell>
          <cell r="CN520">
            <v>0</v>
          </cell>
          <cell r="CO520">
            <v>0</v>
          </cell>
          <cell r="CP520">
            <v>11.006016667465516</v>
          </cell>
          <cell r="CQ520">
            <v>0</v>
          </cell>
          <cell r="CR520">
            <v>0</v>
          </cell>
          <cell r="CS520">
            <v>0</v>
          </cell>
          <cell r="CT520">
            <v>0</v>
          </cell>
          <cell r="CU520">
            <v>0</v>
          </cell>
          <cell r="CV520">
            <v>3.8311085615519094</v>
          </cell>
          <cell r="CW520">
            <v>0</v>
          </cell>
          <cell r="CX520">
            <v>0</v>
          </cell>
        </row>
        <row r="521">
          <cell r="CI521" t="str">
            <v>Express Peradeniya</v>
          </cell>
          <cell r="CJ521">
            <v>7.9154869631685276</v>
          </cell>
          <cell r="CK521">
            <v>0</v>
          </cell>
          <cell r="CL521">
            <v>0</v>
          </cell>
          <cell r="CM521">
            <v>1.5984540604835836E-4</v>
          </cell>
          <cell r="CN521">
            <v>0</v>
          </cell>
          <cell r="CO521">
            <v>0</v>
          </cell>
          <cell r="CP521">
            <v>-8.2866629149173789</v>
          </cell>
          <cell r="CQ521">
            <v>0</v>
          </cell>
          <cell r="CR521">
            <v>0</v>
          </cell>
          <cell r="CS521">
            <v>0</v>
          </cell>
          <cell r="CT521">
            <v>0</v>
          </cell>
          <cell r="CU521">
            <v>0</v>
          </cell>
          <cell r="CV521">
            <v>16.202309723491958</v>
          </cell>
          <cell r="CW521">
            <v>0</v>
          </cell>
          <cell r="CX521">
            <v>0</v>
          </cell>
        </row>
        <row r="522">
          <cell r="CI522" t="str">
            <v>Express Alexandra Place</v>
          </cell>
          <cell r="CJ522">
            <v>16.018982842527873</v>
          </cell>
          <cell r="CK522">
            <v>0</v>
          </cell>
          <cell r="CL522">
            <v>0</v>
          </cell>
          <cell r="CM522">
            <v>0</v>
          </cell>
          <cell r="CN522">
            <v>0</v>
          </cell>
          <cell r="CO522">
            <v>0</v>
          </cell>
          <cell r="CP522">
            <v>14.846001673165048</v>
          </cell>
          <cell r="CQ522">
            <v>0</v>
          </cell>
          <cell r="CR522">
            <v>0</v>
          </cell>
          <cell r="CS522">
            <v>0</v>
          </cell>
          <cell r="CT522">
            <v>0</v>
          </cell>
          <cell r="CU522">
            <v>0</v>
          </cell>
          <cell r="CV522">
            <v>1.1730022038223997</v>
          </cell>
          <cell r="CW522">
            <v>0</v>
          </cell>
          <cell r="CX522">
            <v>0</v>
          </cell>
        </row>
        <row r="523">
          <cell r="CI523" t="str">
            <v>Express Boralla</v>
          </cell>
          <cell r="CJ523">
            <v>2.1766762492174148</v>
          </cell>
          <cell r="CK523">
            <v>0</v>
          </cell>
          <cell r="CL523">
            <v>0</v>
          </cell>
          <cell r="CM523">
            <v>1.3133378520911032E-4</v>
          </cell>
          <cell r="CN523">
            <v>0</v>
          </cell>
          <cell r="CO523">
            <v>0</v>
          </cell>
          <cell r="CP523">
            <v>33.273847884219286</v>
          </cell>
          <cell r="CQ523">
            <v>0</v>
          </cell>
          <cell r="CR523">
            <v>0</v>
          </cell>
          <cell r="CS523">
            <v>0</v>
          </cell>
          <cell r="CT523">
            <v>0</v>
          </cell>
          <cell r="CU523">
            <v>0</v>
          </cell>
          <cell r="CV523">
            <v>-31.097040301216662</v>
          </cell>
          <cell r="CW523">
            <v>0</v>
          </cell>
          <cell r="CX523">
            <v>0</v>
          </cell>
        </row>
        <row r="524">
          <cell r="CI524" t="str">
            <v>Express Havelock Road</v>
          </cell>
          <cell r="CJ524">
            <v>16.963808578083622</v>
          </cell>
          <cell r="CK524">
            <v>0</v>
          </cell>
          <cell r="CL524">
            <v>0</v>
          </cell>
          <cell r="CM524">
            <v>9.1336662737363436E-5</v>
          </cell>
          <cell r="CN524">
            <v>0</v>
          </cell>
          <cell r="CO524">
            <v>0</v>
          </cell>
          <cell r="CP524">
            <v>33.400420112113927</v>
          </cell>
          <cell r="CQ524">
            <v>0</v>
          </cell>
          <cell r="CR524">
            <v>0</v>
          </cell>
          <cell r="CS524">
            <v>0</v>
          </cell>
          <cell r="CT524">
            <v>0</v>
          </cell>
          <cell r="CU524">
            <v>0</v>
          </cell>
          <cell r="CV524">
            <v>-16.436520197367564</v>
          </cell>
          <cell r="CW524">
            <v>0</v>
          </cell>
          <cell r="CX524">
            <v>0</v>
          </cell>
        </row>
        <row r="525">
          <cell r="CI525" t="str">
            <v>Express Maradana</v>
          </cell>
          <cell r="CJ525">
            <v>4.2137644348932541</v>
          </cell>
          <cell r="CK525">
            <v>0</v>
          </cell>
          <cell r="CL525">
            <v>0</v>
          </cell>
          <cell r="CM525">
            <v>4.2886005138601142E-4</v>
          </cell>
          <cell r="CN525">
            <v>0</v>
          </cell>
          <cell r="CO525">
            <v>0</v>
          </cell>
          <cell r="CP525">
            <v>60.21907886865003</v>
          </cell>
          <cell r="CQ525">
            <v>0</v>
          </cell>
          <cell r="CR525">
            <v>0</v>
          </cell>
          <cell r="CS525">
            <v>0</v>
          </cell>
          <cell r="CT525">
            <v>0</v>
          </cell>
          <cell r="CU525">
            <v>0</v>
          </cell>
          <cell r="CV525">
            <v>-56.004885573705387</v>
          </cell>
          <cell r="CW525">
            <v>0</v>
          </cell>
          <cell r="CX525">
            <v>0</v>
          </cell>
        </row>
        <row r="526">
          <cell r="CI526" t="str">
            <v xml:space="preserve">Food City </v>
          </cell>
          <cell r="CJ526">
            <v>13.110007691065235</v>
          </cell>
          <cell r="CK526">
            <v>14.57629659043724</v>
          </cell>
          <cell r="CL526">
            <v>-10.059406312670406</v>
          </cell>
          <cell r="CM526">
            <v>1.083860045512695</v>
          </cell>
          <cell r="CN526">
            <v>1.3032723059001141</v>
          </cell>
          <cell r="CO526">
            <v>-16.835488592376748</v>
          </cell>
          <cell r="CP526">
            <v>12.054764066017336</v>
          </cell>
          <cell r="CQ526">
            <v>10.465436876043055</v>
          </cell>
          <cell r="CR526">
            <v>-15.186439025899507</v>
          </cell>
          <cell r="CS526">
            <v>1.06256288376958</v>
          </cell>
          <cell r="CT526">
            <v>1.1486456032805801</v>
          </cell>
          <cell r="CU526">
            <v>7.494280156137302</v>
          </cell>
          <cell r="CV526">
            <v>1.076540786791008</v>
          </cell>
          <cell r="CW526">
            <v>4.2654864170137126</v>
          </cell>
          <cell r="CX526">
            <v>-74.761593836121051</v>
          </cell>
        </row>
        <row r="528">
          <cell r="CH528">
            <v>5</v>
          </cell>
          <cell r="CW528" t="str">
            <v>Appendix I</v>
          </cell>
        </row>
        <row r="529">
          <cell r="CH529" t="str">
            <v>CARGILLS ( CEYLON ) LTD</v>
          </cell>
        </row>
        <row r="531">
          <cell r="CH531" t="str">
            <v xml:space="preserve"> Margin Analysis by Profit Centres/Divisions - Month of March 2004</v>
          </cell>
        </row>
        <row r="532">
          <cell r="CI532" t="str">
            <v>MTH V MTH</v>
          </cell>
          <cell r="CX532">
            <v>38154.357810300928</v>
          </cell>
        </row>
        <row r="533">
          <cell r="CH533" t="str">
            <v>Profit Centre</v>
          </cell>
          <cell r="CJ533" t="str">
            <v>Achieved Gross Profit</v>
          </cell>
          <cell r="CM533" t="str">
            <v>Other Income</v>
          </cell>
          <cell r="CP533" t="str">
            <v>Direct Expenses</v>
          </cell>
          <cell r="CS533" t="str">
            <v>D&amp;A and Finance</v>
          </cell>
          <cell r="CV533" t="str">
            <v>Contribution</v>
          </cell>
        </row>
        <row r="534">
          <cell r="CJ534">
            <v>38047</v>
          </cell>
          <cell r="CK534">
            <v>37681</v>
          </cell>
          <cell r="CL534" t="str">
            <v>Var %</v>
          </cell>
          <cell r="CM534">
            <v>38047</v>
          </cell>
          <cell r="CN534">
            <v>37681</v>
          </cell>
          <cell r="CO534" t="str">
            <v>Var %</v>
          </cell>
          <cell r="CP534">
            <v>38047</v>
          </cell>
          <cell r="CQ534">
            <v>37681</v>
          </cell>
          <cell r="CR534" t="str">
            <v>Var %</v>
          </cell>
          <cell r="CS534">
            <v>38047</v>
          </cell>
          <cell r="CT534">
            <v>37681</v>
          </cell>
          <cell r="CU534" t="str">
            <v>Var %</v>
          </cell>
          <cell r="CV534">
            <v>38047</v>
          </cell>
          <cell r="CW534">
            <v>37681</v>
          </cell>
          <cell r="CX534" t="str">
            <v>Var %</v>
          </cell>
        </row>
        <row r="535">
          <cell r="CI535" t="str">
            <v>Department Store</v>
          </cell>
          <cell r="CJ535">
            <v>24.505886502365183</v>
          </cell>
          <cell r="CK535">
            <v>21.693995263475934</v>
          </cell>
          <cell r="CL535">
            <v>12.961610827044645</v>
          </cell>
          <cell r="CM535">
            <v>2.1081951024941211E-4</v>
          </cell>
          <cell r="CN535">
            <v>2.553726413543433E-4</v>
          </cell>
          <cell r="CO535">
            <v>-17.446321136300309</v>
          </cell>
          <cell r="CP535">
            <v>5.866089766104186</v>
          </cell>
          <cell r="CQ535">
            <v>3.4084458755243521</v>
          </cell>
          <cell r="CR535">
            <v>-72.104530344104475</v>
          </cell>
          <cell r="CS535">
            <v>6.324585307482364E-4</v>
          </cell>
          <cell r="CT535">
            <v>4.6733193367844827E-3</v>
          </cell>
          <cell r="CU535">
            <v>86.466610022344327</v>
          </cell>
          <cell r="CV535">
            <v>18.639375097240499</v>
          </cell>
          <cell r="CW535">
            <v>18.281131441256154</v>
          </cell>
          <cell r="CX535">
            <v>1.9596361261091058</v>
          </cell>
        </row>
        <row r="536">
          <cell r="CI536" t="str">
            <v>Books and Stationery</v>
          </cell>
          <cell r="CJ536">
            <v>26.394710392020077</v>
          </cell>
          <cell r="CK536">
            <v>25.980703325624553</v>
          </cell>
          <cell r="CL536">
            <v>1.5935175472605156</v>
          </cell>
          <cell r="CM536">
            <v>1.1695373994995775E-3</v>
          </cell>
          <cell r="CN536">
            <v>0.39135172190782791</v>
          </cell>
          <cell r="CO536">
            <v>-99.701154400497288</v>
          </cell>
          <cell r="CP536">
            <v>18.739487501256317</v>
          </cell>
          <cell r="CQ536">
            <v>19.665502310340841</v>
          </cell>
          <cell r="CR536">
            <v>4.7088286608249597</v>
          </cell>
          <cell r="CS536">
            <v>0.18749874484407569</v>
          </cell>
          <cell r="CT536">
            <v>0.33451719488126036</v>
          </cell>
          <cell r="CU536">
            <v>43.949444837766883</v>
          </cell>
          <cell r="CV536">
            <v>7.468893683319183</v>
          </cell>
          <cell r="CW536">
            <v>6.3720355423102806</v>
          </cell>
          <cell r="CX536">
            <v>17.213622455897656</v>
          </cell>
        </row>
        <row r="537">
          <cell r="CI537" t="str">
            <v>Hatton Liquor</v>
          </cell>
          <cell r="CJ537">
            <v>4.7690533931724373</v>
          </cell>
          <cell r="CK537">
            <v>4.3378317815043292</v>
          </cell>
          <cell r="CL537">
            <v>9.9409482291764544</v>
          </cell>
          <cell r="CM537">
            <v>1.9171007302236683E-5</v>
          </cell>
          <cell r="CN537">
            <v>1.828513584850253E-5</v>
          </cell>
          <cell r="CO537">
            <v>4.8447627683701411</v>
          </cell>
          <cell r="CP537">
            <v>4.769110906194344</v>
          </cell>
          <cell r="CQ537">
            <v>4.3378866369118754</v>
          </cell>
          <cell r="CR537">
            <v>-9.9408837845853775</v>
          </cell>
          <cell r="CS537">
            <v>0</v>
          </cell>
          <cell r="CT537">
            <v>0</v>
          </cell>
          <cell r="CU537">
            <v>0</v>
          </cell>
          <cell r="CV537">
            <v>-3.8342014604656439E-5</v>
          </cell>
          <cell r="CW537">
            <v>-3.6570271697179678E-5</v>
          </cell>
          <cell r="CX537">
            <v>-4.8447627683701322</v>
          </cell>
        </row>
        <row r="538">
          <cell r="CI538" t="str">
            <v>Retail Division</v>
          </cell>
          <cell r="CJ538">
            <v>13.134736355983515</v>
          </cell>
          <cell r="CK538">
            <v>14.574256346602821</v>
          </cell>
          <cell r="CL538">
            <v>-9.8771419713284416</v>
          </cell>
          <cell r="CM538">
            <v>1.0751632600281296</v>
          </cell>
          <cell r="CN538">
            <v>1.2869448575294626</v>
          </cell>
          <cell r="CO538">
            <v>-16.456151657335845</v>
          </cell>
          <cell r="CP538">
            <v>12.039947021443687</v>
          </cell>
          <cell r="CQ538">
            <v>10.452945664110583</v>
          </cell>
          <cell r="CR538">
            <v>-15.182336236396562</v>
          </cell>
          <cell r="CS538">
            <v>1.0546004414846284</v>
          </cell>
          <cell r="CT538">
            <v>1.1342131915454841</v>
          </cell>
          <cell r="CU538">
            <v>7.0192050889811082</v>
          </cell>
          <cell r="CV538">
            <v>1.1153521530833221</v>
          </cell>
          <cell r="CW538">
            <v>4.2740423484762093</v>
          </cell>
          <cell r="CX538">
            <v>-73.904045347586006</v>
          </cell>
        </row>
        <row r="539">
          <cell r="CI539" t="str">
            <v>Commercial Division</v>
          </cell>
          <cell r="CJ539">
            <v>0</v>
          </cell>
          <cell r="CK539">
            <v>0</v>
          </cell>
          <cell r="CL539">
            <v>0</v>
          </cell>
          <cell r="CM539">
            <v>0</v>
          </cell>
          <cell r="CN539">
            <v>0</v>
          </cell>
          <cell r="CO539">
            <v>0</v>
          </cell>
          <cell r="CP539">
            <v>0</v>
          </cell>
          <cell r="CQ539">
            <v>0</v>
          </cell>
          <cell r="CR539">
            <v>0</v>
          </cell>
          <cell r="CS539">
            <v>0</v>
          </cell>
          <cell r="CT539">
            <v>0</v>
          </cell>
          <cell r="CU539">
            <v>0</v>
          </cell>
          <cell r="CV539">
            <v>0</v>
          </cell>
          <cell r="CW539">
            <v>0</v>
          </cell>
          <cell r="CX539">
            <v>0</v>
          </cell>
        </row>
        <row r="540">
          <cell r="CI540" t="str">
            <v>Hampers</v>
          </cell>
          <cell r="CJ540">
            <v>0</v>
          </cell>
          <cell r="CK540">
            <v>0</v>
          </cell>
          <cell r="CL540">
            <v>0</v>
          </cell>
          <cell r="CM540">
            <v>100</v>
          </cell>
          <cell r="CN540">
            <v>0</v>
          </cell>
          <cell r="CO540">
            <v>0</v>
          </cell>
          <cell r="CP540">
            <v>0</v>
          </cell>
          <cell r="CQ540">
            <v>0</v>
          </cell>
          <cell r="CR540">
            <v>0</v>
          </cell>
          <cell r="CS540">
            <v>0</v>
          </cell>
          <cell r="CT540">
            <v>0</v>
          </cell>
          <cell r="CU540">
            <v>0</v>
          </cell>
          <cell r="CV540">
            <v>0</v>
          </cell>
          <cell r="CW540">
            <v>0</v>
          </cell>
          <cell r="CX540">
            <v>0</v>
          </cell>
        </row>
        <row r="541">
          <cell r="CI541" t="str">
            <v>Wines &amp; Spirits</v>
          </cell>
          <cell r="CJ541">
            <v>21.978747861517896</v>
          </cell>
          <cell r="CK541">
            <v>17.548741709192207</v>
          </cell>
          <cell r="CL541">
            <v>25.244010230119272</v>
          </cell>
          <cell r="CM541">
            <v>-7.2446234952389998</v>
          </cell>
          <cell r="CN541">
            <v>11.736577110476041</v>
          </cell>
          <cell r="CO541">
            <v>0</v>
          </cell>
          <cell r="CP541">
            <v>8.9285043570253979</v>
          </cell>
          <cell r="CQ541">
            <v>9.9850045923349473</v>
          </cell>
          <cell r="CR541">
            <v>10.580868797201942</v>
          </cell>
          <cell r="CS541">
            <v>-0.51014354522052507</v>
          </cell>
          <cell r="CT541">
            <v>-0.90084931364859422</v>
          </cell>
          <cell r="CU541">
            <v>-43.370823789124486</v>
          </cell>
          <cell r="CV541">
            <v>6.3157635544740245</v>
          </cell>
          <cell r="CW541">
            <v>20.201163540981895</v>
          </cell>
          <cell r="CX541">
            <v>-68.735644649075283</v>
          </cell>
        </row>
        <row r="542">
          <cell r="CI542" t="str">
            <v xml:space="preserve">Total </v>
          </cell>
          <cell r="CJ542">
            <v>13.390124135916381</v>
          </cell>
          <cell r="CK542">
            <v>14.939974531090952</v>
          </cell>
          <cell r="CL542">
            <v>-10.37384897778268</v>
          </cell>
          <cell r="CM542">
            <v>0.99567023752377515</v>
          </cell>
          <cell r="CN542">
            <v>1.5839738621420587</v>
          </cell>
          <cell r="CO542">
            <v>-37.140993212015609</v>
          </cell>
          <cell r="CP542">
            <v>12.485173347593769</v>
          </cell>
          <cell r="CQ542">
            <v>10.814036663199946</v>
          </cell>
          <cell r="CR542">
            <v>-15.453403168871091</v>
          </cell>
          <cell r="CS542">
            <v>1.0432194054069774</v>
          </cell>
          <cell r="CT542">
            <v>1.1102625335516336</v>
          </cell>
          <cell r="CU542">
            <v>6.0384932498974839</v>
          </cell>
          <cell r="CV542">
            <v>0.85740162043940749</v>
          </cell>
          <cell r="CW542">
            <v>4.5996491964814208</v>
          </cell>
          <cell r="CX542">
            <v>-81.359412776624538</v>
          </cell>
        </row>
        <row r="556">
          <cell r="CH556">
            <v>6</v>
          </cell>
          <cell r="CW556" t="str">
            <v>Appendix II</v>
          </cell>
        </row>
        <row r="557">
          <cell r="CH557" t="str">
            <v>CARGILLS ( CEYLON ) LTD</v>
          </cell>
        </row>
        <row r="559">
          <cell r="CH559" t="str">
            <v xml:space="preserve"> Composition of Direct Expenses by Profit Centres/Divisions - Month of March 2004</v>
          </cell>
        </row>
        <row r="560">
          <cell r="CI560" t="str">
            <v>MTH V MTH</v>
          </cell>
          <cell r="CX560">
            <v>38154.357810300928</v>
          </cell>
        </row>
        <row r="561">
          <cell r="CH561" t="str">
            <v>Profit Centre</v>
          </cell>
          <cell r="CJ561" t="str">
            <v>Staff Related</v>
          </cell>
          <cell r="CM561" t="str">
            <v>Administration</v>
          </cell>
          <cell r="CP561" t="str">
            <v>Establishment</v>
          </cell>
          <cell r="CS561" t="str">
            <v>Selling &amp; Distribution</v>
          </cell>
          <cell r="CV561" t="str">
            <v>D&amp;A and Finance</v>
          </cell>
        </row>
        <row r="562">
          <cell r="CJ562">
            <v>38047</v>
          </cell>
          <cell r="CK562">
            <v>37681</v>
          </cell>
          <cell r="CL562" t="str">
            <v>Var %</v>
          </cell>
          <cell r="CM562">
            <v>38047</v>
          </cell>
          <cell r="CN562">
            <v>37681</v>
          </cell>
          <cell r="CO562" t="str">
            <v>Var %</v>
          </cell>
          <cell r="CP562">
            <v>38047</v>
          </cell>
          <cell r="CQ562">
            <v>37681</v>
          </cell>
          <cell r="CR562" t="str">
            <v>Var %</v>
          </cell>
          <cell r="CS562">
            <v>38047</v>
          </cell>
          <cell r="CT562">
            <v>37681</v>
          </cell>
          <cell r="CU562" t="str">
            <v>Var %</v>
          </cell>
          <cell r="CV562">
            <v>38047</v>
          </cell>
          <cell r="CW562">
            <v>37681</v>
          </cell>
          <cell r="CX562" t="str">
            <v>Var %</v>
          </cell>
        </row>
        <row r="563">
          <cell r="CI563" t="str">
            <v>Staples Street</v>
          </cell>
          <cell r="CJ563">
            <v>10.53678221894079</v>
          </cell>
          <cell r="CK563">
            <v>21.180943248922869</v>
          </cell>
          <cell r="CL563">
            <v>50.253479766645306</v>
          </cell>
          <cell r="CM563">
            <v>1.8444079936622677</v>
          </cell>
          <cell r="CN563">
            <v>2.8467170856349879</v>
          </cell>
          <cell r="CO563">
            <v>35.209297651338098</v>
          </cell>
          <cell r="CP563">
            <v>38.644312540555262</v>
          </cell>
          <cell r="CQ563">
            <v>41.614978656782192</v>
          </cell>
          <cell r="CR563">
            <v>7.1384540185094787</v>
          </cell>
          <cell r="CS563">
            <v>41.687137862278576</v>
          </cell>
          <cell r="CT563">
            <v>22.498131616325072</v>
          </cell>
          <cell r="CU563">
            <v>-85.291554753060453</v>
          </cell>
          <cell r="CV563">
            <v>7.2873593845631035</v>
          </cell>
          <cell r="CW563">
            <v>11.85922939233488</v>
          </cell>
          <cell r="CX563">
            <v>38.551155867907987</v>
          </cell>
        </row>
        <row r="564">
          <cell r="CI564" t="str">
            <v>Kandy</v>
          </cell>
          <cell r="CJ564">
            <v>11.528965614993124</v>
          </cell>
          <cell r="CK564">
            <v>21.767077340562164</v>
          </cell>
          <cell r="CL564">
            <v>47.034847928300813</v>
          </cell>
          <cell r="CM564">
            <v>2.2412300193946657</v>
          </cell>
          <cell r="CN564">
            <v>4.5208028991175917</v>
          </cell>
          <cell r="CO564">
            <v>50.424071356171538</v>
          </cell>
          <cell r="CP564">
            <v>26.869688081075253</v>
          </cell>
          <cell r="CQ564">
            <v>40.764914808180862</v>
          </cell>
          <cell r="CR564">
            <v>34.08624007308623</v>
          </cell>
          <cell r="CS564">
            <v>48.693154087459874</v>
          </cell>
          <cell r="CT564">
            <v>21.407159637723165</v>
          </cell>
          <cell r="CU564">
            <v>-127.46200295369408</v>
          </cell>
          <cell r="CV564">
            <v>10.666962197077083</v>
          </cell>
          <cell r="CW564">
            <v>11.54004531441622</v>
          </cell>
          <cell r="CX564">
            <v>7.5656818803688015</v>
          </cell>
        </row>
        <row r="565">
          <cell r="CI565" t="str">
            <v>Mount Lavinia</v>
          </cell>
          <cell r="CJ565">
            <v>14.357707289956846</v>
          </cell>
          <cell r="CK565">
            <v>24.078067977381178</v>
          </cell>
          <cell r="CL565">
            <v>40.370185417516026</v>
          </cell>
          <cell r="CM565">
            <v>2.5970542337199838</v>
          </cell>
          <cell r="CN565">
            <v>3.2140010245419184</v>
          </cell>
          <cell r="CO565">
            <v>19.195600315960267</v>
          </cell>
          <cell r="CP565">
            <v>37.536210028391459</v>
          </cell>
          <cell r="CQ565">
            <v>44.537989346125514</v>
          </cell>
          <cell r="CR565">
            <v>15.720914707936091</v>
          </cell>
          <cell r="CS565">
            <v>42.046331808089285</v>
          </cell>
          <cell r="CT565">
            <v>20.886132837753802</v>
          </cell>
          <cell r="CU565">
            <v>-101.3121918485852</v>
          </cell>
          <cell r="CV565">
            <v>3.462696639842445</v>
          </cell>
          <cell r="CW565">
            <v>7.2838088141975756</v>
          </cell>
          <cell r="CX565">
            <v>52.460357923000835</v>
          </cell>
        </row>
        <row r="566">
          <cell r="CI566" t="str">
            <v>Wellawatte</v>
          </cell>
          <cell r="CJ566">
            <v>16.575989621386938</v>
          </cell>
          <cell r="CK566">
            <v>31.153360236652045</v>
          </cell>
          <cell r="CL566">
            <v>46.792289834965459</v>
          </cell>
          <cell r="CM566">
            <v>5.2898161847684628</v>
          </cell>
          <cell r="CN566">
            <v>-10.053810927800804</v>
          </cell>
          <cell r="CO566">
            <v>-152.61503546024582</v>
          </cell>
          <cell r="CP566">
            <v>47.623365645097024</v>
          </cell>
          <cell r="CQ566">
            <v>51.610738766689536</v>
          </cell>
          <cell r="CR566">
            <v>7.7258594177807653</v>
          </cell>
          <cell r="CS566">
            <v>28.895747958019186</v>
          </cell>
          <cell r="CT566">
            <v>22.349059586801488</v>
          </cell>
          <cell r="CU566">
            <v>-29.292903112057232</v>
          </cell>
          <cell r="CV566">
            <v>1.6150805907283783</v>
          </cell>
          <cell r="CW566">
            <v>4.9406523376577391</v>
          </cell>
          <cell r="CX566">
            <v>67.310377651586506</v>
          </cell>
        </row>
        <row r="567">
          <cell r="CI567" t="str">
            <v>Bambalapitiya</v>
          </cell>
          <cell r="CJ567">
            <v>10.6095363569094</v>
          </cell>
          <cell r="CK567">
            <v>21.238493739301127</v>
          </cell>
          <cell r="CL567">
            <v>50.045721287302001</v>
          </cell>
          <cell r="CM567">
            <v>2.8381130412422531</v>
          </cell>
          <cell r="CN567">
            <v>1.1864254340348326</v>
          </cell>
          <cell r="CO567">
            <v>-139.21545845408167</v>
          </cell>
          <cell r="CP567">
            <v>49.615773743874634</v>
          </cell>
          <cell r="CQ567">
            <v>58.266547305105519</v>
          </cell>
          <cell r="CR567">
            <v>14.846895794137563</v>
          </cell>
          <cell r="CS567">
            <v>34.041698934516951</v>
          </cell>
          <cell r="CT567">
            <v>15.892525970872063</v>
          </cell>
          <cell r="CU567">
            <v>-114.19942303010122</v>
          </cell>
          <cell r="CV567">
            <v>2.8948779234567503</v>
          </cell>
          <cell r="CW567">
            <v>3.4160075506864547</v>
          </cell>
          <cell r="CX567">
            <v>15.255517427793219</v>
          </cell>
        </row>
        <row r="568">
          <cell r="CI568" t="str">
            <v>Nuwara Eliya</v>
          </cell>
          <cell r="CJ568">
            <v>13.766559640422521</v>
          </cell>
          <cell r="CK568">
            <v>20.022507655143578</v>
          </cell>
          <cell r="CL568">
            <v>31.244577964308917</v>
          </cell>
          <cell r="CM568">
            <v>3.96273015791397</v>
          </cell>
          <cell r="CN568">
            <v>4.3648713117168425</v>
          </cell>
          <cell r="CO568">
            <v>9.2131273772810864</v>
          </cell>
          <cell r="CP568">
            <v>33.523900815657591</v>
          </cell>
          <cell r="CQ568">
            <v>43.858287561063833</v>
          </cell>
          <cell r="CR568">
            <v>23.563133264192519</v>
          </cell>
          <cell r="CS568">
            <v>37.268345734832948</v>
          </cell>
          <cell r="CT568">
            <v>11.373304427580058</v>
          </cell>
          <cell r="CU568">
            <v>-227.68265346400014</v>
          </cell>
          <cell r="CV568">
            <v>11.478463651172969</v>
          </cell>
          <cell r="CW568">
            <v>20.381029044495701</v>
          </cell>
          <cell r="CX568">
            <v>43.680647203272812</v>
          </cell>
        </row>
        <row r="569">
          <cell r="CI569" t="str">
            <v>Bandarawela</v>
          </cell>
          <cell r="CJ569">
            <v>16.237947742701742</v>
          </cell>
          <cell r="CK569">
            <v>29.09038118531107</v>
          </cell>
          <cell r="CL569">
            <v>44.181041701505961</v>
          </cell>
          <cell r="CM569">
            <v>3.2718278280922997</v>
          </cell>
          <cell r="CN569">
            <v>7.0514277719900136</v>
          </cell>
          <cell r="CO569">
            <v>53.600491504872302</v>
          </cell>
          <cell r="CP569">
            <v>32.868440006282981</v>
          </cell>
          <cell r="CQ569">
            <v>37.97281059698394</v>
          </cell>
          <cell r="CR569">
            <v>13.442172202829736</v>
          </cell>
          <cell r="CS569">
            <v>44.707302243633755</v>
          </cell>
          <cell r="CT569">
            <v>19.55232236194993</v>
          </cell>
          <cell r="CU569">
            <v>-128.65469081379831</v>
          </cell>
          <cell r="CV569">
            <v>2.914482179289223</v>
          </cell>
          <cell r="CW569">
            <v>6.3330580837650228</v>
          </cell>
          <cell r="CX569">
            <v>53.979860270655308</v>
          </cell>
        </row>
        <row r="570">
          <cell r="CI570" t="str">
            <v>Maharagama</v>
          </cell>
          <cell r="CJ570">
            <v>18.452215206948534</v>
          </cell>
          <cell r="CK570">
            <v>19.681751379391148</v>
          </cell>
          <cell r="CL570">
            <v>6.2470872065281107</v>
          </cell>
          <cell r="CM570">
            <v>2.3595103182586898</v>
          </cell>
          <cell r="CN570">
            <v>2.69097271580761</v>
          </cell>
          <cell r="CO570">
            <v>12.317568127012475</v>
          </cell>
          <cell r="CP570">
            <v>36.993352210027844</v>
          </cell>
          <cell r="CQ570">
            <v>49.878449314053363</v>
          </cell>
          <cell r="CR570">
            <v>25.832994572257313</v>
          </cell>
          <cell r="CS570">
            <v>38.779328211134825</v>
          </cell>
          <cell r="CT570">
            <v>21.551620251522756</v>
          </cell>
          <cell r="CU570">
            <v>-79.936950255027</v>
          </cell>
          <cell r="CV570">
            <v>3.4155940536300977</v>
          </cell>
          <cell r="CW570">
            <v>6.1972063392251409</v>
          </cell>
          <cell r="CX570">
            <v>44.884939008547491</v>
          </cell>
        </row>
        <row r="571">
          <cell r="CI571" t="str">
            <v>Kiribathgoda</v>
          </cell>
          <cell r="CJ571">
            <v>40.83925726111319</v>
          </cell>
          <cell r="CK571">
            <v>27.50942772667613</v>
          </cell>
          <cell r="CL571">
            <v>-48.455495573653863</v>
          </cell>
          <cell r="CM571">
            <v>11.725281914543389</v>
          </cell>
          <cell r="CN571">
            <v>3.4016539428796513</v>
          </cell>
          <cell r="CO571">
            <v>-244.69355529496974</v>
          </cell>
          <cell r="CP571">
            <v>-115.78500714752869</v>
          </cell>
          <cell r="CQ571">
            <v>43.767022943847209</v>
          </cell>
          <cell r="CR571">
            <v>364.54851017872534</v>
          </cell>
          <cell r="CS571">
            <v>150.49767212010048</v>
          </cell>
          <cell r="CT571">
            <v>21.227204470753325</v>
          </cell>
          <cell r="CU571">
            <v>-608.98488930775125</v>
          </cell>
          <cell r="CV571">
            <v>12.722795851771629</v>
          </cell>
          <cell r="CW571">
            <v>4.0946909158436871</v>
          </cell>
          <cell r="CX571">
            <v>-210.71443762807607</v>
          </cell>
        </row>
        <row r="572">
          <cell r="CI572" t="str">
            <v>Nugegoda</v>
          </cell>
          <cell r="CJ572">
            <v>19.098530509061963</v>
          </cell>
          <cell r="CK572">
            <v>22.914028919648388</v>
          </cell>
          <cell r="CL572">
            <v>16.651364209960914</v>
          </cell>
          <cell r="CM572">
            <v>2.1789391258949915</v>
          </cell>
          <cell r="CN572">
            <v>0.8444078982510197</v>
          </cell>
          <cell r="CO572">
            <v>-158.04343261214399</v>
          </cell>
          <cell r="CP572">
            <v>37.029744176037056</v>
          </cell>
          <cell r="CQ572">
            <v>50.248151174678632</v>
          </cell>
          <cell r="CR572">
            <v>26.306255433538578</v>
          </cell>
          <cell r="CS572">
            <v>36.847851478433299</v>
          </cell>
          <cell r="CT572">
            <v>21.999164486583314</v>
          </cell>
          <cell r="CU572">
            <v>-67.496595158901556</v>
          </cell>
          <cell r="CV572">
            <v>4.8449347105726952</v>
          </cell>
          <cell r="CW572">
            <v>3.9942475208386461</v>
          </cell>
          <cell r="CX572">
            <v>-21.2978085433082</v>
          </cell>
        </row>
        <row r="573">
          <cell r="CI573" t="str">
            <v>Fort</v>
          </cell>
          <cell r="CJ573">
            <v>26.797182339277725</v>
          </cell>
          <cell r="CK573">
            <v>53.614799698236723</v>
          </cell>
          <cell r="CL573">
            <v>50.019057256388436</v>
          </cell>
          <cell r="CM573">
            <v>2.8496722057872219</v>
          </cell>
          <cell r="CN573">
            <v>5.1357305612029602</v>
          </cell>
          <cell r="CO573">
            <v>44.512817177080777</v>
          </cell>
          <cell r="CP573">
            <v>4.403164045966375</v>
          </cell>
          <cell r="CQ573">
            <v>6.684072781208843</v>
          </cell>
          <cell r="CR573">
            <v>34.124534694697864</v>
          </cell>
          <cell r="CS573">
            <v>62.155549739170468</v>
          </cell>
          <cell r="CT573">
            <v>25.879749894510717</v>
          </cell>
          <cell r="CU573">
            <v>-140.17059667316997</v>
          </cell>
          <cell r="CV573">
            <v>3.7944316697982123</v>
          </cell>
          <cell r="CW573">
            <v>8.6856470648407438</v>
          </cell>
          <cell r="CX573">
            <v>56.313770966380083</v>
          </cell>
        </row>
        <row r="574">
          <cell r="CI574" t="str">
            <v>Malabe</v>
          </cell>
          <cell r="CJ574">
            <v>18.096677343637673</v>
          </cell>
          <cell r="CK574">
            <v>20.941104915196636</v>
          </cell>
          <cell r="CL574">
            <v>13.582987063375086</v>
          </cell>
          <cell r="CM574">
            <v>3.2990417035936215</v>
          </cell>
          <cell r="CN574">
            <v>2.4977354876579443</v>
          </cell>
          <cell r="CO574">
            <v>-32.08130804463363</v>
          </cell>
          <cell r="CP574">
            <v>36.802677920612432</v>
          </cell>
          <cell r="CQ574">
            <v>48.185856065989057</v>
          </cell>
          <cell r="CR574">
            <v>23.623484305825574</v>
          </cell>
          <cell r="CS574">
            <v>38.898812229181317</v>
          </cell>
          <cell r="CT574">
            <v>17.482475516698074</v>
          </cell>
          <cell r="CU574">
            <v>-122.50174005407766</v>
          </cell>
          <cell r="CV574">
            <v>2.9027908029749585</v>
          </cell>
          <cell r="CW574">
            <v>10.892828014458274</v>
          </cell>
          <cell r="CX574">
            <v>73.351357433331131</v>
          </cell>
        </row>
        <row r="575">
          <cell r="CI575" t="str">
            <v>Negombo</v>
          </cell>
          <cell r="CJ575">
            <v>21.099222470056304</v>
          </cell>
          <cell r="CK575">
            <v>16.153923915332612</v>
          </cell>
          <cell r="CL575">
            <v>-30.61360558984574</v>
          </cell>
          <cell r="CM575">
            <v>2.2397249040032476</v>
          </cell>
          <cell r="CN575">
            <v>3.5045687427629639</v>
          </cell>
          <cell r="CO575">
            <v>36.091283453111181</v>
          </cell>
          <cell r="CP575">
            <v>31.220787840164828</v>
          </cell>
          <cell r="CQ575">
            <v>50.238298047097821</v>
          </cell>
          <cell r="CR575">
            <v>37.854606836211488</v>
          </cell>
          <cell r="CS575">
            <v>41.285152858781196</v>
          </cell>
          <cell r="CT575">
            <v>17.90407909727455</v>
          </cell>
          <cell r="CU575">
            <v>-130.59076445359221</v>
          </cell>
          <cell r="CV575">
            <v>4.1551119269944445</v>
          </cell>
          <cell r="CW575">
            <v>12.199130197532067</v>
          </cell>
          <cell r="CX575">
            <v>65.939277147521224</v>
          </cell>
        </row>
        <row r="576">
          <cell r="CI576" t="str">
            <v>Rajagiriya</v>
          </cell>
          <cell r="CJ576">
            <v>16.908948818329293</v>
          </cell>
          <cell r="CK576">
            <v>35.475828873523405</v>
          </cell>
          <cell r="CL576">
            <v>52.336705426637941</v>
          </cell>
          <cell r="CM576">
            <v>3.3419148590666081</v>
          </cell>
          <cell r="CN576">
            <v>4.1014861705986174</v>
          </cell>
          <cell r="CO576">
            <v>18.519416619687124</v>
          </cell>
          <cell r="CP576">
            <v>29.937917865978282</v>
          </cell>
          <cell r="CQ576">
            <v>21.291637625642583</v>
          </cell>
          <cell r="CR576">
            <v>-40.608807985359249</v>
          </cell>
          <cell r="CS576">
            <v>44.638642096321014</v>
          </cell>
          <cell r="CT576">
            <v>25.698289689452203</v>
          </cell>
          <cell r="CU576">
            <v>-73.702774136921761</v>
          </cell>
          <cell r="CV576">
            <v>5.1725763603048103</v>
          </cell>
          <cell r="CW576">
            <v>13.432757640783196</v>
          </cell>
          <cell r="CX576">
            <v>61.492818536378927</v>
          </cell>
        </row>
        <row r="577">
          <cell r="CI577" t="str">
            <v>Boralesgamuwa</v>
          </cell>
          <cell r="CJ577">
            <v>22.70971457140686</v>
          </cell>
          <cell r="CK577">
            <v>13.315574630053401</v>
          </cell>
          <cell r="CL577">
            <v>-70.550015319284682</v>
          </cell>
          <cell r="CM577">
            <v>4.4209824664040775</v>
          </cell>
          <cell r="CN577">
            <v>5.0467104557871156</v>
          </cell>
          <cell r="CO577">
            <v>12.398729724339729</v>
          </cell>
          <cell r="CP577">
            <v>38.907297002821025</v>
          </cell>
          <cell r="CQ577">
            <v>54.997219893949364</v>
          </cell>
          <cell r="CR577">
            <v>29.255884064966175</v>
          </cell>
          <cell r="CS577">
            <v>28.976791842321049</v>
          </cell>
          <cell r="CT577">
            <v>14.95435454371054</v>
          </cell>
          <cell r="CU577">
            <v>-93.768254976327441</v>
          </cell>
          <cell r="CV577">
            <v>4.9852141170469864</v>
          </cell>
          <cell r="CW577">
            <v>11.686140476499572</v>
          </cell>
          <cell r="CX577">
            <v>57.340799324874794</v>
          </cell>
        </row>
        <row r="578">
          <cell r="CI578" t="str">
            <v>Pitakotte</v>
          </cell>
          <cell r="CJ578">
            <v>16.210581189771524</v>
          </cell>
          <cell r="CK578">
            <v>26.218084160352571</v>
          </cell>
          <cell r="CL578">
            <v>38.170229790148291</v>
          </cell>
          <cell r="CM578">
            <v>4.7679589296376372</v>
          </cell>
          <cell r="CN578">
            <v>2.7775098970393075</v>
          </cell>
          <cell r="CO578">
            <v>-71.663076150333538</v>
          </cell>
          <cell r="CP578">
            <v>31.773103100682821</v>
          </cell>
          <cell r="CQ578">
            <v>35.916984490038942</v>
          </cell>
          <cell r="CR578">
            <v>11.537386693767031</v>
          </cell>
          <cell r="CS578">
            <v>36.104068771728159</v>
          </cell>
          <cell r="CT578">
            <v>19.555772792716507</v>
          </cell>
          <cell r="CU578">
            <v>-84.621028043315263</v>
          </cell>
          <cell r="CV578">
            <v>11.144288008179865</v>
          </cell>
          <cell r="CW578">
            <v>15.531648659852673</v>
          </cell>
          <cell r="CX578">
            <v>28.247874696094392</v>
          </cell>
        </row>
        <row r="579">
          <cell r="CI579" t="str">
            <v>Panadura</v>
          </cell>
          <cell r="CJ579">
            <v>18.003106347475516</v>
          </cell>
          <cell r="CK579">
            <v>20.051151922162617</v>
          </cell>
          <cell r="CL579">
            <v>10.214104319978688</v>
          </cell>
          <cell r="CM579">
            <v>1.855385916831594</v>
          </cell>
          <cell r="CN579">
            <v>1.3385459715578862</v>
          </cell>
          <cell r="CO579">
            <v>-38.612042937320716</v>
          </cell>
          <cell r="CP579">
            <v>33.037340165054296</v>
          </cell>
          <cell r="CQ579">
            <v>42.99666224388389</v>
          </cell>
          <cell r="CR579">
            <v>23.16301210158765</v>
          </cell>
          <cell r="CS579">
            <v>34.117569761855101</v>
          </cell>
          <cell r="CT579">
            <v>17.943321438432836</v>
          </cell>
          <cell r="CU579">
            <v>-90.140771199576292</v>
          </cell>
          <cell r="CV579">
            <v>12.986597808783507</v>
          </cell>
          <cell r="CW579">
            <v>17.67031842396279</v>
          </cell>
          <cell r="CX579">
            <v>26.506147217062431</v>
          </cell>
        </row>
        <row r="580">
          <cell r="CI580" t="str">
            <v>Kurunagala</v>
          </cell>
          <cell r="CJ580">
            <v>13.495098336087233</v>
          </cell>
          <cell r="CK580">
            <v>20.280559100833269</v>
          </cell>
          <cell r="CL580">
            <v>33.45795710566599</v>
          </cell>
          <cell r="CM580">
            <v>2.9355736847086082</v>
          </cell>
          <cell r="CN580">
            <v>2.770827626976482</v>
          </cell>
          <cell r="CO580">
            <v>-5.9457346291835771</v>
          </cell>
          <cell r="CP580">
            <v>36.210542193629124</v>
          </cell>
          <cell r="CQ580">
            <v>43.375575599825758</v>
          </cell>
          <cell r="CR580">
            <v>16.518589798783943</v>
          </cell>
          <cell r="CS580">
            <v>32.641474606897525</v>
          </cell>
          <cell r="CT580">
            <v>10.609159672519169</v>
          </cell>
          <cell r="CU580">
            <v>-207.67257364830226</v>
          </cell>
          <cell r="CV580">
            <v>14.717311178677503</v>
          </cell>
          <cell r="CW580">
            <v>22.963877999845312</v>
          </cell>
          <cell r="CX580">
            <v>35.911037418084867</v>
          </cell>
        </row>
        <row r="581">
          <cell r="CI581" t="str">
            <v>Matara</v>
          </cell>
          <cell r="CJ581">
            <v>18.384706328505402</v>
          </cell>
          <cell r="CK581">
            <v>26.74135110111952</v>
          </cell>
          <cell r="CL581">
            <v>31.249897363130124</v>
          </cell>
          <cell r="CM581">
            <v>2.4459476395648747</v>
          </cell>
          <cell r="CN581">
            <v>3.3792428910355574</v>
          </cell>
          <cell r="CO581">
            <v>27.61847199402342</v>
          </cell>
          <cell r="CP581">
            <v>34.884682636652158</v>
          </cell>
          <cell r="CQ581">
            <v>41.249762430318356</v>
          </cell>
          <cell r="CR581">
            <v>15.430585338324027</v>
          </cell>
          <cell r="CS581">
            <v>29.429359604438282</v>
          </cell>
          <cell r="CT581">
            <v>12.512382424996796</v>
          </cell>
          <cell r="CU581">
            <v>-135.20188725726086</v>
          </cell>
          <cell r="CV581">
            <v>14.85530379083928</v>
          </cell>
          <cell r="CW581">
            <v>16.117261152529771</v>
          </cell>
          <cell r="CX581">
            <v>7.8298499338543897</v>
          </cell>
        </row>
        <row r="582">
          <cell r="CI582" t="str">
            <v>Wattala</v>
          </cell>
          <cell r="CJ582">
            <v>16.725179844949032</v>
          </cell>
          <cell r="CK582">
            <v>21.690153109687575</v>
          </cell>
          <cell r="CL582">
            <v>22.890448212285847</v>
          </cell>
          <cell r="CM582">
            <v>2.0347443683208994</v>
          </cell>
          <cell r="CN582">
            <v>2.3250576439867299</v>
          </cell>
          <cell r="CO582">
            <v>12.486282927937911</v>
          </cell>
          <cell r="CP582">
            <v>32.062415616122401</v>
          </cell>
          <cell r="CQ582">
            <v>44.186616126665371</v>
          </cell>
          <cell r="CR582">
            <v>27.438626383581244</v>
          </cell>
          <cell r="CS582">
            <v>31.148774502368571</v>
          </cell>
          <cell r="CT582">
            <v>10.273536843985069</v>
          </cell>
          <cell r="CU582">
            <v>-203.194264793098</v>
          </cell>
          <cell r="CV582">
            <v>18.028885668239081</v>
          </cell>
          <cell r="CW582">
            <v>21.524636275675267</v>
          </cell>
          <cell r="CX582">
            <v>16.240695371873446</v>
          </cell>
        </row>
        <row r="583">
          <cell r="CI583" t="str">
            <v>Pelawatte</v>
          </cell>
          <cell r="CJ583">
            <v>15.755297755137269</v>
          </cell>
          <cell r="CK583">
            <v>18.263827237727607</v>
          </cell>
          <cell r="CL583">
            <v>13.734960640716457</v>
          </cell>
          <cell r="CM583">
            <v>3.1153236510068596</v>
          </cell>
          <cell r="CN583">
            <v>3.3399810225097424</v>
          </cell>
          <cell r="CO583">
            <v>6.7263068259612382</v>
          </cell>
          <cell r="CP583">
            <v>31.690041708272922</v>
          </cell>
          <cell r="CQ583">
            <v>42.622592132849448</v>
          </cell>
          <cell r="CR583">
            <v>25.649661077630125</v>
          </cell>
          <cell r="CS583">
            <v>36.741894699951715</v>
          </cell>
          <cell r="CT583">
            <v>17.031899340320606</v>
          </cell>
          <cell r="CU583">
            <v>-115.72400098073905</v>
          </cell>
          <cell r="CV583">
            <v>12.697442185631246</v>
          </cell>
          <cell r="CW583">
            <v>18.741700266592591</v>
          </cell>
          <cell r="CX583">
            <v>32.250318781030458</v>
          </cell>
        </row>
        <row r="584">
          <cell r="CI584" t="str">
            <v>Gampaha</v>
          </cell>
          <cell r="CJ584">
            <v>13.374720723052217</v>
          </cell>
          <cell r="CK584">
            <v>25.262564462128118</v>
          </cell>
          <cell r="CL584">
            <v>47.05715350829616</v>
          </cell>
          <cell r="CM584">
            <v>2.4461315615691963</v>
          </cell>
          <cell r="CN584">
            <v>2.0105646674789632</v>
          </cell>
          <cell r="CO584">
            <v>-21.663908708611107</v>
          </cell>
          <cell r="CP584">
            <v>35.193798419809532</v>
          </cell>
          <cell r="CQ584">
            <v>31.590128565369174</v>
          </cell>
          <cell r="CR584">
            <v>-11.407582109022812</v>
          </cell>
          <cell r="CS584">
            <v>28.737853040121607</v>
          </cell>
          <cell r="CT584">
            <v>11.613468658224685</v>
          </cell>
          <cell r="CU584">
            <v>-147.45279714316356</v>
          </cell>
          <cell r="CV584">
            <v>20.247496255447444</v>
          </cell>
          <cell r="CW584">
            <v>29.523273646799066</v>
          </cell>
          <cell r="CX584">
            <v>31.418525947773094</v>
          </cell>
        </row>
        <row r="585">
          <cell r="CI585" t="str">
            <v>Ja-ela</v>
          </cell>
          <cell r="CJ585">
            <v>14.041160483148859</v>
          </cell>
          <cell r="CK585">
            <v>25.495142321421881</v>
          </cell>
          <cell r="CL585">
            <v>44.926134139086557</v>
          </cell>
          <cell r="CM585">
            <v>2.0586420035522113</v>
          </cell>
          <cell r="CN585">
            <v>1.8440833472576821</v>
          </cell>
          <cell r="CO585">
            <v>-11.634976077062744</v>
          </cell>
          <cell r="CP585">
            <v>28.795262296586642</v>
          </cell>
          <cell r="CQ585">
            <v>43.282787642898121</v>
          </cell>
          <cell r="CR585">
            <v>33.4717936049773</v>
          </cell>
          <cell r="CS585">
            <v>30.56990486040425</v>
          </cell>
          <cell r="CT585">
            <v>13.040686078785532</v>
          </cell>
          <cell r="CU585">
            <v>-134.41945213400302</v>
          </cell>
          <cell r="CV585">
            <v>24.535030356308027</v>
          </cell>
          <cell r="CW585">
            <v>16.337300609636792</v>
          </cell>
          <cell r="CX585">
            <v>-50.177994165301008</v>
          </cell>
        </row>
        <row r="586">
          <cell r="CI586" t="str">
            <v>Piliyandala</v>
          </cell>
          <cell r="CJ586">
            <v>13.907581860806422</v>
          </cell>
          <cell r="CK586">
            <v>39.396347503387076</v>
          </cell>
          <cell r="CL586">
            <v>64.698296308786666</v>
          </cell>
          <cell r="CM586">
            <v>2.130614337350389</v>
          </cell>
          <cell r="CN586">
            <v>1.3998098928359934</v>
          </cell>
          <cell r="CO586">
            <v>-52.207406752483863</v>
          </cell>
          <cell r="CP586">
            <v>30.66675191594004</v>
          </cell>
          <cell r="CQ586">
            <v>49.811502060297883</v>
          </cell>
          <cell r="CR586">
            <v>38.434396379339688</v>
          </cell>
          <cell r="CS586">
            <v>26.236163421358409</v>
          </cell>
          <cell r="CT586">
            <v>9.3923405434790457</v>
          </cell>
          <cell r="CU586">
            <v>-179.33573426033581</v>
          </cell>
          <cell r="CV586">
            <v>27.05888846454474</v>
          </cell>
          <cell r="CW586">
            <v>0</v>
          </cell>
          <cell r="CX586">
            <v>0</v>
          </cell>
        </row>
        <row r="587">
          <cell r="CI587" t="str">
            <v>Chilaw</v>
          </cell>
          <cell r="CJ587">
            <v>17.498939701545705</v>
          </cell>
          <cell r="CK587">
            <v>33.57526924613672</v>
          </cell>
          <cell r="CL587">
            <v>47.881461282520647</v>
          </cell>
          <cell r="CM587">
            <v>2.8724970271927539</v>
          </cell>
          <cell r="CN587">
            <v>5.3634617995449014</v>
          </cell>
          <cell r="CO587">
            <v>46.4432276289077</v>
          </cell>
          <cell r="CP587">
            <v>36.524261675952879</v>
          </cell>
          <cell r="CQ587">
            <v>49.22275347680187</v>
          </cell>
          <cell r="CR587">
            <v>25.798011902836048</v>
          </cell>
          <cell r="CS587">
            <v>21.693571005762589</v>
          </cell>
          <cell r="CT587">
            <v>11.838515477516504</v>
          </cell>
          <cell r="CU587">
            <v>-83.245703795907772</v>
          </cell>
          <cell r="CV587">
            <v>21.41073058954608</v>
          </cell>
          <cell r="CW587">
            <v>0</v>
          </cell>
          <cell r="CX587">
            <v>0</v>
          </cell>
        </row>
        <row r="588">
          <cell r="CI588" t="str">
            <v>Ratnapura</v>
          </cell>
          <cell r="CJ588">
            <v>15.932589147591731</v>
          </cell>
          <cell r="CK588">
            <v>39.635306823187008</v>
          </cell>
          <cell r="CL588">
            <v>59.80202898726894</v>
          </cell>
          <cell r="CM588">
            <v>2.4035920959988966</v>
          </cell>
          <cell r="CN588">
            <v>4.6123697776012902</v>
          </cell>
          <cell r="CO588">
            <v>47.888131006510299</v>
          </cell>
          <cell r="CP588">
            <v>31.207807576386671</v>
          </cell>
          <cell r="CQ588">
            <v>41.489223678727129</v>
          </cell>
          <cell r="CR588">
            <v>24.780931506346967</v>
          </cell>
          <cell r="CS588">
            <v>25.948838596677255</v>
          </cell>
          <cell r="CT588">
            <v>14.263099720484556</v>
          </cell>
          <cell r="CU588">
            <v>-81.929868718576856</v>
          </cell>
          <cell r="CV588">
            <v>24.507172583345447</v>
          </cell>
          <cell r="CW588">
            <v>0</v>
          </cell>
          <cell r="CX588">
            <v>0</v>
          </cell>
        </row>
        <row r="589">
          <cell r="CI589" t="str">
            <v>Nawala</v>
          </cell>
          <cell r="CJ589">
            <v>16.226313519972756</v>
          </cell>
          <cell r="CK589">
            <v>38.512926881687285</v>
          </cell>
          <cell r="CL589">
            <v>57.867877531561248</v>
          </cell>
          <cell r="CM589">
            <v>3.4770136886344414</v>
          </cell>
          <cell r="CN589">
            <v>4.8368625228101711</v>
          </cell>
          <cell r="CO589">
            <v>28.114275064937562</v>
          </cell>
          <cell r="CP589">
            <v>22.216536280571624</v>
          </cell>
          <cell r="CQ589">
            <v>38.343030143441858</v>
          </cell>
          <cell r="CR589">
            <v>42.058475301875667</v>
          </cell>
          <cell r="CS589">
            <v>37.075724859139484</v>
          </cell>
          <cell r="CT589">
            <v>18.30718045206067</v>
          </cell>
          <cell r="CU589">
            <v>-102.5201256754216</v>
          </cell>
          <cell r="CV589">
            <v>21.0044116516817</v>
          </cell>
          <cell r="CW589">
            <v>0</v>
          </cell>
          <cell r="CX589">
            <v>0</v>
          </cell>
        </row>
        <row r="590">
          <cell r="CI590" t="str">
            <v>Collupitiya</v>
          </cell>
          <cell r="CJ590">
            <v>17.868588062856531</v>
          </cell>
          <cell r="CK590">
            <v>39.112179104403779</v>
          </cell>
          <cell r="CL590">
            <v>54.314516674821</v>
          </cell>
          <cell r="CM590">
            <v>2.9803146470824426</v>
          </cell>
          <cell r="CN590">
            <v>3.5652787865904463</v>
          </cell>
          <cell r="CO590">
            <v>16.40724819916306</v>
          </cell>
          <cell r="CP590">
            <v>51.383671841196367</v>
          </cell>
          <cell r="CQ590">
            <v>42.212334641592626</v>
          </cell>
          <cell r="CR590">
            <v>-21.726676047353813</v>
          </cell>
          <cell r="CS590">
            <v>14.441380698017825</v>
          </cell>
          <cell r="CT590">
            <v>15.110207467413131</v>
          </cell>
          <cell r="CU590">
            <v>4.4263241973196354</v>
          </cell>
          <cell r="CV590">
            <v>13.326044750846828</v>
          </cell>
          <cell r="CW590">
            <v>0</v>
          </cell>
          <cell r="CX590">
            <v>0</v>
          </cell>
        </row>
        <row r="591">
          <cell r="CI591" t="str">
            <v>Dehiwala</v>
          </cell>
          <cell r="CJ591">
            <v>16.884395010177517</v>
          </cell>
          <cell r="CK591">
            <v>40.746420207819121</v>
          </cell>
          <cell r="CL591">
            <v>58.562261607125308</v>
          </cell>
          <cell r="CM591">
            <v>2.6969617899321738</v>
          </cell>
          <cell r="CN591">
            <v>3.8773531792357305</v>
          </cell>
          <cell r="CO591">
            <v>30.443225951787685</v>
          </cell>
          <cell r="CP591">
            <v>35.64229953007257</v>
          </cell>
          <cell r="CQ591">
            <v>37.087878996238821</v>
          </cell>
          <cell r="CR591">
            <v>3.8977140383596778</v>
          </cell>
          <cell r="CS591">
            <v>37.796433168072326</v>
          </cell>
          <cell r="CT591">
            <v>18.288347616706318</v>
          </cell>
          <cell r="CU591">
            <v>-106.66948135623508</v>
          </cell>
          <cell r="CV591">
            <v>6.9799105017454117</v>
          </cell>
          <cell r="CW591">
            <v>0</v>
          </cell>
          <cell r="CX591">
            <v>0</v>
          </cell>
        </row>
        <row r="592">
          <cell r="CI592" t="str">
            <v>Thibirigasyaya</v>
          </cell>
          <cell r="CJ592">
            <v>20.095912601308083</v>
          </cell>
          <cell r="CK592">
            <v>41.490215347479833</v>
          </cell>
          <cell r="CL592">
            <v>51.564694391183167</v>
          </cell>
          <cell r="CM592">
            <v>3.0032613139318012</v>
          </cell>
          <cell r="CN592">
            <v>1.5048001791371413</v>
          </cell>
          <cell r="CO592">
            <v>-99.578745109791512</v>
          </cell>
          <cell r="CP592">
            <v>30.562973431601776</v>
          </cell>
          <cell r="CQ592">
            <v>41.575844299684178</v>
          </cell>
          <cell r="CR592">
            <v>26.488628321532509</v>
          </cell>
          <cell r="CS592">
            <v>33.904748148859035</v>
          </cell>
          <cell r="CT592">
            <v>15.429140173698858</v>
          </cell>
          <cell r="CU592">
            <v>-119.74489678079698</v>
          </cell>
          <cell r="CV592">
            <v>12.433104504299312</v>
          </cell>
          <cell r="CW592">
            <v>0</v>
          </cell>
          <cell r="CX592">
            <v>0</v>
          </cell>
        </row>
        <row r="593">
          <cell r="CI593" t="str">
            <v>Moratuwa</v>
          </cell>
          <cell r="CJ593">
            <v>14.249919667271001</v>
          </cell>
          <cell r="CK593">
            <v>40.307332046717477</v>
          </cell>
          <cell r="CL593">
            <v>64.646829885056917</v>
          </cell>
          <cell r="CM593">
            <v>2.1724980957471614</v>
          </cell>
          <cell r="CN593">
            <v>1.8617284901936406</v>
          </cell>
          <cell r="CO593">
            <v>-16.692531010319193</v>
          </cell>
          <cell r="CP593">
            <v>33.91477883358629</v>
          </cell>
          <cell r="CQ593">
            <v>42.017669368910255</v>
          </cell>
          <cell r="CR593">
            <v>19.284483544723834</v>
          </cell>
          <cell r="CS593">
            <v>35.065104601245331</v>
          </cell>
          <cell r="CT593">
            <v>15.81327009417865</v>
          </cell>
          <cell r="CU593">
            <v>-121.74480289281769</v>
          </cell>
          <cell r="CV593">
            <v>14.597698802150211</v>
          </cell>
          <cell r="CW593">
            <v>0</v>
          </cell>
          <cell r="CX593">
            <v>0</v>
          </cell>
        </row>
        <row r="594">
          <cell r="CI594" t="str">
            <v>Kegalle</v>
          </cell>
          <cell r="CJ594">
            <v>31.738351483928735</v>
          </cell>
          <cell r="CK594">
            <v>100</v>
          </cell>
          <cell r="CL594">
            <v>68.261648516071261</v>
          </cell>
          <cell r="CM594">
            <v>5.5586235572941272</v>
          </cell>
          <cell r="CN594">
            <v>0</v>
          </cell>
          <cell r="CO594">
            <v>0</v>
          </cell>
          <cell r="CP594">
            <v>40.183715050373117</v>
          </cell>
          <cell r="CQ594">
            <v>0</v>
          </cell>
          <cell r="CR594">
            <v>0</v>
          </cell>
          <cell r="CS594">
            <v>22.519309908404004</v>
          </cell>
          <cell r="CT594">
            <v>0</v>
          </cell>
          <cell r="CU594">
            <v>0</v>
          </cell>
          <cell r="CV594">
            <v>0</v>
          </cell>
          <cell r="CW594">
            <v>0</v>
          </cell>
          <cell r="CX594">
            <v>0</v>
          </cell>
        </row>
        <row r="595">
          <cell r="CI595" t="str">
            <v>Kadawatha</v>
          </cell>
          <cell r="CJ595">
            <v>35.646952708099853</v>
          </cell>
          <cell r="CK595">
            <v>81.518973960578549</v>
          </cell>
          <cell r="CL595">
            <v>56.271588102497184</v>
          </cell>
          <cell r="CM595">
            <v>3.628637275143594</v>
          </cell>
          <cell r="CN595">
            <v>14.419258975289587</v>
          </cell>
          <cell r="CO595">
            <v>74.834786715724974</v>
          </cell>
          <cell r="CP595">
            <v>35.496639146545817</v>
          </cell>
          <cell r="CQ595">
            <v>0</v>
          </cell>
          <cell r="CR595">
            <v>0</v>
          </cell>
          <cell r="CS595">
            <v>25.22777087021074</v>
          </cell>
          <cell r="CT595">
            <v>4.0617670641318639</v>
          </cell>
          <cell r="CU595">
            <v>-521.10333930738989</v>
          </cell>
          <cell r="CV595">
            <v>0</v>
          </cell>
          <cell r="CW595">
            <v>0</v>
          </cell>
          <cell r="CX595">
            <v>0</v>
          </cell>
        </row>
        <row r="596">
          <cell r="CI596" t="str">
            <v>Aluthgama</v>
          </cell>
          <cell r="CJ596">
            <v>35.653166621952494</v>
          </cell>
          <cell r="CK596">
            <v>0</v>
          </cell>
          <cell r="CL596">
            <v>0</v>
          </cell>
          <cell r="CM596">
            <v>3.0842065694927241</v>
          </cell>
          <cell r="CN596">
            <v>0</v>
          </cell>
          <cell r="CO596">
            <v>0</v>
          </cell>
          <cell r="CP596">
            <v>39.46245857607073</v>
          </cell>
          <cell r="CQ596">
            <v>0</v>
          </cell>
          <cell r="CR596">
            <v>0</v>
          </cell>
          <cell r="CS596">
            <v>21.800168232484054</v>
          </cell>
          <cell r="CT596">
            <v>0</v>
          </cell>
          <cell r="CU596">
            <v>0</v>
          </cell>
          <cell r="CV596">
            <v>0</v>
          </cell>
          <cell r="CW596">
            <v>0</v>
          </cell>
          <cell r="CX596">
            <v>0</v>
          </cell>
        </row>
        <row r="597">
          <cell r="CI597" t="str">
            <v>Park Road</v>
          </cell>
          <cell r="CJ597">
            <v>32.40263640287376</v>
          </cell>
          <cell r="CK597">
            <v>0</v>
          </cell>
          <cell r="CL597">
            <v>0</v>
          </cell>
          <cell r="CM597">
            <v>5.2710141741082861</v>
          </cell>
          <cell r="CN597">
            <v>0</v>
          </cell>
          <cell r="CO597">
            <v>0</v>
          </cell>
          <cell r="CP597">
            <v>33.88220042432291</v>
          </cell>
          <cell r="CQ597">
            <v>0</v>
          </cell>
          <cell r="CR597">
            <v>0</v>
          </cell>
          <cell r="CS597">
            <v>28.444148998695042</v>
          </cell>
          <cell r="CT597">
            <v>0</v>
          </cell>
          <cell r="CU597">
            <v>0</v>
          </cell>
          <cell r="CV597">
            <v>0</v>
          </cell>
          <cell r="CW597">
            <v>0</v>
          </cell>
          <cell r="CX597">
            <v>0</v>
          </cell>
        </row>
        <row r="598">
          <cell r="CI598" t="str">
            <v>Kotahena</v>
          </cell>
          <cell r="CJ598">
            <v>28.403681147703974</v>
          </cell>
          <cell r="CK598">
            <v>0</v>
          </cell>
          <cell r="CL598">
            <v>0</v>
          </cell>
          <cell r="CM598">
            <v>2.6024173131861716</v>
          </cell>
          <cell r="CN598">
            <v>0</v>
          </cell>
          <cell r="CO598">
            <v>0</v>
          </cell>
          <cell r="CP598">
            <v>41.693157238656816</v>
          </cell>
          <cell r="CQ598">
            <v>0</v>
          </cell>
          <cell r="CR598">
            <v>0</v>
          </cell>
          <cell r="CS598">
            <v>27.300744300453033</v>
          </cell>
          <cell r="CT598">
            <v>0</v>
          </cell>
          <cell r="CU598">
            <v>0</v>
          </cell>
          <cell r="CV598">
            <v>0</v>
          </cell>
          <cell r="CW598">
            <v>0</v>
          </cell>
          <cell r="CX598">
            <v>0</v>
          </cell>
        </row>
        <row r="599">
          <cell r="CI599" t="str">
            <v>Ambalangoda</v>
          </cell>
          <cell r="CJ599">
            <v>25.098673227912379</v>
          </cell>
          <cell r="CK599">
            <v>0</v>
          </cell>
          <cell r="CL599">
            <v>0</v>
          </cell>
          <cell r="CM599">
            <v>4.7458591897633831</v>
          </cell>
          <cell r="CN599">
            <v>0</v>
          </cell>
          <cell r="CO599">
            <v>0</v>
          </cell>
          <cell r="CP599">
            <v>48.516059809929253</v>
          </cell>
          <cell r="CQ599">
            <v>0</v>
          </cell>
          <cell r="CR599">
            <v>0</v>
          </cell>
          <cell r="CS599">
            <v>21.208368232591567</v>
          </cell>
          <cell r="CT599">
            <v>0</v>
          </cell>
          <cell r="CU599">
            <v>0</v>
          </cell>
          <cell r="CV599">
            <v>0.43103953980341869</v>
          </cell>
          <cell r="CW599">
            <v>0</v>
          </cell>
          <cell r="CX599">
            <v>0</v>
          </cell>
        </row>
        <row r="600">
          <cell r="CI600" t="str">
            <v>Katugastota</v>
          </cell>
          <cell r="CJ600">
            <v>34.147191593028523</v>
          </cell>
          <cell r="CK600">
            <v>0</v>
          </cell>
          <cell r="CL600">
            <v>0</v>
          </cell>
          <cell r="CM600">
            <v>4.2079882536307993</v>
          </cell>
          <cell r="CN600">
            <v>0</v>
          </cell>
          <cell r="CO600">
            <v>0</v>
          </cell>
          <cell r="CP600">
            <v>35.106637543575928</v>
          </cell>
          <cell r="CQ600">
            <v>0</v>
          </cell>
          <cell r="CR600">
            <v>0</v>
          </cell>
          <cell r="CS600">
            <v>26.53818260976475</v>
          </cell>
          <cell r="CT600">
            <v>0</v>
          </cell>
          <cell r="CU600">
            <v>0</v>
          </cell>
          <cell r="CV600">
            <v>0</v>
          </cell>
          <cell r="CW600">
            <v>0</v>
          </cell>
          <cell r="CX600">
            <v>0</v>
          </cell>
        </row>
        <row r="601">
          <cell r="CI601" t="str">
            <v>Beruwela</v>
          </cell>
          <cell r="CJ601">
            <v>33.370306320663957</v>
          </cell>
          <cell r="CK601">
            <v>0</v>
          </cell>
          <cell r="CL601">
            <v>0</v>
          </cell>
          <cell r="CM601">
            <v>4.5017254357774554</v>
          </cell>
          <cell r="CN601">
            <v>0</v>
          </cell>
          <cell r="CO601">
            <v>0</v>
          </cell>
          <cell r="CP601">
            <v>41.879220168185249</v>
          </cell>
          <cell r="CQ601">
            <v>0</v>
          </cell>
          <cell r="CR601">
            <v>0</v>
          </cell>
          <cell r="CS601">
            <v>20.148051018048758</v>
          </cell>
          <cell r="CT601">
            <v>0</v>
          </cell>
          <cell r="CU601">
            <v>0</v>
          </cell>
          <cell r="CV601">
            <v>0.10069705732456899</v>
          </cell>
          <cell r="CW601">
            <v>0</v>
          </cell>
          <cell r="CX601">
            <v>0</v>
          </cell>
        </row>
        <row r="602">
          <cell r="CI602" t="str">
            <v>Warakapola</v>
          </cell>
          <cell r="CJ602">
            <v>37.302428278498809</v>
          </cell>
          <cell r="CK602">
            <v>0</v>
          </cell>
          <cell r="CL602">
            <v>0</v>
          </cell>
          <cell r="CM602">
            <v>4.7729226533970746</v>
          </cell>
          <cell r="CN602">
            <v>0</v>
          </cell>
          <cell r="CO602">
            <v>0</v>
          </cell>
          <cell r="CP602">
            <v>40.909649375964143</v>
          </cell>
          <cell r="CQ602">
            <v>0</v>
          </cell>
          <cell r="CR602">
            <v>0</v>
          </cell>
          <cell r="CS602">
            <v>16.990137574301535</v>
          </cell>
          <cell r="CT602">
            <v>0</v>
          </cell>
          <cell r="CU602">
            <v>0</v>
          </cell>
          <cell r="CV602">
            <v>2.4862117838429721E-2</v>
          </cell>
          <cell r="CW602">
            <v>0</v>
          </cell>
          <cell r="CX602">
            <v>0</v>
          </cell>
        </row>
        <row r="603">
          <cell r="CI603" t="str">
            <v>Karagampitiya</v>
          </cell>
          <cell r="CJ603">
            <v>28.253975906703282</v>
          </cell>
          <cell r="CK603">
            <v>0</v>
          </cell>
          <cell r="CL603">
            <v>0</v>
          </cell>
          <cell r="CM603">
            <v>2.9747067386028281</v>
          </cell>
          <cell r="CN603">
            <v>0</v>
          </cell>
          <cell r="CO603">
            <v>0</v>
          </cell>
          <cell r="CP603">
            <v>52.631405746157256</v>
          </cell>
          <cell r="CQ603">
            <v>0</v>
          </cell>
          <cell r="CR603">
            <v>0</v>
          </cell>
          <cell r="CS603">
            <v>16.139911608536629</v>
          </cell>
          <cell r="CT603">
            <v>0</v>
          </cell>
          <cell r="CU603">
            <v>0</v>
          </cell>
          <cell r="CV603">
            <v>0</v>
          </cell>
          <cell r="CW603">
            <v>0</v>
          </cell>
          <cell r="CX603">
            <v>0</v>
          </cell>
        </row>
        <row r="604">
          <cell r="CI604" t="str">
            <v>Mathale</v>
          </cell>
          <cell r="CJ604">
            <v>26.988807414955151</v>
          </cell>
          <cell r="CK604">
            <v>0</v>
          </cell>
          <cell r="CL604">
            <v>0</v>
          </cell>
          <cell r="CM604">
            <v>3.8437773304065059</v>
          </cell>
          <cell r="CN604">
            <v>0</v>
          </cell>
          <cell r="CO604">
            <v>0</v>
          </cell>
          <cell r="CP604">
            <v>49.420403614525057</v>
          </cell>
          <cell r="CQ604">
            <v>0</v>
          </cell>
          <cell r="CR604">
            <v>0</v>
          </cell>
          <cell r="CS604">
            <v>19.725786540051587</v>
          </cell>
          <cell r="CT604">
            <v>0</v>
          </cell>
          <cell r="CU604">
            <v>0</v>
          </cell>
          <cell r="CV604">
            <v>2.1225100061690521E-2</v>
          </cell>
          <cell r="CW604">
            <v>0</v>
          </cell>
          <cell r="CX604">
            <v>0</v>
          </cell>
        </row>
        <row r="605">
          <cell r="CI605" t="str">
            <v>Peliyagoda</v>
          </cell>
          <cell r="CJ605">
            <v>29.126933429764019</v>
          </cell>
          <cell r="CK605">
            <v>0</v>
          </cell>
          <cell r="CL605">
            <v>0</v>
          </cell>
          <cell r="CM605">
            <v>5.8188515913471779</v>
          </cell>
          <cell r="CN605">
            <v>0</v>
          </cell>
          <cell r="CO605">
            <v>0</v>
          </cell>
          <cell r="CP605">
            <v>53.072437255544166</v>
          </cell>
          <cell r="CQ605">
            <v>0</v>
          </cell>
          <cell r="CR605">
            <v>0</v>
          </cell>
          <cell r="CS605">
            <v>11.981777723344649</v>
          </cell>
          <cell r="CT605">
            <v>0</v>
          </cell>
          <cell r="CU605">
            <v>0</v>
          </cell>
          <cell r="CV605">
            <v>0</v>
          </cell>
          <cell r="CW605">
            <v>0</v>
          </cell>
          <cell r="CX605">
            <v>0</v>
          </cell>
        </row>
        <row r="606">
          <cell r="CI606" t="str">
            <v>Kelaniya</v>
          </cell>
          <cell r="CJ606">
            <v>31.364946395492598</v>
          </cell>
          <cell r="CK606">
            <v>0</v>
          </cell>
          <cell r="CL606">
            <v>0</v>
          </cell>
          <cell r="CM606">
            <v>4.0808351115784198</v>
          </cell>
          <cell r="CN606">
            <v>0</v>
          </cell>
          <cell r="CO606">
            <v>0</v>
          </cell>
          <cell r="CP606">
            <v>47.08849437092293</v>
          </cell>
          <cell r="CQ606">
            <v>0</v>
          </cell>
          <cell r="CR606">
            <v>0</v>
          </cell>
          <cell r="CS606">
            <v>17.465724122006062</v>
          </cell>
          <cell r="CT606">
            <v>0</v>
          </cell>
          <cell r="CU606">
            <v>0</v>
          </cell>
          <cell r="CV606">
            <v>0</v>
          </cell>
          <cell r="CW606">
            <v>0</v>
          </cell>
          <cell r="CX606">
            <v>0</v>
          </cell>
        </row>
        <row r="607">
          <cell r="CI607" t="str">
            <v>Demategoda</v>
          </cell>
          <cell r="CJ607">
            <v>28.479032544653482</v>
          </cell>
          <cell r="CK607">
            <v>0</v>
          </cell>
          <cell r="CL607">
            <v>0</v>
          </cell>
          <cell r="CM607">
            <v>3.1418844613958004</v>
          </cell>
          <cell r="CN607">
            <v>0</v>
          </cell>
          <cell r="CO607">
            <v>0</v>
          </cell>
          <cell r="CP607">
            <v>52.263105025477415</v>
          </cell>
          <cell r="CQ607">
            <v>0</v>
          </cell>
          <cell r="CR607">
            <v>0</v>
          </cell>
          <cell r="CS607">
            <v>16.115977968473295</v>
          </cell>
          <cell r="CT607">
            <v>0</v>
          </cell>
          <cell r="CU607">
            <v>0</v>
          </cell>
          <cell r="CV607">
            <v>0</v>
          </cell>
          <cell r="CW607">
            <v>0</v>
          </cell>
          <cell r="CX607">
            <v>0</v>
          </cell>
        </row>
        <row r="608">
          <cell r="CI608" t="str">
            <v>Kolannawa</v>
          </cell>
          <cell r="CJ608">
            <v>32.442364663919008</v>
          </cell>
          <cell r="CK608">
            <v>0</v>
          </cell>
          <cell r="CL608">
            <v>0</v>
          </cell>
          <cell r="CM608">
            <v>4.6192869280906166</v>
          </cell>
          <cell r="CN608">
            <v>0</v>
          </cell>
          <cell r="CO608">
            <v>0</v>
          </cell>
          <cell r="CP608">
            <v>36.093661368622001</v>
          </cell>
          <cell r="CQ608">
            <v>0</v>
          </cell>
          <cell r="CR608">
            <v>0</v>
          </cell>
          <cell r="CS608">
            <v>26.844687039368374</v>
          </cell>
          <cell r="CT608">
            <v>0</v>
          </cell>
          <cell r="CU608">
            <v>0</v>
          </cell>
          <cell r="CV608">
            <v>0</v>
          </cell>
          <cell r="CW608">
            <v>0</v>
          </cell>
          <cell r="CX608">
            <v>0</v>
          </cell>
        </row>
        <row r="609">
          <cell r="CI609" t="str">
            <v>Avissawella</v>
          </cell>
          <cell r="CJ609">
            <v>39.773176900730583</v>
          </cell>
          <cell r="CK609">
            <v>0</v>
          </cell>
          <cell r="CL609">
            <v>0</v>
          </cell>
          <cell r="CM609">
            <v>5.2382352385534121</v>
          </cell>
          <cell r="CN609">
            <v>0</v>
          </cell>
          <cell r="CO609">
            <v>0</v>
          </cell>
          <cell r="CP609">
            <v>37.036701776590128</v>
          </cell>
          <cell r="CQ609">
            <v>0</v>
          </cell>
          <cell r="CR609">
            <v>0</v>
          </cell>
          <cell r="CS609">
            <v>17.951886084125885</v>
          </cell>
          <cell r="CT609">
            <v>0</v>
          </cell>
          <cell r="CU609">
            <v>0</v>
          </cell>
          <cell r="CV609">
            <v>0</v>
          </cell>
          <cell r="CW609">
            <v>0</v>
          </cell>
          <cell r="CX609">
            <v>0</v>
          </cell>
        </row>
        <row r="610">
          <cell r="CI610" t="str">
            <v>Homagama</v>
          </cell>
          <cell r="CJ610">
            <v>29.403092230880134</v>
          </cell>
          <cell r="CK610">
            <v>0</v>
          </cell>
          <cell r="CL610">
            <v>0</v>
          </cell>
          <cell r="CM610">
            <v>3.650906446560187</v>
          </cell>
          <cell r="CN610">
            <v>0</v>
          </cell>
          <cell r="CO610">
            <v>0</v>
          </cell>
          <cell r="CP610">
            <v>46.274427592171669</v>
          </cell>
          <cell r="CQ610">
            <v>0</v>
          </cell>
          <cell r="CR610">
            <v>0</v>
          </cell>
          <cell r="CS610">
            <v>20.671573730388015</v>
          </cell>
          <cell r="CT610">
            <v>0</v>
          </cell>
          <cell r="CU610">
            <v>0</v>
          </cell>
          <cell r="CV610">
            <v>0</v>
          </cell>
          <cell r="CW610">
            <v>0</v>
          </cell>
          <cell r="CX610">
            <v>0</v>
          </cell>
        </row>
        <row r="611">
          <cell r="CI611" t="str">
            <v>Galle</v>
          </cell>
          <cell r="CJ611">
            <v>33.41440242393189</v>
          </cell>
          <cell r="CK611">
            <v>0</v>
          </cell>
          <cell r="CL611">
            <v>0</v>
          </cell>
          <cell r="CM611">
            <v>4.261286406496489</v>
          </cell>
          <cell r="CN611">
            <v>0</v>
          </cell>
          <cell r="CO611">
            <v>0</v>
          </cell>
          <cell r="CP611">
            <v>36.212379806134294</v>
          </cell>
          <cell r="CQ611">
            <v>0</v>
          </cell>
          <cell r="CR611">
            <v>0</v>
          </cell>
          <cell r="CS611">
            <v>26.111931363437336</v>
          </cell>
          <cell r="CT611">
            <v>0</v>
          </cell>
          <cell r="CU611">
            <v>0</v>
          </cell>
          <cell r="CV611">
            <v>0</v>
          </cell>
          <cell r="CW611">
            <v>0</v>
          </cell>
          <cell r="CX611">
            <v>0</v>
          </cell>
        </row>
        <row r="612">
          <cell r="CI612" t="str">
            <v>Kohuwela</v>
          </cell>
          <cell r="CJ612">
            <v>43.8385868647648</v>
          </cell>
          <cell r="CK612">
            <v>0</v>
          </cell>
          <cell r="CL612">
            <v>0</v>
          </cell>
          <cell r="CM612">
            <v>3.6217930696572398</v>
          </cell>
          <cell r="CN612">
            <v>0</v>
          </cell>
          <cell r="CO612">
            <v>0</v>
          </cell>
          <cell r="CP612">
            <v>28.816592989848161</v>
          </cell>
          <cell r="CQ612">
            <v>0</v>
          </cell>
          <cell r="CR612">
            <v>0</v>
          </cell>
          <cell r="CS612">
            <v>23.723027075729796</v>
          </cell>
          <cell r="CT612">
            <v>0</v>
          </cell>
          <cell r="CU612">
            <v>0</v>
          </cell>
          <cell r="CV612">
            <v>0</v>
          </cell>
          <cell r="CW612">
            <v>0</v>
          </cell>
          <cell r="CX612">
            <v>0</v>
          </cell>
        </row>
        <row r="613">
          <cell r="CI613" t="str">
            <v>Mt lavinia-STC</v>
          </cell>
          <cell r="CJ613">
            <v>20.194300707326914</v>
          </cell>
          <cell r="CK613">
            <v>0</v>
          </cell>
          <cell r="CL613">
            <v>0</v>
          </cell>
          <cell r="CM613">
            <v>8.0581950830635343</v>
          </cell>
          <cell r="CN613">
            <v>0</v>
          </cell>
          <cell r="CO613">
            <v>0</v>
          </cell>
          <cell r="CP613">
            <v>47.409221895926642</v>
          </cell>
          <cell r="CQ613">
            <v>0</v>
          </cell>
          <cell r="CR613">
            <v>0</v>
          </cell>
          <cell r="CS613">
            <v>24.338282313682914</v>
          </cell>
          <cell r="CT613">
            <v>0</v>
          </cell>
          <cell r="CU613">
            <v>0</v>
          </cell>
          <cell r="CV613">
            <v>0</v>
          </cell>
          <cell r="CW613">
            <v>0</v>
          </cell>
          <cell r="CX613">
            <v>0</v>
          </cell>
        </row>
        <row r="614">
          <cell r="CI614" t="str">
            <v>Express Matara</v>
          </cell>
          <cell r="CJ614">
            <v>2.378948043156667</v>
          </cell>
          <cell r="CK614">
            <v>1.391521366062114</v>
          </cell>
          <cell r="CL614">
            <v>-70.960223908662343</v>
          </cell>
          <cell r="CM614">
            <v>4.9937846539994464</v>
          </cell>
          <cell r="CN614">
            <v>6.9442645753590089</v>
          </cell>
          <cell r="CO614">
            <v>28.087638369664585</v>
          </cell>
          <cell r="CP614">
            <v>69.970809630872893</v>
          </cell>
          <cell r="CQ614">
            <v>77.491977448224702</v>
          </cell>
          <cell r="CR614">
            <v>9.70573737439722</v>
          </cell>
          <cell r="CS614">
            <v>22.65645767197099</v>
          </cell>
          <cell r="CT614">
            <v>14.172236610354183</v>
          </cell>
          <cell r="CU614">
            <v>-59.86508195480075</v>
          </cell>
          <cell r="CV614">
            <v>0</v>
          </cell>
          <cell r="CW614">
            <v>0</v>
          </cell>
          <cell r="CX614">
            <v>0</v>
          </cell>
        </row>
        <row r="615">
          <cell r="CI615" t="str">
            <v>Express Maligawatte</v>
          </cell>
          <cell r="CJ615">
            <v>46.112186781781347</v>
          </cell>
          <cell r="CK615">
            <v>0</v>
          </cell>
          <cell r="CL615">
            <v>0</v>
          </cell>
          <cell r="CM615">
            <v>8.3057429841291572</v>
          </cell>
          <cell r="CN615">
            <v>0</v>
          </cell>
          <cell r="CO615">
            <v>0</v>
          </cell>
          <cell r="CP615">
            <v>27.642007730345124</v>
          </cell>
          <cell r="CQ615">
            <v>0</v>
          </cell>
          <cell r="CR615">
            <v>0</v>
          </cell>
          <cell r="CS615">
            <v>17.940062503744365</v>
          </cell>
          <cell r="CT615">
            <v>0</v>
          </cell>
          <cell r="CU615">
            <v>0</v>
          </cell>
          <cell r="CV615">
            <v>0</v>
          </cell>
          <cell r="CW615">
            <v>0</v>
          </cell>
          <cell r="CX615">
            <v>0</v>
          </cell>
        </row>
        <row r="616">
          <cell r="CI616" t="str">
            <v>Express Peradeniya</v>
          </cell>
          <cell r="CJ616">
            <v>-158.34527137724305</v>
          </cell>
          <cell r="CK616">
            <v>0</v>
          </cell>
          <cell r="CL616">
            <v>0</v>
          </cell>
          <cell r="CM616">
            <v>-30.079755563728583</v>
          </cell>
          <cell r="CN616">
            <v>0</v>
          </cell>
          <cell r="CO616">
            <v>0</v>
          </cell>
          <cell r="CP616">
            <v>339.51719721305619</v>
          </cell>
          <cell r="CQ616">
            <v>0</v>
          </cell>
          <cell r="CR616">
            <v>0</v>
          </cell>
          <cell r="CS616">
            <v>-51.092170272084537</v>
          </cell>
          <cell r="CT616">
            <v>0</v>
          </cell>
          <cell r="CU616">
            <v>0</v>
          </cell>
          <cell r="CV616">
            <v>0</v>
          </cell>
          <cell r="CW616">
            <v>0</v>
          </cell>
          <cell r="CX616">
            <v>0</v>
          </cell>
        </row>
        <row r="617">
          <cell r="CI617" t="str">
            <v>Express Alexandra Place</v>
          </cell>
          <cell r="CJ617">
            <v>45.432996554378526</v>
          </cell>
          <cell r="CK617">
            <v>0</v>
          </cell>
          <cell r="CL617">
            <v>0</v>
          </cell>
          <cell r="CM617">
            <v>6.2853298758575979</v>
          </cell>
          <cell r="CN617">
            <v>0</v>
          </cell>
          <cell r="CO617">
            <v>0</v>
          </cell>
          <cell r="CP617">
            <v>40.064970771228957</v>
          </cell>
          <cell r="CQ617">
            <v>0</v>
          </cell>
          <cell r="CR617">
            <v>0</v>
          </cell>
          <cell r="CS617">
            <v>8.2167027985349286</v>
          </cell>
          <cell r="CT617">
            <v>0</v>
          </cell>
          <cell r="CU617">
            <v>0</v>
          </cell>
          <cell r="CV617">
            <v>0</v>
          </cell>
          <cell r="CW617">
            <v>0</v>
          </cell>
          <cell r="CX617">
            <v>0</v>
          </cell>
        </row>
        <row r="618">
          <cell r="CI618" t="str">
            <v>Express Boralla</v>
          </cell>
          <cell r="CJ618">
            <v>42.932189949765807</v>
          </cell>
          <cell r="CK618">
            <v>0</v>
          </cell>
          <cell r="CL618">
            <v>0</v>
          </cell>
          <cell r="CM618">
            <v>9.3257123550393857</v>
          </cell>
          <cell r="CN618">
            <v>0</v>
          </cell>
          <cell r="CO618">
            <v>0</v>
          </cell>
          <cell r="CP618">
            <v>47.001321869500032</v>
          </cell>
          <cell r="CQ618">
            <v>0</v>
          </cell>
          <cell r="CR618">
            <v>0</v>
          </cell>
          <cell r="CS618">
            <v>0.74077582569479061</v>
          </cell>
          <cell r="CT618">
            <v>0</v>
          </cell>
          <cell r="CU618">
            <v>0</v>
          </cell>
          <cell r="CV618">
            <v>0</v>
          </cell>
          <cell r="CW618">
            <v>0</v>
          </cell>
          <cell r="CX618">
            <v>0</v>
          </cell>
        </row>
        <row r="619">
          <cell r="CI619" t="str">
            <v>Express Havelock Road</v>
          </cell>
          <cell r="CJ619">
            <v>35.295324086569664</v>
          </cell>
          <cell r="CK619">
            <v>0</v>
          </cell>
          <cell r="CL619">
            <v>0</v>
          </cell>
          <cell r="CM619">
            <v>8.4408781663547874</v>
          </cell>
          <cell r="CN619">
            <v>0</v>
          </cell>
          <cell r="CO619">
            <v>0</v>
          </cell>
          <cell r="CP619">
            <v>53.074520208255919</v>
          </cell>
          <cell r="CQ619">
            <v>0</v>
          </cell>
          <cell r="CR619">
            <v>0</v>
          </cell>
          <cell r="CS619">
            <v>3.1892775388196446</v>
          </cell>
          <cell r="CT619">
            <v>0</v>
          </cell>
          <cell r="CU619">
            <v>0</v>
          </cell>
          <cell r="CV619">
            <v>0</v>
          </cell>
          <cell r="CW619">
            <v>0</v>
          </cell>
          <cell r="CX619">
            <v>0</v>
          </cell>
        </row>
        <row r="620">
          <cell r="CI620" t="str">
            <v>Express Maradana</v>
          </cell>
          <cell r="CJ620">
            <v>20.131092743864652</v>
          </cell>
          <cell r="CK620">
            <v>0</v>
          </cell>
          <cell r="CL620">
            <v>0</v>
          </cell>
          <cell r="CM620">
            <v>34.758421047309071</v>
          </cell>
          <cell r="CN620">
            <v>0</v>
          </cell>
          <cell r="CO620">
            <v>0</v>
          </cell>
          <cell r="CP620">
            <v>23.700983544540524</v>
          </cell>
          <cell r="CQ620">
            <v>0</v>
          </cell>
          <cell r="CR620">
            <v>0</v>
          </cell>
          <cell r="CS620">
            <v>21.409502664285753</v>
          </cell>
          <cell r="CT620">
            <v>0</v>
          </cell>
          <cell r="CU620">
            <v>0</v>
          </cell>
          <cell r="CV620">
            <v>0</v>
          </cell>
          <cell r="CW620">
            <v>0</v>
          </cell>
          <cell r="CX620">
            <v>0</v>
          </cell>
        </row>
        <row r="621">
          <cell r="CI621" t="str">
            <v xml:space="preserve">Food City </v>
          </cell>
          <cell r="CJ621">
            <v>20.506921377846201</v>
          </cell>
          <cell r="CK621">
            <v>27.004244059678662</v>
          </cell>
          <cell r="CL621">
            <v>24.060376093008013</v>
          </cell>
          <cell r="CM621">
            <v>3.2714930823477832</v>
          </cell>
          <cell r="CN621">
            <v>2.9262234585558335</v>
          </cell>
          <cell r="CO621">
            <v>-11.799154394119618</v>
          </cell>
          <cell r="CP621">
            <v>36.091464327334457</v>
          </cell>
          <cell r="CQ621">
            <v>42.994417457892872</v>
          </cell>
          <cell r="CR621">
            <v>16.055463799036026</v>
          </cell>
          <cell r="CS621">
            <v>32.029668369929276</v>
          </cell>
          <cell r="CT621">
            <v>17.185004416121281</v>
          </cell>
          <cell r="CU621">
            <v>-86.38149629965875</v>
          </cell>
          <cell r="CV621">
            <v>8.100452842542289</v>
          </cell>
          <cell r="CW621">
            <v>9.890110607751371</v>
          </cell>
          <cell r="CX621">
            <v>18.095427201859991</v>
          </cell>
        </row>
        <row r="623">
          <cell r="CH623">
            <v>6</v>
          </cell>
          <cell r="CW623" t="str">
            <v>Appendix II</v>
          </cell>
        </row>
        <row r="624">
          <cell r="CH624" t="str">
            <v>CARGILLS ( CEYLON ) LTD</v>
          </cell>
        </row>
        <row r="626">
          <cell r="CH626" t="str">
            <v xml:space="preserve"> Composition of Direct Expenses by Profit Centres/Divisions - Month of March 2004</v>
          </cell>
        </row>
        <row r="627">
          <cell r="CI627" t="str">
            <v>MTH V MTH</v>
          </cell>
          <cell r="CX627">
            <v>38154.357810300928</v>
          </cell>
        </row>
        <row r="628">
          <cell r="CH628" t="str">
            <v>Profit Centre</v>
          </cell>
          <cell r="CJ628" t="str">
            <v>Staff Related</v>
          </cell>
          <cell r="CM628" t="str">
            <v>Administration</v>
          </cell>
          <cell r="CP628" t="str">
            <v>Establishment</v>
          </cell>
          <cell r="CS628" t="str">
            <v>Selling &amp; Distribution</v>
          </cell>
          <cell r="CV628" t="str">
            <v>D&amp;A and Finance</v>
          </cell>
        </row>
        <row r="629">
          <cell r="CJ629">
            <v>38047</v>
          </cell>
          <cell r="CK629">
            <v>37681</v>
          </cell>
          <cell r="CL629" t="str">
            <v>Var %</v>
          </cell>
          <cell r="CM629">
            <v>38047</v>
          </cell>
          <cell r="CN629">
            <v>37681</v>
          </cell>
          <cell r="CO629" t="str">
            <v>Var %</v>
          </cell>
          <cell r="CP629">
            <v>38047</v>
          </cell>
          <cell r="CQ629">
            <v>37681</v>
          </cell>
          <cell r="CR629" t="str">
            <v>Var %</v>
          </cell>
          <cell r="CS629">
            <v>38047</v>
          </cell>
          <cell r="CT629">
            <v>37681</v>
          </cell>
          <cell r="CU629" t="str">
            <v>Var %</v>
          </cell>
          <cell r="CV629">
            <v>38047</v>
          </cell>
          <cell r="CW629">
            <v>37681</v>
          </cell>
          <cell r="CX629" t="str">
            <v>Var %</v>
          </cell>
        </row>
        <row r="630">
          <cell r="CI630" t="str">
            <v>Department Store</v>
          </cell>
          <cell r="CJ630">
            <v>93.324858708844545</v>
          </cell>
          <cell r="CK630">
            <v>98.168982996951058</v>
          </cell>
          <cell r="CL630">
            <v>4.934475371163785</v>
          </cell>
          <cell r="CM630">
            <v>1.2801773741900071</v>
          </cell>
          <cell r="CN630">
            <v>0.22072164755616244</v>
          </cell>
          <cell r="CO630">
            <v>-479.99629323366077</v>
          </cell>
          <cell r="CP630">
            <v>0</v>
          </cell>
          <cell r="CQ630">
            <v>0.17710106432726663</v>
          </cell>
          <cell r="CR630">
            <v>100</v>
          </cell>
          <cell r="CS630">
            <v>5.3841834759196399</v>
          </cell>
          <cell r="CT630">
            <v>1.2962720487832251</v>
          </cell>
          <cell r="CU630">
            <v>-315.35906609832597</v>
          </cell>
          <cell r="CV630">
            <v>1.0780441045810588E-2</v>
          </cell>
          <cell r="CW630">
            <v>0.13692224238229739</v>
          </cell>
          <cell r="CX630">
            <v>92.126596191938802</v>
          </cell>
        </row>
        <row r="631">
          <cell r="CI631" t="str">
            <v>Books and Stationery</v>
          </cell>
          <cell r="CJ631">
            <v>55.021254497895477</v>
          </cell>
          <cell r="CK631">
            <v>46.340116179842717</v>
          </cell>
          <cell r="CL631">
            <v>-18.733527305719036</v>
          </cell>
          <cell r="CM631">
            <v>6.4209799737607796</v>
          </cell>
          <cell r="CN631">
            <v>5.6388197823351121</v>
          </cell>
          <cell r="CO631">
            <v>-13.870991122574312</v>
          </cell>
          <cell r="CP631">
            <v>35.676687516438903</v>
          </cell>
          <cell r="CQ631">
            <v>43.463393939601609</v>
          </cell>
          <cell r="CR631">
            <v>17.915550805773268</v>
          </cell>
          <cell r="CS631">
            <v>1.8904356433518101</v>
          </cell>
          <cell r="CT631">
            <v>2.8850857550207119</v>
          </cell>
          <cell r="CU631">
            <v>34.475582222746141</v>
          </cell>
          <cell r="CV631">
            <v>0.990642368553033</v>
          </cell>
          <cell r="CW631">
            <v>1.6725843431998468</v>
          </cell>
          <cell r="CX631">
            <v>40.771754047522656</v>
          </cell>
        </row>
        <row r="632">
          <cell r="CI632" t="str">
            <v>Hatton Liquor</v>
          </cell>
          <cell r="CJ632">
            <v>17.665537738068306</v>
          </cell>
          <cell r="CK632">
            <v>17.709283864889127</v>
          </cell>
          <cell r="CL632">
            <v>0.24702369194924473</v>
          </cell>
          <cell r="CM632">
            <v>4.3681062958391079</v>
          </cell>
          <cell r="CN632">
            <v>5.3314071475251952</v>
          </cell>
          <cell r="CO632">
            <v>18.068416555528785</v>
          </cell>
          <cell r="CP632">
            <v>3.6785449379024957</v>
          </cell>
          <cell r="CQ632">
            <v>2.9299977136660047</v>
          </cell>
          <cell r="CR632">
            <v>-25.547706769365046</v>
          </cell>
          <cell r="CS632">
            <v>74.287811028190092</v>
          </cell>
          <cell r="CT632">
            <v>74.029311273919674</v>
          </cell>
          <cell r="CU632">
            <v>-0.34918568040425096</v>
          </cell>
          <cell r="CV632">
            <v>0</v>
          </cell>
          <cell r="CW632">
            <v>0</v>
          </cell>
          <cell r="CX632">
            <v>0</v>
          </cell>
        </row>
        <row r="633">
          <cell r="CI633" t="str">
            <v>Retail Division</v>
          </cell>
          <cell r="CJ633">
            <v>20.697394187836213</v>
          </cell>
          <cell r="CK633">
            <v>27.185803137715791</v>
          </cell>
          <cell r="CL633">
            <v>23.866901842152995</v>
          </cell>
          <cell r="CM633">
            <v>3.2855201471229676</v>
          </cell>
          <cell r="CN633">
            <v>2.9539433239731419</v>
          </cell>
          <cell r="CO633">
            <v>-11.224887778274804</v>
          </cell>
          <cell r="CP633">
            <v>36.024722091069037</v>
          </cell>
          <cell r="CQ633">
            <v>42.86678771350342</v>
          </cell>
          <cell r="CR633">
            <v>15.961227764867184</v>
          </cell>
          <cell r="CS633">
            <v>31.938626364111844</v>
          </cell>
          <cell r="CT633">
            <v>17.204930035537469</v>
          </cell>
          <cell r="CU633">
            <v>-85.636479184404337</v>
          </cell>
          <cell r="CV633">
            <v>8.0537372098599391</v>
          </cell>
          <cell r="CW633">
            <v>9.7885357892701865</v>
          </cell>
          <cell r="CX633">
            <v>17.722758712409945</v>
          </cell>
        </row>
        <row r="634">
          <cell r="CI634" t="str">
            <v>Commercial Division</v>
          </cell>
          <cell r="CJ634">
            <v>41.319518997957388</v>
          </cell>
          <cell r="CK634">
            <v>38.691871810251214</v>
          </cell>
          <cell r="CL634">
            <v>-6.7912123781253513</v>
          </cell>
          <cell r="CM634">
            <v>25.6932535061773</v>
          </cell>
          <cell r="CN634">
            <v>25.383486371020748</v>
          </cell>
          <cell r="CO634">
            <v>-1.2203490514612667</v>
          </cell>
          <cell r="CP634">
            <v>6.1320199134881488</v>
          </cell>
          <cell r="CQ634">
            <v>15.453279094417846</v>
          </cell>
          <cell r="CR634">
            <v>60.318972588133711</v>
          </cell>
          <cell r="CS634">
            <v>25.068643044491818</v>
          </cell>
          <cell r="CT634">
            <v>15.105506662231443</v>
          </cell>
          <cell r="CU634">
            <v>-65.956982476935877</v>
          </cell>
          <cell r="CV634">
            <v>1.7865645378853539</v>
          </cell>
          <cell r="CW634">
            <v>5.3658560620787474</v>
          </cell>
          <cell r="CX634">
            <v>66.704948526084124</v>
          </cell>
        </row>
        <row r="635">
          <cell r="CI635" t="str">
            <v>Hampers</v>
          </cell>
          <cell r="CJ635">
            <v>47.472734607573102</v>
          </cell>
          <cell r="CK635">
            <v>0</v>
          </cell>
          <cell r="CL635">
            <v>0</v>
          </cell>
          <cell r="CM635">
            <v>1.0551428650919512</v>
          </cell>
          <cell r="CN635">
            <v>0</v>
          </cell>
          <cell r="CO635">
            <v>0</v>
          </cell>
          <cell r="CP635">
            <v>0</v>
          </cell>
          <cell r="CQ635">
            <v>0</v>
          </cell>
          <cell r="CR635">
            <v>0</v>
          </cell>
          <cell r="CS635">
            <v>51.472122527334953</v>
          </cell>
          <cell r="CT635">
            <v>100</v>
          </cell>
          <cell r="CU635">
            <v>48.527877472665047</v>
          </cell>
          <cell r="CV635">
            <v>0</v>
          </cell>
          <cell r="CW635">
            <v>0</v>
          </cell>
          <cell r="CX635">
            <v>0</v>
          </cell>
        </row>
        <row r="636">
          <cell r="CI636" t="str">
            <v>Wines &amp; Spirits</v>
          </cell>
          <cell r="CJ636">
            <v>63.963099506802102</v>
          </cell>
          <cell r="CK636">
            <v>23.209696386789318</v>
          </cell>
          <cell r="CL636">
            <v>-175.58783381246269</v>
          </cell>
          <cell r="CM636">
            <v>13.143354054564476</v>
          </cell>
          <cell r="CN636">
            <v>15.878034329617707</v>
          </cell>
          <cell r="CO636">
            <v>17.223040448729609</v>
          </cell>
          <cell r="CP636">
            <v>8.728405821386212E-2</v>
          </cell>
          <cell r="CQ636">
            <v>0.25277659507571798</v>
          </cell>
          <cell r="CR636">
            <v>65.469881344150309</v>
          </cell>
          <cell r="CS636">
            <v>28.866154046088756</v>
          </cell>
          <cell r="CT636">
            <v>70.576202454170499</v>
          </cell>
          <cell r="CU636">
            <v>59.09930962234283</v>
          </cell>
          <cell r="CV636">
            <v>-6.0598916656691948</v>
          </cell>
          <cell r="CW636">
            <v>-9.9167097656532448</v>
          </cell>
          <cell r="CX636">
            <v>-38.892114331531907</v>
          </cell>
        </row>
        <row r="637">
          <cell r="CI637" t="str">
            <v xml:space="preserve">Total </v>
          </cell>
          <cell r="CJ637">
            <v>21.798730575211348</v>
          </cell>
          <cell r="CK637">
            <v>27.496312577902938</v>
          </cell>
          <cell r="CL637">
            <v>20.721258483475268</v>
          </cell>
          <cell r="CM637">
            <v>4.1754508158947701</v>
          </cell>
          <cell r="CN637">
            <v>3.9090417185613124</v>
          </cell>
          <cell r="CO637">
            <v>-6.8152022033550237</v>
          </cell>
          <cell r="CP637">
            <v>34.643537712620812</v>
          </cell>
          <cell r="CQ637">
            <v>41.246311780006359</v>
          </cell>
          <cell r="CR637">
            <v>16.008156323412557</v>
          </cell>
          <cell r="CS637">
            <v>31.67094796520054</v>
          </cell>
          <cell r="CT637">
            <v>18.037409103275888</v>
          </cell>
          <cell r="CU637">
            <v>-75.584795930855606</v>
          </cell>
          <cell r="CV637">
            <v>7.7113329310725396</v>
          </cell>
          <cell r="CW637">
            <v>9.3109248202535166</v>
          </cell>
          <cell r="CX637">
            <v>17.179731552567983</v>
          </cell>
        </row>
        <row r="652">
          <cell r="CH652">
            <v>7</v>
          </cell>
          <cell r="CW652" t="str">
            <v>Appendix III</v>
          </cell>
        </row>
        <row r="653">
          <cell r="CH653" t="str">
            <v>CARGILLS ( CEYLON ) LTD</v>
          </cell>
        </row>
        <row r="655">
          <cell r="CH655" t="str">
            <v xml:space="preserve"> Margin Analysis by Profit Centres/Divisions - Month of March 2004</v>
          </cell>
        </row>
        <row r="656">
          <cell r="CI656" t="str">
            <v>MTH V MTH</v>
          </cell>
          <cell r="CX656">
            <v>38154.357810300928</v>
          </cell>
        </row>
        <row r="657">
          <cell r="CH657" t="str">
            <v>Profit Centre</v>
          </cell>
          <cell r="CJ657" t="str">
            <v>Staff Related</v>
          </cell>
          <cell r="CM657" t="str">
            <v>Administration</v>
          </cell>
          <cell r="CP657" t="str">
            <v>Establishment</v>
          </cell>
          <cell r="CS657" t="str">
            <v>Selling &amp; Distribution</v>
          </cell>
          <cell r="CV657" t="str">
            <v>D&amp;A and Finance</v>
          </cell>
        </row>
        <row r="658">
          <cell r="CJ658">
            <v>38047</v>
          </cell>
          <cell r="CK658">
            <v>37681</v>
          </cell>
          <cell r="CL658" t="str">
            <v>Var %</v>
          </cell>
          <cell r="CM658">
            <v>38047</v>
          </cell>
          <cell r="CN658">
            <v>37681</v>
          </cell>
          <cell r="CO658" t="str">
            <v>Var %</v>
          </cell>
          <cell r="CP658">
            <v>38047</v>
          </cell>
          <cell r="CQ658">
            <v>37681</v>
          </cell>
          <cell r="CR658" t="str">
            <v>Var %</v>
          </cell>
          <cell r="CS658">
            <v>38047</v>
          </cell>
          <cell r="CT658">
            <v>37681</v>
          </cell>
          <cell r="CU658" t="str">
            <v>Var %</v>
          </cell>
          <cell r="CV658">
            <v>38047</v>
          </cell>
          <cell r="CW658">
            <v>37681</v>
          </cell>
          <cell r="CX658" t="str">
            <v>Var %</v>
          </cell>
        </row>
        <row r="659">
          <cell r="CI659" t="str">
            <v>Staples Street</v>
          </cell>
          <cell r="CJ659">
            <v>1.360225207433291</v>
          </cell>
          <cell r="CK659">
            <v>1.9131752974499605</v>
          </cell>
          <cell r="CL659">
            <v>28.902217729535156</v>
          </cell>
          <cell r="CM659">
            <v>0.23810022772047737</v>
          </cell>
          <cell r="CN659">
            <v>0.25713060759664536</v>
          </cell>
          <cell r="CO659">
            <v>7.4010558501928667</v>
          </cell>
          <cell r="CP659">
            <v>4.9887116340986513</v>
          </cell>
          <cell r="CQ659">
            <v>3.7588859114719466</v>
          </cell>
          <cell r="CR659">
            <v>-32.717825217129715</v>
          </cell>
          <cell r="CS659">
            <v>5.3815191932208544</v>
          </cell>
          <cell r="CT659">
            <v>2.0321507470787434</v>
          </cell>
          <cell r="CU659">
            <v>-164.81889697193449</v>
          </cell>
          <cell r="CV659">
            <v>0.94074734815053784</v>
          </cell>
          <cell r="CW659">
            <v>1.0711885893637625</v>
          </cell>
          <cell r="CX659">
            <v>12.17724334523586</v>
          </cell>
        </row>
        <row r="660">
          <cell r="CI660" t="str">
            <v>Kandy</v>
          </cell>
          <cell r="CJ660">
            <v>0.9945060577451762</v>
          </cell>
          <cell r="CK660">
            <v>1.7159380617202495</v>
          </cell>
          <cell r="CL660">
            <v>42.043009597434342</v>
          </cell>
          <cell r="CM660">
            <v>0.19333190032154185</v>
          </cell>
          <cell r="CN660">
            <v>0.35638306616733784</v>
          </cell>
          <cell r="CO660">
            <v>45.75165919057337</v>
          </cell>
          <cell r="CP660">
            <v>2.3178200420340693</v>
          </cell>
          <cell r="CQ660">
            <v>3.2135719374594927</v>
          </cell>
          <cell r="CR660">
            <v>27.874026561657278</v>
          </cell>
          <cell r="CS660">
            <v>4.2003453152572368</v>
          </cell>
          <cell r="CT660">
            <v>1.687565098472791</v>
          </cell>
          <cell r="CU660">
            <v>-148.89975024124735</v>
          </cell>
          <cell r="CV660">
            <v>0.92014833567861942</v>
          </cell>
          <cell r="CW660">
            <v>0.90972263658396157</v>
          </cell>
          <cell r="CX660">
            <v>-1.1460305235238171</v>
          </cell>
        </row>
        <row r="661">
          <cell r="CI661" t="str">
            <v>Mount Lavinia</v>
          </cell>
          <cell r="CJ661">
            <v>1.3594487907730153</v>
          </cell>
          <cell r="CK661">
            <v>1.5243080976872094</v>
          </cell>
          <cell r="CL661">
            <v>10.815353350436872</v>
          </cell>
          <cell r="CM661">
            <v>0.24590014034289337</v>
          </cell>
          <cell r="CN661">
            <v>0.2034684756387618</v>
          </cell>
          <cell r="CO661">
            <v>-20.854171424306926</v>
          </cell>
          <cell r="CP661">
            <v>3.5540880102071002</v>
          </cell>
          <cell r="CQ661">
            <v>2.8195625113601701</v>
          </cell>
          <cell r="CR661">
            <v>-26.051045007425337</v>
          </cell>
          <cell r="CS661">
            <v>3.9811255222434436</v>
          </cell>
          <cell r="CT661">
            <v>1.322236545052796</v>
          </cell>
          <cell r="CU661">
            <v>-201.09026536431728</v>
          </cell>
          <cell r="CV661">
            <v>0.32786284500592738</v>
          </cell>
          <cell r="CW661">
            <v>0.4611154336766855</v>
          </cell>
          <cell r="CX661">
            <v>28.897880864293334</v>
          </cell>
        </row>
        <row r="662">
          <cell r="CI662" t="str">
            <v>Wellawatte</v>
          </cell>
          <cell r="CJ662">
            <v>2.7390451633436856</v>
          </cell>
          <cell r="CK662">
            <v>2.7161297274713716</v>
          </cell>
          <cell r="CL662">
            <v>-0.84367972709637717</v>
          </cell>
          <cell r="CM662">
            <v>0.87409836557649123</v>
          </cell>
          <cell r="CN662">
            <v>-0.87654925593705202</v>
          </cell>
          <cell r="CO662">
            <v>-199.72039331002102</v>
          </cell>
          <cell r="CP662">
            <v>7.8693672179939806</v>
          </cell>
          <cell r="CQ662">
            <v>4.4997220446236348</v>
          </cell>
          <cell r="CR662">
            <v>-74.8856293778517</v>
          </cell>
          <cell r="CS662">
            <v>4.7747833157118187</v>
          </cell>
          <cell r="CT662">
            <v>1.9485199883293269</v>
          </cell>
          <cell r="CU662">
            <v>-145.04666846172555</v>
          </cell>
          <cell r="CV662">
            <v>0.26687870718361867</v>
          </cell>
          <cell r="CW662">
            <v>0.43075458266697891</v>
          </cell>
          <cell r="CX662">
            <v>38.043907616429117</v>
          </cell>
        </row>
        <row r="663">
          <cell r="CI663" t="str">
            <v>Bambalapitiya</v>
          </cell>
          <cell r="CJ663">
            <v>1.4967271431505822</v>
          </cell>
          <cell r="CK663">
            <v>2.6299886059938551</v>
          </cell>
          <cell r="CL663">
            <v>43.089976141361305</v>
          </cell>
          <cell r="CM663">
            <v>0.4003832666439302</v>
          </cell>
          <cell r="CN663">
            <v>0.14691650978990753</v>
          </cell>
          <cell r="CO663">
            <v>-172.52435224365414</v>
          </cell>
          <cell r="CP663">
            <v>6.9994835582530346</v>
          </cell>
          <cell r="CQ663">
            <v>7.2152176799366554</v>
          </cell>
          <cell r="CR663">
            <v>2.9899877072802994</v>
          </cell>
          <cell r="CS663">
            <v>4.8023903288733383</v>
          </cell>
          <cell r="CT663">
            <v>1.9679908912989763</v>
          </cell>
          <cell r="CU663">
            <v>-144.02502827152369</v>
          </cell>
          <cell r="CV663">
            <v>0.40839130178609284</v>
          </cell>
          <cell r="CW663">
            <v>0.42300838499058185</v>
          </cell>
          <cell r="CX663">
            <v>3.4555067282683907</v>
          </cell>
        </row>
        <row r="664">
          <cell r="CI664" t="str">
            <v>Nuwara Eliya</v>
          </cell>
          <cell r="CJ664">
            <v>1.9614796487196902</v>
          </cell>
          <cell r="CK664">
            <v>2.5198261366506127</v>
          </cell>
          <cell r="CL664">
            <v>22.158135428862735</v>
          </cell>
          <cell r="CM664">
            <v>0.56461561647492731</v>
          </cell>
          <cell r="CN664">
            <v>0.54931764810963057</v>
          </cell>
          <cell r="CO664">
            <v>-2.7849038562554296</v>
          </cell>
          <cell r="CP664">
            <v>4.7765346544920497</v>
          </cell>
          <cell r="CQ664">
            <v>5.5195513573304513</v>
          </cell>
          <cell r="CR664">
            <v>13.46154161337062</v>
          </cell>
          <cell r="CS664">
            <v>5.310048669362426</v>
          </cell>
          <cell r="CT664">
            <v>1.4313266974498184</v>
          </cell>
          <cell r="CU664">
            <v>-270.98788689006437</v>
          </cell>
          <cell r="CV664">
            <v>1.6354683696160899</v>
          </cell>
          <cell r="CW664">
            <v>2.5649459379760824</v>
          </cell>
          <cell r="CX664">
            <v>36.237706011590006</v>
          </cell>
        </row>
        <row r="665">
          <cell r="CI665" t="str">
            <v>Bandarawela</v>
          </cell>
          <cell r="CJ665">
            <v>1.1768656225885188</v>
          </cell>
          <cell r="CK665">
            <v>1.2827271284111426</v>
          </cell>
          <cell r="CL665">
            <v>8.2528468820761383</v>
          </cell>
          <cell r="CM665">
            <v>0.23712982421937651</v>
          </cell>
          <cell r="CN665">
            <v>0.31092950070143988</v>
          </cell>
          <cell r="CO665">
            <v>23.735179941297098</v>
          </cell>
          <cell r="CP665">
            <v>2.3821814015193747</v>
          </cell>
          <cell r="CQ665">
            <v>1.6743938136968957</v>
          </cell>
          <cell r="CR665">
            <v>-42.271273462230141</v>
          </cell>
          <cell r="CS665">
            <v>3.2402177863181678</v>
          </cell>
          <cell r="CT665">
            <v>0.86215076238935895</v>
          </cell>
          <cell r="CU665">
            <v>-275.82960285719048</v>
          </cell>
          <cell r="CV665">
            <v>0.21123075026485233</v>
          </cell>
          <cell r="CW665">
            <v>0.27925331600504477</v>
          </cell>
          <cell r="CX665">
            <v>24.358731603732721</v>
          </cell>
        </row>
        <row r="666">
          <cell r="CI666" t="str">
            <v>Maharagama</v>
          </cell>
          <cell r="CJ666">
            <v>2.2176077851710301</v>
          </cell>
          <cell r="CK666">
            <v>1.9091795929741227</v>
          </cell>
          <cell r="CL666">
            <v>-16.15501199216348</v>
          </cell>
          <cell r="CM666">
            <v>0.28356857928859736</v>
          </cell>
          <cell r="CN666">
            <v>0.2610311498828094</v>
          </cell>
          <cell r="CO666">
            <v>-8.6339999712318587</v>
          </cell>
          <cell r="CP666">
            <v>4.4459022908880446</v>
          </cell>
          <cell r="CQ666">
            <v>4.8383355588617656</v>
          </cell>
          <cell r="CR666">
            <v>8.1109146564865835</v>
          </cell>
          <cell r="CS666">
            <v>4.6605428768428423</v>
          </cell>
          <cell r="CT666">
            <v>2.090561596201197</v>
          </cell>
          <cell r="CU666">
            <v>-122.93257875355654</v>
          </cell>
          <cell r="CV666">
            <v>0.41048989941661213</v>
          </cell>
          <cell r="CW666">
            <v>0.60114466686574486</v>
          </cell>
          <cell r="CX666">
            <v>31.715288841065632</v>
          </cell>
        </row>
        <row r="667">
          <cell r="CI667" t="str">
            <v>Kiribathgoda</v>
          </cell>
          <cell r="CJ667">
            <v>1.6027869653751432</v>
          </cell>
          <cell r="CK667">
            <v>2.5797203479621373</v>
          </cell>
          <cell r="CL667">
            <v>37.869739770775048</v>
          </cell>
          <cell r="CM667">
            <v>0.46017313434036694</v>
          </cell>
          <cell r="CN667">
            <v>0.31899303687305613</v>
          </cell>
          <cell r="CO667">
            <v>-44.258049909563915</v>
          </cell>
          <cell r="CP667">
            <v>-4.5441252531943892</v>
          </cell>
          <cell r="CQ667">
            <v>4.1042903829105031</v>
          </cell>
          <cell r="CR667">
            <v>210.7164656797988</v>
          </cell>
          <cell r="CS667">
            <v>5.906466556214351</v>
          </cell>
          <cell r="CT667">
            <v>1.9905994354965701</v>
          </cell>
          <cell r="CU667">
            <v>-196.71798609452225</v>
          </cell>
          <cell r="CV667">
            <v>0.49932179774889157</v>
          </cell>
          <cell r="CW667">
            <v>0.38398317766437917</v>
          </cell>
          <cell r="CX667">
            <v>-30.03741486438873</v>
          </cell>
        </row>
        <row r="668">
          <cell r="CI668" t="str">
            <v>Nugegoda</v>
          </cell>
          <cell r="CJ668">
            <v>2.6965315255006046</v>
          </cell>
          <cell r="CK668">
            <v>2.3447182952376471</v>
          </cell>
          <cell r="CL668">
            <v>-15.004498876369274</v>
          </cell>
          <cell r="CM668">
            <v>0.30764555641255764</v>
          </cell>
          <cell r="CN668">
            <v>8.6405522774504584E-2</v>
          </cell>
          <cell r="CO668">
            <v>-256.04848687210733</v>
          </cell>
          <cell r="CP668">
            <v>5.228248974680441</v>
          </cell>
          <cell r="CQ668">
            <v>5.1417304121541605</v>
          </cell>
          <cell r="CR668">
            <v>-1.6826740336631736</v>
          </cell>
          <cell r="CS668">
            <v>5.2025674494387921</v>
          </cell>
          <cell r="CT668">
            <v>2.2511031836659532</v>
          </cell>
          <cell r="CU668">
            <v>-131.11190491794062</v>
          </cell>
          <cell r="CV668">
            <v>0.68405886933827209</v>
          </cell>
          <cell r="CW668">
            <v>0.40871840000984416</v>
          </cell>
          <cell r="CX668">
            <v>-67.366790759064486</v>
          </cell>
        </row>
        <row r="669">
          <cell r="CI669" t="str">
            <v>Fort</v>
          </cell>
          <cell r="CJ669">
            <v>1.8769574851597581</v>
          </cell>
          <cell r="CK669">
            <v>2.2382746414876724</v>
          </cell>
          <cell r="CL669">
            <v>16.142664069489001</v>
          </cell>
          <cell r="CM669">
            <v>0.19959985005827338</v>
          </cell>
          <cell r="CN669">
            <v>0.21440302948724604</v>
          </cell>
          <cell r="CO669">
            <v>6.9043704579991694</v>
          </cell>
          <cell r="CP669">
            <v>0.30841122062110315</v>
          </cell>
          <cell r="CQ669">
            <v>0.27904218037262868</v>
          </cell>
          <cell r="CR669">
            <v>-10.524946518571317</v>
          </cell>
          <cell r="CS669">
            <v>4.3535668358742878</v>
          </cell>
          <cell r="CT669">
            <v>1.0804104135976407</v>
          </cell>
          <cell r="CU669">
            <v>-302.95491241864448</v>
          </cell>
          <cell r="CV669">
            <v>0.26577372331105154</v>
          </cell>
          <cell r="CW669">
            <v>0.36260255898679106</v>
          </cell>
          <cell r="CX669">
            <v>26.703847856536171</v>
          </cell>
        </row>
        <row r="670">
          <cell r="CI670" t="str">
            <v>Malabe</v>
          </cell>
          <cell r="CJ670">
            <v>2.2107695293318077</v>
          </cell>
          <cell r="CK670">
            <v>2.4200358729549456</v>
          </cell>
          <cell r="CL670">
            <v>8.6472413885177914</v>
          </cell>
          <cell r="CM670">
            <v>0.40302541377099022</v>
          </cell>
          <cell r="CN670">
            <v>0.28864806827353029</v>
          </cell>
          <cell r="CO670">
            <v>-39.625190004415003</v>
          </cell>
          <cell r="CP670">
            <v>4.4959766591245183</v>
          </cell>
          <cell r="CQ670">
            <v>5.5685457248301189</v>
          </cell>
          <cell r="CR670">
            <v>19.261206043851274</v>
          </cell>
          <cell r="CS670">
            <v>4.7520496260440677</v>
          </cell>
          <cell r="CT670">
            <v>2.0203431514143015</v>
          </cell>
          <cell r="CU670">
            <v>-135.21002472859567</v>
          </cell>
          <cell r="CV670">
            <v>0.3546176646343227</v>
          </cell>
          <cell r="CW670">
            <v>1.2588177490953607</v>
          </cell>
          <cell r="CX670">
            <v>71.829308500840099</v>
          </cell>
        </row>
        <row r="671">
          <cell r="CI671" t="str">
            <v>Negombo</v>
          </cell>
          <cell r="CJ671">
            <v>2.2581409070403313</v>
          </cell>
          <cell r="CK671">
            <v>1.4041647782612239</v>
          </cell>
          <cell r="CL671">
            <v>-60.817372861081544</v>
          </cell>
          <cell r="CM671">
            <v>0.23970619928883166</v>
          </cell>
          <cell r="CN671">
            <v>0.30463137113776911</v>
          </cell>
          <cell r="CO671">
            <v>21.312700529314537</v>
          </cell>
          <cell r="CP671">
            <v>3.3413998203942064</v>
          </cell>
          <cell r="CQ671">
            <v>4.3669172274959234</v>
          </cell>
          <cell r="CR671">
            <v>23.483783952776431</v>
          </cell>
          <cell r="CS671">
            <v>4.4185368752869536</v>
          </cell>
          <cell r="CT671">
            <v>1.5562953860228264</v>
          </cell>
          <cell r="CU671">
            <v>-183.91376823256522</v>
          </cell>
          <cell r="CV671">
            <v>0.44470018878625978</v>
          </cell>
          <cell r="CW671">
            <v>1.0603980208510668</v>
          </cell>
          <cell r="CX671">
            <v>58.062899020751935</v>
          </cell>
        </row>
        <row r="672">
          <cell r="CI672" t="str">
            <v>Rajagiriya</v>
          </cell>
          <cell r="CJ672">
            <v>2.1434682228289299</v>
          </cell>
          <cell r="CK672">
            <v>3.4434803917004242</v>
          </cell>
          <cell r="CL672">
            <v>37.752855279931929</v>
          </cell>
          <cell r="CM672">
            <v>0.42363888972471758</v>
          </cell>
          <cell r="CN672">
            <v>0.39811295898508176</v>
          </cell>
          <cell r="CO672">
            <v>-6.4117306818420703</v>
          </cell>
          <cell r="CP672">
            <v>3.7950895879361597</v>
          </cell>
          <cell r="CQ672">
            <v>2.0666842466874673</v>
          </cell>
          <cell r="CR672">
            <v>-83.631805101288364</v>
          </cell>
          <cell r="CS672">
            <v>5.6586315253364026</v>
          </cell>
          <cell r="CT672">
            <v>2.4944182970707005</v>
          </cell>
          <cell r="CU672">
            <v>-126.8517486414195</v>
          </cell>
          <cell r="CV672">
            <v>0.65570327153932295</v>
          </cell>
          <cell r="CW672">
            <v>1.3038578381750712</v>
          </cell>
          <cell r="CX672">
            <v>49.710524234983311</v>
          </cell>
        </row>
        <row r="673">
          <cell r="CI673" t="str">
            <v>Boralesgamuwa</v>
          </cell>
          <cell r="CJ673">
            <v>3.4589791564021679</v>
          </cell>
          <cell r="CK673">
            <v>2.3620573174443225</v>
          </cell>
          <cell r="CL673">
            <v>-46.439255764745077</v>
          </cell>
          <cell r="CM673">
            <v>0.6733720124058703</v>
          </cell>
          <cell r="CN673">
            <v>0.89523882313045333</v>
          </cell>
          <cell r="CO673">
            <v>24.782974664655804</v>
          </cell>
          <cell r="CP673">
            <v>5.926077535741098</v>
          </cell>
          <cell r="CQ673">
            <v>9.7559879538654641</v>
          </cell>
          <cell r="CR673">
            <v>39.257022827779323</v>
          </cell>
          <cell r="CS673">
            <v>4.4135349516100781</v>
          </cell>
          <cell r="CT673">
            <v>2.6527614135332716</v>
          </cell>
          <cell r="CU673">
            <v>-66.375118738311016</v>
          </cell>
          <cell r="CV673">
            <v>0.75931168869812515</v>
          </cell>
          <cell r="CW673">
            <v>2.0730110710278367</v>
          </cell>
          <cell r="CX673">
            <v>63.371556509746739</v>
          </cell>
        </row>
        <row r="674">
          <cell r="CI674" t="str">
            <v>Pitakotte</v>
          </cell>
          <cell r="CJ674">
            <v>2.1830978630732139</v>
          </cell>
          <cell r="CK674">
            <v>3.4281816780953074</v>
          </cell>
          <cell r="CL674">
            <v>36.319073256171777</v>
          </cell>
          <cell r="CM674">
            <v>0.642106586349942</v>
          </cell>
          <cell r="CN674">
            <v>0.36317712924873347</v>
          </cell>
          <cell r="CO674">
            <v>-76.802594281804232</v>
          </cell>
          <cell r="CP674">
            <v>4.2789208277166768</v>
          </cell>
          <cell r="CQ674">
            <v>4.696374739210885</v>
          </cell>
          <cell r="CR674">
            <v>8.8888543754570897</v>
          </cell>
          <cell r="CS674">
            <v>4.8621770225943992</v>
          </cell>
          <cell r="CT674">
            <v>2.5570419859421141</v>
          </cell>
          <cell r="CU674">
            <v>-90.148501640773148</v>
          </cell>
          <cell r="CV674">
            <v>1.5008142552890669</v>
          </cell>
          <cell r="CW674">
            <v>2.0308620965844226</v>
          </cell>
          <cell r="CX674">
            <v>26.099647149198823</v>
          </cell>
        </row>
        <row r="675">
          <cell r="CI675" t="str">
            <v>Panadura</v>
          </cell>
          <cell r="CJ675">
            <v>2.2629819923534189</v>
          </cell>
          <cell r="CK675">
            <v>2.8342961511107005</v>
          </cell>
          <cell r="CL675">
            <v>20.157179359446815</v>
          </cell>
          <cell r="CM675">
            <v>0.23322113626489788</v>
          </cell>
          <cell r="CN675">
            <v>0.18920786745812387</v>
          </cell>
          <cell r="CO675">
            <v>-23.261859772567423</v>
          </cell>
          <cell r="CP675">
            <v>4.1527781053882302</v>
          </cell>
          <cell r="CQ675">
            <v>6.077719364030588</v>
          </cell>
          <cell r="CR675">
            <v>31.672098419591819</v>
          </cell>
          <cell r="CS675">
            <v>4.2885624571542911</v>
          </cell>
          <cell r="CT675">
            <v>2.5363473923351108</v>
          </cell>
          <cell r="CU675">
            <v>-69.084190521945345</v>
          </cell>
          <cell r="CV675">
            <v>1.6324092307178109</v>
          </cell>
          <cell r="CW675">
            <v>2.4977575199847442</v>
          </cell>
          <cell r="CX675">
            <v>34.645007865784294</v>
          </cell>
        </row>
        <row r="676">
          <cell r="CI676" t="str">
            <v>Kurunagala</v>
          </cell>
          <cell r="CJ676">
            <v>1.6355871563508608</v>
          </cell>
          <cell r="CK676">
            <v>3.6536481305639557</v>
          </cell>
          <cell r="CL676">
            <v>55.234135912852636</v>
          </cell>
          <cell r="CM676">
            <v>0.35578744931347311</v>
          </cell>
          <cell r="CN676">
            <v>0.49917899842325519</v>
          </cell>
          <cell r="CO676">
            <v>28.725477146015667</v>
          </cell>
          <cell r="CP676">
            <v>4.3886673710280322</v>
          </cell>
          <cell r="CQ676">
            <v>7.8143353895962111</v>
          </cell>
          <cell r="CR676">
            <v>43.838251722968252</v>
          </cell>
          <cell r="CS676">
            <v>3.9561013415241009</v>
          </cell>
          <cell r="CT676">
            <v>1.9112952562911123</v>
          </cell>
          <cell r="CU676">
            <v>-106.98535867247196</v>
          </cell>
          <cell r="CV676">
            <v>1.7837176536531372</v>
          </cell>
          <cell r="CW676">
            <v>4.1370619768163239</v>
          </cell>
          <cell r="CX676">
            <v>56.884434807868232</v>
          </cell>
        </row>
        <row r="677">
          <cell r="CI677" t="str">
            <v>Matara</v>
          </cell>
          <cell r="CJ677">
            <v>2.4211640510479446</v>
          </cell>
          <cell r="CK677">
            <v>5.6433157498291582</v>
          </cell>
          <cell r="CL677">
            <v>57.096782133424995</v>
          </cell>
          <cell r="CM677">
            <v>0.32211776407208381</v>
          </cell>
          <cell r="CN677">
            <v>0.71313280160630366</v>
          </cell>
          <cell r="CO677">
            <v>54.830606116206383</v>
          </cell>
          <cell r="CP677">
            <v>4.5941195917348656</v>
          </cell>
          <cell r="CQ677">
            <v>8.7050737683176038</v>
          </cell>
          <cell r="CR677">
            <v>47.22480573966746</v>
          </cell>
          <cell r="CS677">
            <v>3.8756837474825807</v>
          </cell>
          <cell r="CT677">
            <v>2.6405294384663249</v>
          </cell>
          <cell r="CU677">
            <v>-46.776767227926058</v>
          </cell>
          <cell r="CV677">
            <v>1.9563612745888386</v>
          </cell>
          <cell r="CW677">
            <v>3.4012789167699573</v>
          </cell>
          <cell r="CX677">
            <v>42.481598173468598</v>
          </cell>
        </row>
        <row r="678">
          <cell r="CI678" t="str">
            <v>Wattala</v>
          </cell>
          <cell r="CJ678">
            <v>2.147145765417259</v>
          </cell>
          <cell r="CK678">
            <v>4.6694453883855145</v>
          </cell>
          <cell r="CL678">
            <v>54.017113664977543</v>
          </cell>
          <cell r="CM678">
            <v>0.26121648882993814</v>
          </cell>
          <cell r="CN678">
            <v>0.50053725478753452</v>
          </cell>
          <cell r="CO678">
            <v>47.812777903850936</v>
          </cell>
          <cell r="CP678">
            <v>4.1161099944761297</v>
          </cell>
          <cell r="CQ678">
            <v>9.512472773134359</v>
          </cell>
          <cell r="CR678">
            <v>56.729337443140224</v>
          </cell>
          <cell r="CS678">
            <v>3.9988185413082826</v>
          </cell>
          <cell r="CT678">
            <v>2.2116819091115092</v>
          </cell>
          <cell r="CU678">
            <v>-80.804415175359154</v>
          </cell>
          <cell r="CV678">
            <v>2.3145129604954287</v>
          </cell>
          <cell r="CW678">
            <v>4.6338130065682668</v>
          </cell>
          <cell r="CX678">
            <v>50.051653849331259</v>
          </cell>
        </row>
        <row r="679">
          <cell r="CI679" t="str">
            <v>Pelawatte</v>
          </cell>
          <cell r="CJ679">
            <v>2.1478917363895058</v>
          </cell>
          <cell r="CK679">
            <v>2.2961907386843854</v>
          </cell>
          <cell r="CL679">
            <v>6.4584792454937032</v>
          </cell>
          <cell r="CM679">
            <v>0.4247065355521184</v>
          </cell>
          <cell r="CN679">
            <v>0.41991382153605389</v>
          </cell>
          <cell r="CO679">
            <v>-1.1413565761023683</v>
          </cell>
          <cell r="CP679">
            <v>4.3202470539691262</v>
          </cell>
          <cell r="CQ679">
            <v>5.3586578563337195</v>
          </cell>
          <cell r="CR679">
            <v>19.378188162120356</v>
          </cell>
          <cell r="CS679">
            <v>5.0089571921665081</v>
          </cell>
          <cell r="CT679">
            <v>2.141308555890324</v>
          </cell>
          <cell r="CU679">
            <v>-133.92038379465862</v>
          </cell>
          <cell r="CV679">
            <v>1.7310197222333135</v>
          </cell>
          <cell r="CW679">
            <v>2.3562705680029716</v>
          </cell>
          <cell r="CX679">
            <v>26.535613280591196</v>
          </cell>
        </row>
        <row r="680">
          <cell r="CI680" t="str">
            <v>Gampaha</v>
          </cell>
          <cell r="CJ680">
            <v>2.0545731077500693</v>
          </cell>
          <cell r="CK680">
            <v>5.0303645529703491</v>
          </cell>
          <cell r="CL680">
            <v>59.156576305451324</v>
          </cell>
          <cell r="CM680">
            <v>0.37576531342120145</v>
          </cell>
          <cell r="CN680">
            <v>0.40035021978480484</v>
          </cell>
          <cell r="CO680">
            <v>6.1408499730106803</v>
          </cell>
          <cell r="CP680">
            <v>5.4063358248886297</v>
          </cell>
          <cell r="CQ680">
            <v>6.2903298355650241</v>
          </cell>
          <cell r="CR680">
            <v>14.053221910214669</v>
          </cell>
          <cell r="CS680">
            <v>4.4145983496269308</v>
          </cell>
          <cell r="CT680">
            <v>2.3125119052321375</v>
          </cell>
          <cell r="CU680">
            <v>-90.90056745821505</v>
          </cell>
          <cell r="CV680">
            <v>3.1103424263665009</v>
          </cell>
          <cell r="CW680">
            <v>5.8787709166716544</v>
          </cell>
          <cell r="CX680">
            <v>47.09196070991888</v>
          </cell>
        </row>
        <row r="681">
          <cell r="CI681" t="str">
            <v>Ja-ela</v>
          </cell>
          <cell r="CJ681">
            <v>2.4302096562288362</v>
          </cell>
          <cell r="CK681">
            <v>5.2642712811199113</v>
          </cell>
          <cell r="CL681">
            <v>53.835782267819646</v>
          </cell>
          <cell r="CM681">
            <v>0.35630471439700467</v>
          </cell>
          <cell r="CN681">
            <v>0.38076881009616126</v>
          </cell>
          <cell r="CO681">
            <v>6.4249211202404677</v>
          </cell>
          <cell r="CP681">
            <v>4.9838134512307537</v>
          </cell>
          <cell r="CQ681">
            <v>8.9370882140113057</v>
          </cell>
          <cell r="CR681">
            <v>44.234482955899701</v>
          </cell>
          <cell r="CS681">
            <v>5.2909642383840012</v>
          </cell>
          <cell r="CT681">
            <v>2.692658403125253</v>
          </cell>
          <cell r="CU681">
            <v>-96.495932504583806</v>
          </cell>
          <cell r="CV681">
            <v>4.2464629443787878</v>
          </cell>
          <cell r="CW681">
            <v>3.3733478058708593</v>
          </cell>
          <cell r="CX681">
            <v>-25.882748793005835</v>
          </cell>
        </row>
        <row r="682">
          <cell r="CI682" t="str">
            <v>Piliyandala</v>
          </cell>
          <cell r="CJ682">
            <v>1.9964936496576189</v>
          </cell>
          <cell r="CK682">
            <v>8.6075849878335919</v>
          </cell>
          <cell r="CL682">
            <v>76.805414614208672</v>
          </cell>
          <cell r="CM682">
            <v>0.30585892191490405</v>
          </cell>
          <cell r="CN682">
            <v>0.30584009389094113</v>
          </cell>
          <cell r="CO682">
            <v>-6.156166028914228E-3</v>
          </cell>
          <cell r="CP682">
            <v>4.4023451430002769</v>
          </cell>
          <cell r="CQ682">
            <v>10.883159595411735</v>
          </cell>
          <cell r="CR682">
            <v>59.549016033392775</v>
          </cell>
          <cell r="CS682">
            <v>3.7663149630445059</v>
          </cell>
          <cell r="CT682">
            <v>2.0521031665618343</v>
          </cell>
          <cell r="CU682">
            <v>-83.534386789857265</v>
          </cell>
          <cell r="CV682">
            <v>3.8844207085706044</v>
          </cell>
          <cell r="CW682">
            <v>0</v>
          </cell>
          <cell r="CX682">
            <v>0</v>
          </cell>
        </row>
        <row r="683">
          <cell r="CI683" t="str">
            <v>Chilaw</v>
          </cell>
          <cell r="CJ683">
            <v>3.2828004800772255</v>
          </cell>
          <cell r="CK683">
            <v>8.2669814485618964</v>
          </cell>
          <cell r="CL683">
            <v>60.290215957260997</v>
          </cell>
          <cell r="CM683">
            <v>0.53888034250759931</v>
          </cell>
          <cell r="CN683">
            <v>1.3206041289455923</v>
          </cell>
          <cell r="CO683">
            <v>59.194407264358887</v>
          </cell>
          <cell r="CP683">
            <v>6.8519502215150352</v>
          </cell>
          <cell r="CQ683">
            <v>12.119741672263094</v>
          </cell>
          <cell r="CR683">
            <v>43.46455224209754</v>
          </cell>
          <cell r="CS683">
            <v>4.0697131670221278</v>
          </cell>
          <cell r="CT683">
            <v>2.9149070142573148</v>
          </cell>
          <cell r="CU683">
            <v>-39.617255271487437</v>
          </cell>
          <cell r="CV683">
            <v>4.0166523147661035</v>
          </cell>
          <cell r="CW683">
            <v>0</v>
          </cell>
          <cell r="CX683">
            <v>0</v>
          </cell>
        </row>
        <row r="684">
          <cell r="CI684" t="str">
            <v>Ratnapura</v>
          </cell>
          <cell r="CJ684">
            <v>2.2836974756911688</v>
          </cell>
          <cell r="CK684">
            <v>7.1714723256970094</v>
          </cell>
          <cell r="CL684">
            <v>68.15580717632885</v>
          </cell>
          <cell r="CM684">
            <v>0.34451884444993808</v>
          </cell>
          <cell r="CN684">
            <v>0.83454588515001227</v>
          </cell>
          <cell r="CO684">
            <v>58.717806824005883</v>
          </cell>
          <cell r="CP684">
            <v>4.4731707272337831</v>
          </cell>
          <cell r="CQ684">
            <v>7.5069134888740621</v>
          </cell>
          <cell r="CR684">
            <v>40.412651166642128</v>
          </cell>
          <cell r="CS684">
            <v>3.7193764711686352</v>
          </cell>
          <cell r="CT684">
            <v>2.5807148505350463</v>
          </cell>
          <cell r="CU684">
            <v>-44.12194630482</v>
          </cell>
          <cell r="CV684">
            <v>3.5127352903199314</v>
          </cell>
          <cell r="CW684">
            <v>0</v>
          </cell>
          <cell r="CX684">
            <v>0</v>
          </cell>
        </row>
        <row r="685">
          <cell r="CI685" t="str">
            <v>Nawala</v>
          </cell>
          <cell r="CJ685">
            <v>2.0123379587186112</v>
          </cell>
          <cell r="CK685">
            <v>4.0843274444011177</v>
          </cell>
          <cell r="CL685">
            <v>50.730249077429711</v>
          </cell>
          <cell r="CM685">
            <v>0.4312086426785034</v>
          </cell>
          <cell r="CN685">
            <v>0.51295323275215354</v>
          </cell>
          <cell r="CO685">
            <v>15.936070747632296</v>
          </cell>
          <cell r="CP685">
            <v>2.7552271323744604</v>
          </cell>
          <cell r="CQ685">
            <v>4.0663097561360386</v>
          </cell>
          <cell r="CR685">
            <v>32.242566414994869</v>
          </cell>
          <cell r="CS685">
            <v>4.5980184216962474</v>
          </cell>
          <cell r="CT685">
            <v>1.9414914836168691</v>
          </cell>
          <cell r="CU685">
            <v>-136.82918315616021</v>
          </cell>
          <cell r="CV685">
            <v>2.6049031294263769</v>
          </cell>
          <cell r="CW685">
            <v>0</v>
          </cell>
          <cell r="CX685">
            <v>0</v>
          </cell>
        </row>
        <row r="686">
          <cell r="CI686" t="str">
            <v>Collupitiya</v>
          </cell>
          <cell r="CJ686">
            <v>2.7786782084230088</v>
          </cell>
          <cell r="CK686">
            <v>5.7288952670684177</v>
          </cell>
          <cell r="CL686">
            <v>51.497137250950132</v>
          </cell>
          <cell r="CM686">
            <v>0.4634577357181523</v>
          </cell>
          <cell r="CN686">
            <v>0.52221863455257345</v>
          </cell>
          <cell r="CO686">
            <v>11.252164313279691</v>
          </cell>
          <cell r="CP686">
            <v>7.9904852421264136</v>
          </cell>
          <cell r="CQ686">
            <v>6.1829857010677189</v>
          </cell>
          <cell r="CR686">
            <v>-29.233442036693759</v>
          </cell>
          <cell r="CS686">
            <v>2.2457258348541167</v>
          </cell>
          <cell r="CT686">
            <v>2.2132440080470559</v>
          </cell>
          <cell r="CU686">
            <v>-1.467611645573704</v>
          </cell>
          <cell r="CV686">
            <v>2.0722840564341913</v>
          </cell>
          <cell r="CW686">
            <v>0</v>
          </cell>
          <cell r="CX686">
            <v>0</v>
          </cell>
        </row>
        <row r="687">
          <cell r="CI687" t="str">
            <v>Dehiwala</v>
          </cell>
          <cell r="CJ687">
            <v>3.5825481446777925</v>
          </cell>
          <cell r="CK687">
            <v>5.7688021245612493</v>
          </cell>
          <cell r="CL687">
            <v>37.897884737201558</v>
          </cell>
          <cell r="CM687">
            <v>0.57224410178536955</v>
          </cell>
          <cell r="CN687">
            <v>0.54894842648672981</v>
          </cell>
          <cell r="CO687">
            <v>-4.243691059965701</v>
          </cell>
          <cell r="CP687">
            <v>7.5626194469237991</v>
          </cell>
          <cell r="CQ687">
            <v>5.2508326880680478</v>
          </cell>
          <cell r="CR687">
            <v>-44.027050492563546</v>
          </cell>
          <cell r="CS687">
            <v>8.0196857180902992</v>
          </cell>
          <cell r="CT687">
            <v>2.5892301224961249</v>
          </cell>
          <cell r="CU687">
            <v>-209.73244318504186</v>
          </cell>
          <cell r="CV687">
            <v>1.4810045253603767</v>
          </cell>
          <cell r="CW687">
            <v>0</v>
          </cell>
          <cell r="CX687">
            <v>0</v>
          </cell>
        </row>
        <row r="688">
          <cell r="CI688" t="str">
            <v>Thibirigasyaya</v>
          </cell>
          <cell r="CJ688">
            <v>3.2341308780082354</v>
          </cell>
          <cell r="CK688">
            <v>6.6741266563977177</v>
          </cell>
          <cell r="CL688">
            <v>51.542260965214879</v>
          </cell>
          <cell r="CM688">
            <v>0.48332913975164227</v>
          </cell>
          <cell r="CN688">
            <v>0.24206254183111378</v>
          </cell>
          <cell r="CO688">
            <v>-99.671182536313012</v>
          </cell>
          <cell r="CP688">
            <v>4.9186448040411275</v>
          </cell>
          <cell r="CQ688">
            <v>6.6879009515581584</v>
          </cell>
          <cell r="CR688">
            <v>26.454580597591338</v>
          </cell>
          <cell r="CS688">
            <v>5.4564525172238287</v>
          </cell>
          <cell r="CT688">
            <v>2.4819354360096217</v>
          </cell>
          <cell r="CU688">
            <v>-119.84667441617832</v>
          </cell>
          <cell r="CV688">
            <v>2.0009186934979164</v>
          </cell>
          <cell r="CW688">
            <v>0</v>
          </cell>
          <cell r="CX688">
            <v>0</v>
          </cell>
        </row>
        <row r="689">
          <cell r="CI689" t="str">
            <v>Moratuwa</v>
          </cell>
          <cell r="CJ689">
            <v>1.6150073981697814</v>
          </cell>
          <cell r="CK689">
            <v>6.82103558053445</v>
          </cell>
          <cell r="CL689">
            <v>76.323134821659437</v>
          </cell>
          <cell r="CM689">
            <v>0.24621896677775157</v>
          </cell>
          <cell r="CN689">
            <v>0.31505226538405118</v>
          </cell>
          <cell r="CO689">
            <v>21.848215730933177</v>
          </cell>
          <cell r="CP689">
            <v>3.8437142104972475</v>
          </cell>
          <cell r="CQ689">
            <v>7.1104685729208317</v>
          </cell>
          <cell r="CR689">
            <v>45.942884479716781</v>
          </cell>
          <cell r="CS689">
            <v>3.974085796334438</v>
          </cell>
          <cell r="CT689">
            <v>2.676011347810801</v>
          </cell>
          <cell r="CU689">
            <v>-48.50780806985626</v>
          </cell>
          <cell r="CV689">
            <v>1.6544227695454554</v>
          </cell>
          <cell r="CW689">
            <v>0</v>
          </cell>
          <cell r="CX689">
            <v>0</v>
          </cell>
        </row>
        <row r="690">
          <cell r="CI690" t="str">
            <v>Kegalle</v>
          </cell>
          <cell r="CJ690">
            <v>4.7981997954349191</v>
          </cell>
          <cell r="CK690">
            <v>0</v>
          </cell>
          <cell r="CL690">
            <v>0</v>
          </cell>
          <cell r="CM690">
            <v>0.84035197697693664</v>
          </cell>
          <cell r="CN690">
            <v>0</v>
          </cell>
          <cell r="CO690">
            <v>0</v>
          </cell>
          <cell r="CP690">
            <v>6.074968746632849</v>
          </cell>
          <cell r="CQ690">
            <v>0</v>
          </cell>
          <cell r="CR690">
            <v>0</v>
          </cell>
          <cell r="CS690">
            <v>3.404466304765505</v>
          </cell>
          <cell r="CT690">
            <v>0</v>
          </cell>
          <cell r="CU690">
            <v>0</v>
          </cell>
          <cell r="CV690">
            <v>0</v>
          </cell>
          <cell r="CW690">
            <v>0</v>
          </cell>
          <cell r="CX690">
            <v>0</v>
          </cell>
        </row>
        <row r="691">
          <cell r="CI691" t="str">
            <v>Kadawatha</v>
          </cell>
          <cell r="CJ691">
            <v>6.9360058125019721</v>
          </cell>
          <cell r="CK691">
            <v>0</v>
          </cell>
          <cell r="CL691">
            <v>0</v>
          </cell>
          <cell r="CM691">
            <v>0.70604209672425777</v>
          </cell>
          <cell r="CN691">
            <v>0</v>
          </cell>
          <cell r="CO691">
            <v>0</v>
          </cell>
          <cell r="CP691">
            <v>6.9067585513076155</v>
          </cell>
          <cell r="CQ691">
            <v>0</v>
          </cell>
          <cell r="CR691">
            <v>0</v>
          </cell>
          <cell r="CS691">
            <v>4.908693509515329</v>
          </cell>
          <cell r="CT691">
            <v>0</v>
          </cell>
          <cell r="CU691">
            <v>0</v>
          </cell>
          <cell r="CV691">
            <v>0</v>
          </cell>
          <cell r="CW691">
            <v>0</v>
          </cell>
          <cell r="CX691">
            <v>0</v>
          </cell>
        </row>
        <row r="692">
          <cell r="CI692" t="str">
            <v>Aluthgama</v>
          </cell>
          <cell r="CJ692">
            <v>6.4138649257768838</v>
          </cell>
          <cell r="CK692">
            <v>0</v>
          </cell>
          <cell r="CL692">
            <v>0</v>
          </cell>
          <cell r="CM692">
            <v>0.55483667270497028</v>
          </cell>
          <cell r="CN692">
            <v>0</v>
          </cell>
          <cell r="CO692">
            <v>0</v>
          </cell>
          <cell r="CP692">
            <v>7.0991416170629682</v>
          </cell>
          <cell r="CQ692">
            <v>0</v>
          </cell>
          <cell r="CR692">
            <v>0</v>
          </cell>
          <cell r="CS692">
            <v>3.9217648150297095</v>
          </cell>
          <cell r="CT692">
            <v>0</v>
          </cell>
          <cell r="CU692">
            <v>0</v>
          </cell>
          <cell r="CV692">
            <v>0</v>
          </cell>
          <cell r="CW692">
            <v>0</v>
          </cell>
          <cell r="CX692">
            <v>0</v>
          </cell>
        </row>
        <row r="693">
          <cell r="CI693" t="str">
            <v>Park Road</v>
          </cell>
          <cell r="CJ693">
            <v>3.7689419272510944</v>
          </cell>
          <cell r="CK693">
            <v>0</v>
          </cell>
          <cell r="CL693">
            <v>0</v>
          </cell>
          <cell r="CM693">
            <v>0.61310277574110006</v>
          </cell>
          <cell r="CN693">
            <v>0</v>
          </cell>
          <cell r="CO693">
            <v>0</v>
          </cell>
          <cell r="CP693">
            <v>3.941038753112998</v>
          </cell>
          <cell r="CQ693">
            <v>0</v>
          </cell>
          <cell r="CR693">
            <v>0</v>
          </cell>
          <cell r="CS693">
            <v>3.3085068885521642</v>
          </cell>
          <cell r="CT693">
            <v>0</v>
          </cell>
          <cell r="CU693">
            <v>0</v>
          </cell>
          <cell r="CV693">
            <v>0</v>
          </cell>
          <cell r="CW693">
            <v>0</v>
          </cell>
          <cell r="CX693">
            <v>0</v>
          </cell>
        </row>
        <row r="694">
          <cell r="CI694" t="str">
            <v>Kotahena</v>
          </cell>
          <cell r="CJ694">
            <v>3.7599110281240384</v>
          </cell>
          <cell r="CK694">
            <v>0</v>
          </cell>
          <cell r="CL694">
            <v>0</v>
          </cell>
          <cell r="CM694">
            <v>0.34449258547674477</v>
          </cell>
          <cell r="CN694">
            <v>0</v>
          </cell>
          <cell r="CO694">
            <v>0</v>
          </cell>
          <cell r="CP694">
            <v>5.5190931373910077</v>
          </cell>
          <cell r="CQ694">
            <v>0</v>
          </cell>
          <cell r="CR694">
            <v>0</v>
          </cell>
          <cell r="CS694">
            <v>3.6139107828129338</v>
          </cell>
          <cell r="CT694">
            <v>0</v>
          </cell>
          <cell r="CU694">
            <v>0</v>
          </cell>
          <cell r="CV694">
            <v>0</v>
          </cell>
          <cell r="CW694">
            <v>0</v>
          </cell>
          <cell r="CX694">
            <v>0</v>
          </cell>
        </row>
        <row r="695">
          <cell r="CI695" t="str">
            <v>Ambalangoda</v>
          </cell>
          <cell r="CJ695">
            <v>5.0445314248514261</v>
          </cell>
          <cell r="CK695">
            <v>0</v>
          </cell>
          <cell r="CL695">
            <v>0</v>
          </cell>
          <cell r="CM695">
            <v>0.95386061260229471</v>
          </cell>
          <cell r="CN695">
            <v>0</v>
          </cell>
          <cell r="CO695">
            <v>0</v>
          </cell>
          <cell r="CP695">
            <v>9.7511444568704064</v>
          </cell>
          <cell r="CQ695">
            <v>0</v>
          </cell>
          <cell r="CR695">
            <v>0</v>
          </cell>
          <cell r="CS695">
            <v>4.262626914483624</v>
          </cell>
          <cell r="CT695">
            <v>0</v>
          </cell>
          <cell r="CU695">
            <v>0</v>
          </cell>
          <cell r="CV695">
            <v>8.6633762834670031E-2</v>
          </cell>
          <cell r="CW695">
            <v>0</v>
          </cell>
          <cell r="CX695">
            <v>0</v>
          </cell>
        </row>
        <row r="696">
          <cell r="CI696" t="str">
            <v>Katugastota</v>
          </cell>
          <cell r="CJ696">
            <v>3.8045498576635111</v>
          </cell>
          <cell r="CK696">
            <v>0</v>
          </cell>
          <cell r="CL696">
            <v>0</v>
          </cell>
          <cell r="CM696">
            <v>0.46883800290824734</v>
          </cell>
          <cell r="CN696">
            <v>0</v>
          </cell>
          <cell r="CO696">
            <v>0</v>
          </cell>
          <cell r="CP696">
            <v>3.9114476663645994</v>
          </cell>
          <cell r="CQ696">
            <v>0</v>
          </cell>
          <cell r="CR696">
            <v>0</v>
          </cell>
          <cell r="CS696">
            <v>2.9567830957800316</v>
          </cell>
          <cell r="CT696">
            <v>0</v>
          </cell>
          <cell r="CU696">
            <v>0</v>
          </cell>
          <cell r="CV696">
            <v>0</v>
          </cell>
          <cell r="CW696">
            <v>0</v>
          </cell>
          <cell r="CX696">
            <v>0</v>
          </cell>
        </row>
        <row r="697">
          <cell r="CI697" t="str">
            <v>Beruwela</v>
          </cell>
          <cell r="CJ697">
            <v>6.7027945832703013</v>
          </cell>
          <cell r="CK697">
            <v>0</v>
          </cell>
          <cell r="CL697">
            <v>0</v>
          </cell>
          <cell r="CM697">
            <v>0.90422127313870282</v>
          </cell>
          <cell r="CN697">
            <v>0</v>
          </cell>
          <cell r="CO697">
            <v>0</v>
          </cell>
          <cell r="CP697">
            <v>8.411903906350215</v>
          </cell>
          <cell r="CQ697">
            <v>0</v>
          </cell>
          <cell r="CR697">
            <v>0</v>
          </cell>
          <cell r="CS697">
            <v>4.046958572376206</v>
          </cell>
          <cell r="CT697">
            <v>0</v>
          </cell>
          <cell r="CU697">
            <v>0</v>
          </cell>
          <cell r="CV697">
            <v>2.0226116113546983E-2</v>
          </cell>
          <cell r="CW697">
            <v>0</v>
          </cell>
          <cell r="CX697">
            <v>0</v>
          </cell>
        </row>
        <row r="698">
          <cell r="CI698" t="str">
            <v>Warakapola</v>
          </cell>
          <cell r="CJ698">
            <v>6.1502222342990862</v>
          </cell>
          <cell r="CK698">
            <v>0</v>
          </cell>
          <cell r="CL698">
            <v>0</v>
          </cell>
          <cell r="CM698">
            <v>0.78693362282885171</v>
          </cell>
          <cell r="CN698">
            <v>0</v>
          </cell>
          <cell r="CO698">
            <v>0</v>
          </cell>
          <cell r="CP698">
            <v>6.7449613014726753</v>
          </cell>
          <cell r="CQ698">
            <v>0</v>
          </cell>
          <cell r="CR698">
            <v>0</v>
          </cell>
          <cell r="CS698">
            <v>2.8012418144236384</v>
          </cell>
          <cell r="CT698">
            <v>0</v>
          </cell>
          <cell r="CU698">
            <v>0</v>
          </cell>
          <cell r="CV698">
            <v>4.0991312624494907E-3</v>
          </cell>
          <cell r="CW698">
            <v>0</v>
          </cell>
          <cell r="CX698">
            <v>0</v>
          </cell>
        </row>
        <row r="699">
          <cell r="CI699" t="str">
            <v>Karagampitiya</v>
          </cell>
          <cell r="CJ699">
            <v>6.4472999615236795</v>
          </cell>
          <cell r="CK699">
            <v>0</v>
          </cell>
          <cell r="CL699">
            <v>0</v>
          </cell>
          <cell r="CM699">
            <v>0.67880098378607479</v>
          </cell>
          <cell r="CN699">
            <v>0</v>
          </cell>
          <cell r="CO699">
            <v>0</v>
          </cell>
          <cell r="CP699">
            <v>12.010007418518057</v>
          </cell>
          <cell r="CQ699">
            <v>0</v>
          </cell>
          <cell r="CR699">
            <v>0</v>
          </cell>
          <cell r="CS699">
            <v>3.6829808249403131</v>
          </cell>
          <cell r="CT699">
            <v>0</v>
          </cell>
          <cell r="CU699">
            <v>0</v>
          </cell>
          <cell r="CV699">
            <v>0</v>
          </cell>
          <cell r="CW699">
            <v>0</v>
          </cell>
          <cell r="CX699">
            <v>0</v>
          </cell>
        </row>
        <row r="700">
          <cell r="CI700" t="str">
            <v>Mathale</v>
          </cell>
          <cell r="CJ700">
            <v>3.2545791573855878</v>
          </cell>
          <cell r="CK700">
            <v>0</v>
          </cell>
          <cell r="CL700">
            <v>0</v>
          </cell>
          <cell r="CM700">
            <v>0.46352094751101164</v>
          </cell>
          <cell r="CN700">
            <v>0</v>
          </cell>
          <cell r="CO700">
            <v>0</v>
          </cell>
          <cell r="CP700">
            <v>5.9596044049093413</v>
          </cell>
          <cell r="CQ700">
            <v>0</v>
          </cell>
          <cell r="CR700">
            <v>0</v>
          </cell>
          <cell r="CS700">
            <v>2.3787317738506211</v>
          </cell>
          <cell r="CT700">
            <v>0</v>
          </cell>
          <cell r="CU700">
            <v>0</v>
          </cell>
          <cell r="CV700">
            <v>2.5595339287175505E-3</v>
          </cell>
          <cell r="CW700">
            <v>0</v>
          </cell>
          <cell r="CX700">
            <v>0</v>
          </cell>
        </row>
        <row r="701">
          <cell r="CI701" t="str">
            <v>Peliyagoda</v>
          </cell>
          <cell r="CJ701">
            <v>6.7465713475715603</v>
          </cell>
          <cell r="CK701">
            <v>0</v>
          </cell>
          <cell r="CL701">
            <v>0</v>
          </cell>
          <cell r="CM701">
            <v>1.347800568041883</v>
          </cell>
          <cell r="CN701">
            <v>0</v>
          </cell>
          <cell r="CO701">
            <v>0</v>
          </cell>
          <cell r="CP701">
            <v>12.292985988293402</v>
          </cell>
          <cell r="CQ701">
            <v>0</v>
          </cell>
          <cell r="CR701">
            <v>0</v>
          </cell>
          <cell r="CS701">
            <v>2.7752979377734359</v>
          </cell>
          <cell r="CT701">
            <v>0</v>
          </cell>
          <cell r="CU701">
            <v>0</v>
          </cell>
          <cell r="CV701">
            <v>0</v>
          </cell>
          <cell r="CW701">
            <v>0</v>
          </cell>
          <cell r="CX701">
            <v>0</v>
          </cell>
        </row>
        <row r="702">
          <cell r="CI702" t="str">
            <v>Kelaniya</v>
          </cell>
          <cell r="CJ702">
            <v>5.2266560844181322</v>
          </cell>
          <cell r="CK702">
            <v>0</v>
          </cell>
          <cell r="CL702">
            <v>0</v>
          </cell>
          <cell r="CM702">
            <v>0.68003054736620461</v>
          </cell>
          <cell r="CN702">
            <v>0</v>
          </cell>
          <cell r="CO702">
            <v>0</v>
          </cell>
          <cell r="CP702">
            <v>7.8468288294362294</v>
          </cell>
          <cell r="CQ702">
            <v>0</v>
          </cell>
          <cell r="CR702">
            <v>0</v>
          </cell>
          <cell r="CS702">
            <v>2.9104890567952721</v>
          </cell>
          <cell r="CT702">
            <v>0</v>
          </cell>
          <cell r="CU702">
            <v>0</v>
          </cell>
          <cell r="CV702">
            <v>0</v>
          </cell>
          <cell r="CW702">
            <v>0</v>
          </cell>
          <cell r="CX702">
            <v>0</v>
          </cell>
        </row>
        <row r="703">
          <cell r="CI703" t="str">
            <v>Demategoda</v>
          </cell>
          <cell r="CJ703">
            <v>4.4089966926298763</v>
          </cell>
          <cell r="CK703">
            <v>0</v>
          </cell>
          <cell r="CL703">
            <v>0</v>
          </cell>
          <cell r="CM703">
            <v>0.48641252743397345</v>
          </cell>
          <cell r="CN703">
            <v>0</v>
          </cell>
          <cell r="CO703">
            <v>0</v>
          </cell>
          <cell r="CP703">
            <v>8.091140625742824</v>
          </cell>
          <cell r="CQ703">
            <v>0</v>
          </cell>
          <cell r="CR703">
            <v>0</v>
          </cell>
          <cell r="CS703">
            <v>2.4950037698817229</v>
          </cell>
          <cell r="CT703">
            <v>0</v>
          </cell>
          <cell r="CU703">
            <v>0</v>
          </cell>
          <cell r="CV703">
            <v>0</v>
          </cell>
          <cell r="CW703">
            <v>0</v>
          </cell>
          <cell r="CX703">
            <v>0</v>
          </cell>
        </row>
        <row r="704">
          <cell r="CI704" t="str">
            <v>Kolannawa</v>
          </cell>
          <cell r="CJ704">
            <v>3.1663267948672349</v>
          </cell>
          <cell r="CK704">
            <v>0</v>
          </cell>
          <cell r="CL704">
            <v>0</v>
          </cell>
          <cell r="CM704">
            <v>0.45083557025237042</v>
          </cell>
          <cell r="CN704">
            <v>0</v>
          </cell>
          <cell r="CO704">
            <v>0</v>
          </cell>
          <cell r="CP704">
            <v>3.5226879513944409</v>
          </cell>
          <cell r="CQ704">
            <v>0</v>
          </cell>
          <cell r="CR704">
            <v>0</v>
          </cell>
          <cell r="CS704">
            <v>2.6200017401046454</v>
          </cell>
          <cell r="CT704">
            <v>0</v>
          </cell>
          <cell r="CU704">
            <v>0</v>
          </cell>
          <cell r="CV704">
            <v>0</v>
          </cell>
          <cell r="CW704">
            <v>0</v>
          </cell>
          <cell r="CX704">
            <v>0</v>
          </cell>
        </row>
        <row r="705">
          <cell r="CI705" t="str">
            <v>Avissawella</v>
          </cell>
          <cell r="CJ705">
            <v>6.0059291818312852</v>
          </cell>
          <cell r="CK705">
            <v>0</v>
          </cell>
          <cell r="CL705">
            <v>0</v>
          </cell>
          <cell r="CM705">
            <v>0.79099715768359991</v>
          </cell>
          <cell r="CN705">
            <v>0</v>
          </cell>
          <cell r="CO705">
            <v>0</v>
          </cell>
          <cell r="CP705">
            <v>5.5927090901989107</v>
          </cell>
          <cell r="CQ705">
            <v>0</v>
          </cell>
          <cell r="CR705">
            <v>0</v>
          </cell>
          <cell r="CS705">
            <v>2.7108158035920469</v>
          </cell>
          <cell r="CT705">
            <v>0</v>
          </cell>
          <cell r="CU705">
            <v>0</v>
          </cell>
          <cell r="CV705">
            <v>0</v>
          </cell>
          <cell r="CW705">
            <v>0</v>
          </cell>
          <cell r="CX705">
            <v>0</v>
          </cell>
        </row>
        <row r="706">
          <cell r="CI706" t="str">
            <v>Homagama</v>
          </cell>
          <cell r="CJ706">
            <v>4.2459367760603346</v>
          </cell>
          <cell r="CK706">
            <v>0</v>
          </cell>
          <cell r="CL706">
            <v>0</v>
          </cell>
          <cell r="CM706">
            <v>0.52720706467483125</v>
          </cell>
          <cell r="CN706">
            <v>0</v>
          </cell>
          <cell r="CO706">
            <v>0</v>
          </cell>
          <cell r="CP706">
            <v>6.682232343521834</v>
          </cell>
          <cell r="CQ706">
            <v>0</v>
          </cell>
          <cell r="CR706">
            <v>0</v>
          </cell>
          <cell r="CS706">
            <v>2.9850668233022759</v>
          </cell>
          <cell r="CT706">
            <v>0</v>
          </cell>
          <cell r="CU706">
            <v>0</v>
          </cell>
          <cell r="CV706">
            <v>0</v>
          </cell>
          <cell r="CW706">
            <v>0</v>
          </cell>
          <cell r="CX706">
            <v>0</v>
          </cell>
        </row>
        <row r="707">
          <cell r="CI707" t="str">
            <v>Galle</v>
          </cell>
          <cell r="CJ707">
            <v>3.6968114979686018</v>
          </cell>
          <cell r="CK707">
            <v>0</v>
          </cell>
          <cell r="CL707">
            <v>0</v>
          </cell>
          <cell r="CM707">
            <v>0.47144858028018694</v>
          </cell>
          <cell r="CN707">
            <v>0</v>
          </cell>
          <cell r="CO707">
            <v>0</v>
          </cell>
          <cell r="CP707">
            <v>4.0063664864538575</v>
          </cell>
          <cell r="CQ707">
            <v>0</v>
          </cell>
          <cell r="CR707">
            <v>0</v>
          </cell>
          <cell r="CS707">
            <v>2.8889006265569259</v>
          </cell>
          <cell r="CT707">
            <v>0</v>
          </cell>
          <cell r="CU707">
            <v>0</v>
          </cell>
          <cell r="CV707">
            <v>0</v>
          </cell>
          <cell r="CW707">
            <v>0</v>
          </cell>
          <cell r="CX707">
            <v>0</v>
          </cell>
        </row>
        <row r="708">
          <cell r="CI708" t="str">
            <v>Kohuwela</v>
          </cell>
          <cell r="CJ708">
            <v>4.5532181931955646</v>
          </cell>
          <cell r="CK708">
            <v>0</v>
          </cell>
          <cell r="CL708">
            <v>0</v>
          </cell>
          <cell r="CM708">
            <v>0.37617120614823973</v>
          </cell>
          <cell r="CN708">
            <v>0</v>
          </cell>
          <cell r="CO708">
            <v>0</v>
          </cell>
          <cell r="CP708">
            <v>2.9929850583926285</v>
          </cell>
          <cell r="CQ708">
            <v>0</v>
          </cell>
          <cell r="CR708">
            <v>0</v>
          </cell>
          <cell r="CS708">
            <v>2.4639507384692108</v>
          </cell>
          <cell r="CT708">
            <v>0</v>
          </cell>
          <cell r="CU708">
            <v>0</v>
          </cell>
          <cell r="CV708">
            <v>0</v>
          </cell>
          <cell r="CW708">
            <v>0</v>
          </cell>
          <cell r="CX708">
            <v>0</v>
          </cell>
        </row>
        <row r="709">
          <cell r="CI709" t="str">
            <v>Mt lavinia-STC</v>
          </cell>
          <cell r="CJ709">
            <v>4.4659477816805699</v>
          </cell>
          <cell r="CK709">
            <v>0</v>
          </cell>
          <cell r="CL709">
            <v>0</v>
          </cell>
          <cell r="CM709">
            <v>1.7820611358183782</v>
          </cell>
          <cell r="CN709">
            <v>0</v>
          </cell>
          <cell r="CO709">
            <v>0</v>
          </cell>
          <cell r="CP709">
            <v>10.484498197082729</v>
          </cell>
          <cell r="CQ709">
            <v>0</v>
          </cell>
          <cell r="CR709">
            <v>0</v>
          </cell>
          <cell r="CS709">
            <v>5.3823848363945288</v>
          </cell>
          <cell r="CT709">
            <v>0</v>
          </cell>
          <cell r="CU709">
            <v>0</v>
          </cell>
          <cell r="CV709">
            <v>0</v>
          </cell>
          <cell r="CW709">
            <v>0</v>
          </cell>
          <cell r="CX709">
            <v>0</v>
          </cell>
        </row>
        <row r="710">
          <cell r="CI710" t="str">
            <v>Express Matara</v>
          </cell>
          <cell r="CJ710">
            <v>0.32384893002966608</v>
          </cell>
          <cell r="CK710">
            <v>0.21822499626329758</v>
          </cell>
          <cell r="CL710">
            <v>-48.401391029893205</v>
          </cell>
          <cell r="CM710">
            <v>0.67980964176517034</v>
          </cell>
          <cell r="CN710">
            <v>1.0890325854625975</v>
          </cell>
          <cell r="CO710">
            <v>37.576740049848752</v>
          </cell>
          <cell r="CP710">
            <v>9.5252066969061389</v>
          </cell>
          <cell r="CQ710">
            <v>12.152660319496327</v>
          </cell>
          <cell r="CR710">
            <v>21.620398772892589</v>
          </cell>
          <cell r="CS710">
            <v>3.0842496104262427</v>
          </cell>
          <cell r="CT710">
            <v>2.222557523560913</v>
          </cell>
          <cell r="CU710">
            <v>-38.770294029769509</v>
          </cell>
          <cell r="CV710">
            <v>0</v>
          </cell>
          <cell r="CW710">
            <v>0</v>
          </cell>
          <cell r="CX710">
            <v>0</v>
          </cell>
        </row>
        <row r="711">
          <cell r="CI711" t="str">
            <v>Express Maligawatte</v>
          </cell>
          <cell r="CJ711">
            <v>5.0751149629356869</v>
          </cell>
          <cell r="CK711">
            <v>0</v>
          </cell>
          <cell r="CL711">
            <v>0</v>
          </cell>
          <cell r="CM711">
            <v>0.9141314571901028</v>
          </cell>
          <cell r="CN711">
            <v>0</v>
          </cell>
          <cell r="CO711">
            <v>0</v>
          </cell>
          <cell r="CP711">
            <v>3.0422839780238911</v>
          </cell>
          <cell r="CQ711">
            <v>0</v>
          </cell>
          <cell r="CR711">
            <v>0</v>
          </cell>
          <cell r="CS711">
            <v>1.9744862693158363</v>
          </cell>
          <cell r="CT711">
            <v>0</v>
          </cell>
          <cell r="CU711">
            <v>0</v>
          </cell>
          <cell r="CV711">
            <v>0</v>
          </cell>
          <cell r="CW711">
            <v>0</v>
          </cell>
          <cell r="CX711">
            <v>0</v>
          </cell>
        </row>
        <row r="712">
          <cell r="CI712" t="str">
            <v>Express Peradeniya</v>
          </cell>
          <cell r="CJ712">
            <v>13.121538880743286</v>
          </cell>
          <cell r="CK712">
            <v>0</v>
          </cell>
          <cell r="CL712">
            <v>0</v>
          </cell>
          <cell r="CM712">
            <v>2.4926079491972937</v>
          </cell>
          <cell r="CN712">
            <v>0</v>
          </cell>
          <cell r="CO712">
            <v>0</v>
          </cell>
          <cell r="CP712">
            <v>-28.134645671221232</v>
          </cell>
          <cell r="CQ712">
            <v>0</v>
          </cell>
          <cell r="CR712">
            <v>0</v>
          </cell>
          <cell r="CS712">
            <v>4.2338359263632714</v>
          </cell>
          <cell r="CT712">
            <v>0</v>
          </cell>
          <cell r="CU712">
            <v>0</v>
          </cell>
          <cell r="CV712">
            <v>0</v>
          </cell>
          <cell r="CW712">
            <v>0</v>
          </cell>
          <cell r="CX712">
            <v>0</v>
          </cell>
        </row>
        <row r="713">
          <cell r="CI713" t="str">
            <v>Express Alexandra Place</v>
          </cell>
          <cell r="CJ713">
            <v>6.7449834286320547</v>
          </cell>
          <cell r="CK713">
            <v>0</v>
          </cell>
          <cell r="CL713">
            <v>0</v>
          </cell>
          <cell r="CM713">
            <v>0.93312017853376183</v>
          </cell>
          <cell r="CN713">
            <v>0</v>
          </cell>
          <cell r="CO713">
            <v>0</v>
          </cell>
          <cell r="CP713">
            <v>5.9480462310497391</v>
          </cell>
          <cell r="CQ713">
            <v>0</v>
          </cell>
          <cell r="CR713">
            <v>0</v>
          </cell>
          <cell r="CS713">
            <v>1.2198518349494949</v>
          </cell>
          <cell r="CT713">
            <v>0</v>
          </cell>
          <cell r="CU713">
            <v>0</v>
          </cell>
          <cell r="CV713">
            <v>0</v>
          </cell>
          <cell r="CW713">
            <v>0</v>
          </cell>
          <cell r="CX713">
            <v>0</v>
          </cell>
        </row>
        <row r="714">
          <cell r="CI714" t="str">
            <v>Express Boralla</v>
          </cell>
          <cell r="CJ714">
            <v>14.285191577249154</v>
          </cell>
          <cell r="CK714">
            <v>0</v>
          </cell>
          <cell r="CL714">
            <v>0</v>
          </cell>
          <cell r="CM714">
            <v>3.1030233431356491</v>
          </cell>
          <cell r="CN714">
            <v>0</v>
          </cell>
          <cell r="CO714">
            <v>0</v>
          </cell>
          <cell r="CP714">
            <v>15.639148342429731</v>
          </cell>
          <cell r="CQ714">
            <v>0</v>
          </cell>
          <cell r="CR714">
            <v>0</v>
          </cell>
          <cell r="CS714">
            <v>0.24648462140475408</v>
          </cell>
          <cell r="CT714">
            <v>0</v>
          </cell>
          <cell r="CU714">
            <v>0</v>
          </cell>
          <cell r="CV714">
            <v>0</v>
          </cell>
          <cell r="CW714">
            <v>0</v>
          </cell>
          <cell r="CX714">
            <v>0</v>
          </cell>
        </row>
        <row r="715">
          <cell r="CI715" t="str">
            <v>Express Havelock Road</v>
          </cell>
          <cell r="CJ715">
            <v>11.788786524846405</v>
          </cell>
          <cell r="CK715">
            <v>0</v>
          </cell>
          <cell r="CL715">
            <v>0</v>
          </cell>
          <cell r="CM715">
            <v>2.819288768714197</v>
          </cell>
          <cell r="CN715">
            <v>0</v>
          </cell>
          <cell r="CO715">
            <v>0</v>
          </cell>
          <cell r="CP715">
            <v>17.727112722046275</v>
          </cell>
          <cell r="CQ715">
            <v>0</v>
          </cell>
          <cell r="CR715">
            <v>0</v>
          </cell>
          <cell r="CS715">
            <v>1.0652320965070485</v>
          </cell>
          <cell r="CT715">
            <v>0</v>
          </cell>
          <cell r="CU715">
            <v>0</v>
          </cell>
          <cell r="CV715">
            <v>0</v>
          </cell>
          <cell r="CW715">
            <v>0</v>
          </cell>
          <cell r="CX715">
            <v>0</v>
          </cell>
        </row>
        <row r="716">
          <cell r="CI716" t="str">
            <v>Express Maradana</v>
          </cell>
          <cell r="CJ716">
            <v>12.122758616548937</v>
          </cell>
          <cell r="CK716">
            <v>0</v>
          </cell>
          <cell r="CL716">
            <v>0</v>
          </cell>
          <cell r="CM716">
            <v>20.931200983976503</v>
          </cell>
          <cell r="CN716">
            <v>0</v>
          </cell>
          <cell r="CO716">
            <v>0</v>
          </cell>
          <cell r="CP716">
            <v>14.272513973332623</v>
          </cell>
          <cell r="CQ716">
            <v>0</v>
          </cell>
          <cell r="CR716">
            <v>0</v>
          </cell>
          <cell r="CS716">
            <v>12.892605294791966</v>
          </cell>
          <cell r="CT716">
            <v>0</v>
          </cell>
          <cell r="CU716">
            <v>0</v>
          </cell>
          <cell r="CV716">
            <v>0</v>
          </cell>
          <cell r="CW716">
            <v>0</v>
          </cell>
          <cell r="CX716">
            <v>0</v>
          </cell>
        </row>
        <row r="717">
          <cell r="CI717" t="str">
            <v xml:space="preserve">Food City </v>
          </cell>
          <cell r="CJ717">
            <v>2.6899599244678343</v>
          </cell>
          <cell r="CK717">
            <v>3.1362951780089325</v>
          </cell>
          <cell r="CL717">
            <v>14.231289729063477</v>
          </cell>
          <cell r="CM717">
            <v>0.42913244375122045</v>
          </cell>
          <cell r="CN717">
            <v>0.33985400600599119</v>
          </cell>
          <cell r="CO717">
            <v>-26.269644072889164</v>
          </cell>
          <cell r="CP717">
            <v>4.7342353767821743</v>
          </cell>
          <cell r="CQ717">
            <v>4.9934071050643984</v>
          </cell>
          <cell r="CR717">
            <v>5.1902783576241509</v>
          </cell>
          <cell r="CS717">
            <v>4.201436321016109</v>
          </cell>
          <cell r="CT717">
            <v>1.9958805869637344</v>
          </cell>
          <cell r="CU717">
            <v>-110.50539538578367</v>
          </cell>
          <cell r="CV717">
            <v>1.06256288376958</v>
          </cell>
          <cell r="CW717">
            <v>1.1486456032805801</v>
          </cell>
          <cell r="CX717">
            <v>7.494280156137302</v>
          </cell>
        </row>
        <row r="718">
          <cell r="CH718">
            <v>7</v>
          </cell>
          <cell r="CW718" t="str">
            <v>Appendix III</v>
          </cell>
        </row>
        <row r="719">
          <cell r="CH719" t="str">
            <v>CARGILLS ( CEYLON ) LTD</v>
          </cell>
        </row>
        <row r="721">
          <cell r="CH721" t="str">
            <v xml:space="preserve"> Margin Analysis by Profit Centres/Divisions - Month of March 2004</v>
          </cell>
        </row>
        <row r="722">
          <cell r="CI722" t="str">
            <v>MTH V MTH</v>
          </cell>
          <cell r="CX722">
            <v>38154.357810300928</v>
          </cell>
        </row>
        <row r="723">
          <cell r="CH723" t="str">
            <v>Profit Centre</v>
          </cell>
          <cell r="CJ723" t="str">
            <v>Staff Related</v>
          </cell>
          <cell r="CM723" t="str">
            <v>Administration</v>
          </cell>
          <cell r="CP723" t="str">
            <v>Establishment</v>
          </cell>
          <cell r="CS723" t="str">
            <v>Selling &amp; Distribution</v>
          </cell>
          <cell r="CV723" t="str">
            <v>D&amp;A and Finance</v>
          </cell>
        </row>
        <row r="724">
          <cell r="CJ724">
            <v>38047</v>
          </cell>
          <cell r="CK724">
            <v>37681</v>
          </cell>
          <cell r="CL724" t="str">
            <v>Var %</v>
          </cell>
          <cell r="CM724">
            <v>38047</v>
          </cell>
          <cell r="CN724">
            <v>37681</v>
          </cell>
          <cell r="CO724" t="str">
            <v>Var %</v>
          </cell>
          <cell r="CP724">
            <v>38047</v>
          </cell>
          <cell r="CQ724">
            <v>37681</v>
          </cell>
          <cell r="CR724" t="str">
            <v>Var %</v>
          </cell>
          <cell r="CS724">
            <v>38047</v>
          </cell>
          <cell r="CT724">
            <v>37681</v>
          </cell>
          <cell r="CU724" t="str">
            <v>Var %</v>
          </cell>
          <cell r="CV724">
            <v>38047</v>
          </cell>
          <cell r="CW724">
            <v>37681</v>
          </cell>
          <cell r="CX724" t="str">
            <v>Var %</v>
          </cell>
        </row>
        <row r="725">
          <cell r="CI725" t="str">
            <v>Department Store</v>
          </cell>
          <cell r="CJ725">
            <v>5.4751102269809335</v>
          </cell>
          <cell r="CK725">
            <v>3.3506244020689016</v>
          </cell>
          <cell r="CL725">
            <v>-63.405669211990187</v>
          </cell>
          <cell r="CM725">
            <v>7.5104450526353075E-2</v>
          </cell>
          <cell r="CN725">
            <v>7.5334929199531268E-3</v>
          </cell>
          <cell r="CO725">
            <v>-896.94061339637358</v>
          </cell>
          <cell r="CP725">
            <v>0</v>
          </cell>
          <cell r="CQ725">
            <v>6.0446704208573059E-3</v>
          </cell>
          <cell r="CR725">
            <v>100</v>
          </cell>
          <cell r="CS725">
            <v>0.31587508859689917</v>
          </cell>
          <cell r="CT725">
            <v>4.4243310114639972E-2</v>
          </cell>
          <cell r="CU725">
            <v>-613.9499458300636</v>
          </cell>
          <cell r="CV725">
            <v>6.324585307482364E-4</v>
          </cell>
          <cell r="CW725">
            <v>4.6733193367844827E-3</v>
          </cell>
          <cell r="CX725">
            <v>86.466610022344327</v>
          </cell>
        </row>
        <row r="726">
          <cell r="CI726" t="str">
            <v>Books and Stationery</v>
          </cell>
          <cell r="CJ726">
            <v>10.413865271248572</v>
          </cell>
          <cell r="CK726">
            <v>9.2680322747111266</v>
          </cell>
          <cell r="CL726">
            <v>-12.363282329777594</v>
          </cell>
          <cell r="CM726">
            <v>1.2152979964985633</v>
          </cell>
          <cell r="CN726">
            <v>1.1277650563313451</v>
          </cell>
          <cell r="CO726">
            <v>-7.7616290446137448</v>
          </cell>
          <cell r="CP726">
            <v>6.7525217393006072</v>
          </cell>
          <cell r="CQ726">
            <v>8.6926872655518412</v>
          </cell>
          <cell r="CR726">
            <v>22.319513712864094</v>
          </cell>
          <cell r="CS726">
            <v>0.35780249420857657</v>
          </cell>
          <cell r="CT726">
            <v>0.57701771374652666</v>
          </cell>
          <cell r="CU726">
            <v>37.991072772203893</v>
          </cell>
          <cell r="CV726">
            <v>0.18749874484407569</v>
          </cell>
          <cell r="CW726">
            <v>0.33451719488126036</v>
          </cell>
          <cell r="CX726">
            <v>43.949444837766883</v>
          </cell>
        </row>
        <row r="727">
          <cell r="CI727" t="str">
            <v>Hatton Liquor</v>
          </cell>
          <cell r="CJ727">
            <v>0.84248908690409319</v>
          </cell>
          <cell r="CK727">
            <v>0.76820865826781626</v>
          </cell>
          <cell r="CL727">
            <v>-9.6693037544990759</v>
          </cell>
          <cell r="CM727">
            <v>0.20831983374902469</v>
          </cell>
          <cell r="CN727">
            <v>0.23127039821186002</v>
          </cell>
          <cell r="CO727">
            <v>9.9236930624432933</v>
          </cell>
          <cell r="CP727">
            <v>0.17543388782276786</v>
          </cell>
          <cell r="CQ727">
            <v>0.12709997928294106</v>
          </cell>
          <cell r="CR727">
            <v>-38.028258393519678</v>
          </cell>
          <cell r="CS727">
            <v>3.5428680977184581</v>
          </cell>
          <cell r="CT727">
            <v>3.2113076011492576</v>
          </cell>
          <cell r="CU727">
            <v>-10.324781607671037</v>
          </cell>
          <cell r="CV727">
            <v>0</v>
          </cell>
          <cell r="CW727">
            <v>0</v>
          </cell>
          <cell r="CX727">
            <v>0</v>
          </cell>
        </row>
        <row r="728">
          <cell r="CI728" t="str">
            <v>Retail Division</v>
          </cell>
          <cell r="CJ728">
            <v>2.7102301055155795</v>
          </cell>
          <cell r="CK728">
            <v>3.1500621957530601</v>
          </cell>
          <cell r="CL728">
            <v>13.962647811540544</v>
          </cell>
          <cell r="CM728">
            <v>0.43022399506908926</v>
          </cell>
          <cell r="CN728">
            <v>0.34227810545481513</v>
          </cell>
          <cell r="CO728">
            <v>-25.694278486616216</v>
          </cell>
          <cell r="CP728">
            <v>4.7172743326030577</v>
          </cell>
          <cell r="CQ728">
            <v>4.9670427886804998</v>
          </cell>
          <cell r="CR728">
            <v>5.0285142831192173</v>
          </cell>
          <cell r="CS728">
            <v>4.1822185882559619</v>
          </cell>
          <cell r="CT728">
            <v>1.9935625742222105</v>
          </cell>
          <cell r="CU728">
            <v>-109.78617086487274</v>
          </cell>
          <cell r="CV728">
            <v>1.0546004414846284</v>
          </cell>
          <cell r="CW728">
            <v>1.1342131915454841</v>
          </cell>
          <cell r="CX728">
            <v>7.0192050889811082</v>
          </cell>
        </row>
        <row r="729">
          <cell r="CI729" t="str">
            <v>Commercial Division</v>
          </cell>
          <cell r="CJ729">
            <v>0</v>
          </cell>
          <cell r="CK729">
            <v>0</v>
          </cell>
          <cell r="CL729">
            <v>0</v>
          </cell>
          <cell r="CM729">
            <v>0</v>
          </cell>
          <cell r="CN729">
            <v>0</v>
          </cell>
          <cell r="CO729">
            <v>0</v>
          </cell>
          <cell r="CP729">
            <v>0</v>
          </cell>
          <cell r="CQ729">
            <v>0</v>
          </cell>
          <cell r="CR729">
            <v>0</v>
          </cell>
          <cell r="CS729">
            <v>0</v>
          </cell>
          <cell r="CT729">
            <v>0</v>
          </cell>
          <cell r="CU729">
            <v>0</v>
          </cell>
          <cell r="CV729">
            <v>0</v>
          </cell>
          <cell r="CW729">
            <v>0</v>
          </cell>
          <cell r="CX729">
            <v>0</v>
          </cell>
        </row>
        <row r="730">
          <cell r="CI730" t="str">
            <v>Hampers</v>
          </cell>
          <cell r="CJ730">
            <v>0</v>
          </cell>
          <cell r="CK730">
            <v>0</v>
          </cell>
          <cell r="CL730">
            <v>0</v>
          </cell>
          <cell r="CM730">
            <v>0</v>
          </cell>
          <cell r="CN730">
            <v>0</v>
          </cell>
          <cell r="CO730">
            <v>0</v>
          </cell>
          <cell r="CP730">
            <v>0</v>
          </cell>
          <cell r="CQ730">
            <v>0</v>
          </cell>
          <cell r="CR730">
            <v>0</v>
          </cell>
          <cell r="CS730">
            <v>0</v>
          </cell>
          <cell r="CT730">
            <v>0</v>
          </cell>
          <cell r="CU730">
            <v>0</v>
          </cell>
          <cell r="CV730">
            <v>0</v>
          </cell>
          <cell r="CW730">
            <v>0</v>
          </cell>
          <cell r="CX730">
            <v>0</v>
          </cell>
        </row>
        <row r="731">
          <cell r="CI731" t="str">
            <v>Wines &amp; Spirits</v>
          </cell>
          <cell r="CJ731">
            <v>5.3846445028963839</v>
          </cell>
          <cell r="CK731">
            <v>2.1084048594875973</v>
          </cell>
          <cell r="CL731">
            <v>-155.38949403697572</v>
          </cell>
          <cell r="CM731">
            <v>1.1064549670862229</v>
          </cell>
          <cell r="CN731">
            <v>1.4423852937055983</v>
          </cell>
          <cell r="CO731">
            <v>23.289916230104136</v>
          </cell>
          <cell r="CP731">
            <v>7.3478869516287225E-3</v>
          </cell>
          <cell r="CQ731">
            <v>2.2962618404854463E-2</v>
          </cell>
          <cell r="CR731">
            <v>68.000657320180323</v>
          </cell>
          <cell r="CS731">
            <v>2.4300570000911623</v>
          </cell>
          <cell r="CT731">
            <v>6.4112518207368963</v>
          </cell>
          <cell r="CU731">
            <v>62.096996529893659</v>
          </cell>
          <cell r="CV731">
            <v>-0.51014354522052507</v>
          </cell>
          <cell r="CW731">
            <v>-0.90084931364859422</v>
          </cell>
          <cell r="CX731">
            <v>-43.370823789124486</v>
          </cell>
        </row>
        <row r="732">
          <cell r="CI732" t="str">
            <v xml:space="preserve">Total </v>
          </cell>
          <cell r="CJ732">
            <v>2.9490178873830493</v>
          </cell>
          <cell r="CK732">
            <v>3.2787425798631835</v>
          </cell>
          <cell r="CL732">
            <v>10.056437321587262</v>
          </cell>
          <cell r="CM732">
            <v>0.56487138558261851</v>
          </cell>
          <cell r="CN732">
            <v>0.46612583024709076</v>
          </cell>
          <cell r="CO732">
            <v>-21.184313103434597</v>
          </cell>
          <cell r="CP732">
            <v>4.6867138452972741</v>
          </cell>
          <cell r="CQ732">
            <v>4.9183336242729512</v>
          </cell>
          <cell r="CR732">
            <v>4.7093141024957639</v>
          </cell>
          <cell r="CS732">
            <v>4.2845702293308277</v>
          </cell>
          <cell r="CT732">
            <v>2.1508346288167233</v>
          </cell>
          <cell r="CU732">
            <v>-99.205004974649029</v>
          </cell>
          <cell r="CV732">
            <v>1.0432194054069774</v>
          </cell>
          <cell r="CW732">
            <v>1.1102625335516336</v>
          </cell>
          <cell r="CX732">
            <v>6.0384932498974839</v>
          </cell>
        </row>
        <row r="827">
          <cell r="B827">
            <v>12</v>
          </cell>
          <cell r="P827">
            <v>0</v>
          </cell>
          <cell r="T827" t="str">
            <v>Schedule 3</v>
          </cell>
        </row>
        <row r="828">
          <cell r="B828" t="str">
            <v>CARGILLS ( CEYLON ) LTD</v>
          </cell>
        </row>
        <row r="830">
          <cell r="B830" t="str">
            <v xml:space="preserve"> Direct Expenses by Profit Centres/Divisions - Month of March 2004 </v>
          </cell>
        </row>
        <row r="831">
          <cell r="C831" t="str">
            <v>MTH V BUD</v>
          </cell>
          <cell r="U831">
            <v>38154.357810300928</v>
          </cell>
        </row>
        <row r="832">
          <cell r="B832" t="str">
            <v>Profit Centre</v>
          </cell>
          <cell r="D832" t="str">
            <v>Staff Related</v>
          </cell>
          <cell r="G832" t="str">
            <v xml:space="preserve">Administration </v>
          </cell>
          <cell r="J832" t="str">
            <v xml:space="preserve">Establishment </v>
          </cell>
          <cell r="M832" t="str">
            <v>Selling &amp; Distribution</v>
          </cell>
          <cell r="P832" t="str">
            <v>Direct Expenses</v>
          </cell>
          <cell r="S832" t="str">
            <v>D&amp;A and Finance</v>
          </cell>
        </row>
        <row r="833">
          <cell r="D833">
            <v>38047</v>
          </cell>
          <cell r="E833" t="str">
            <v>Budget</v>
          </cell>
          <cell r="F833" t="str">
            <v>Var %</v>
          </cell>
          <cell r="G833">
            <v>38047</v>
          </cell>
          <cell r="H833" t="str">
            <v>Budget</v>
          </cell>
          <cell r="I833" t="str">
            <v>Var %</v>
          </cell>
          <cell r="J833">
            <v>38047</v>
          </cell>
          <cell r="K833" t="str">
            <v>Budget</v>
          </cell>
          <cell r="L833" t="str">
            <v>Var %</v>
          </cell>
          <cell r="M833">
            <v>38047</v>
          </cell>
          <cell r="N833" t="str">
            <v>Budget</v>
          </cell>
          <cell r="O833" t="str">
            <v>Var %</v>
          </cell>
          <cell r="P833">
            <v>38047</v>
          </cell>
          <cell r="Q833" t="str">
            <v>Budget</v>
          </cell>
          <cell r="R833" t="str">
            <v>Var %</v>
          </cell>
          <cell r="S833">
            <v>38047</v>
          </cell>
          <cell r="T833" t="str">
            <v>Budget</v>
          </cell>
          <cell r="U833" t="str">
            <v>Var %</v>
          </cell>
        </row>
        <row r="834">
          <cell r="C834" t="str">
            <v>Staples Street</v>
          </cell>
          <cell r="D834">
            <v>693.08024</v>
          </cell>
          <cell r="E834">
            <v>1087.0980389900003</v>
          </cell>
          <cell r="F834">
            <v>36.244918568344936</v>
          </cell>
          <cell r="G834">
            <v>121.32003</v>
          </cell>
          <cell r="H834">
            <v>166.85407535454544</v>
          </cell>
          <cell r="I834">
            <v>-27.289741205176384</v>
          </cell>
          <cell r="J834">
            <v>2541.9154400000002</v>
          </cell>
          <cell r="K834">
            <v>1931.8771134687581</v>
          </cell>
          <cell r="L834">
            <v>-31.577491253359035</v>
          </cell>
          <cell r="M834">
            <v>2742.06403</v>
          </cell>
          <cell r="N834">
            <v>1292.4812312680579</v>
          </cell>
          <cell r="O834">
            <v>-112.15503665842415</v>
          </cell>
          <cell r="P834">
            <v>6098.3797400000003</v>
          </cell>
          <cell r="Q834">
            <v>4478.3104590813618</v>
          </cell>
          <cell r="R834">
            <v>-36.175903741407069</v>
          </cell>
          <cell r="S834">
            <v>479.34224</v>
          </cell>
          <cell r="T834">
            <v>490.34534083333335</v>
          </cell>
          <cell r="U834">
            <v>2.2439492979853282</v>
          </cell>
        </row>
        <row r="835">
          <cell r="C835" t="str">
            <v>Kandy</v>
          </cell>
          <cell r="D835">
            <v>429.89188999999999</v>
          </cell>
          <cell r="E835">
            <v>712.59827910355114</v>
          </cell>
          <cell r="F835">
            <v>39.672617433092299</v>
          </cell>
          <cell r="G835">
            <v>83.570949999999996</v>
          </cell>
          <cell r="H835">
            <v>98.491096390909107</v>
          </cell>
          <cell r="I835">
            <v>-15.14872606523879</v>
          </cell>
          <cell r="J835">
            <v>1001.91651</v>
          </cell>
          <cell r="K835">
            <v>869.10445092096438</v>
          </cell>
          <cell r="L835">
            <v>-15.281484168939489</v>
          </cell>
          <cell r="M835">
            <v>1815.66957</v>
          </cell>
          <cell r="N835">
            <v>601.42138027182693</v>
          </cell>
          <cell r="O835">
            <v>-201.89641232564171</v>
          </cell>
          <cell r="P835">
            <v>3331.0489200000002</v>
          </cell>
          <cell r="Q835">
            <v>2281.6152066872514</v>
          </cell>
          <cell r="R835">
            <v>-45.99521033331709</v>
          </cell>
          <cell r="S835">
            <v>397.74952000000002</v>
          </cell>
          <cell r="T835">
            <v>390.58401770833331</v>
          </cell>
          <cell r="U835">
            <v>-1.8345610590286661</v>
          </cell>
        </row>
        <row r="836">
          <cell r="C836" t="str">
            <v>Mount Lavinia</v>
          </cell>
          <cell r="D836">
            <v>350.42135999999999</v>
          </cell>
          <cell r="E836">
            <v>597.40330858939399</v>
          </cell>
          <cell r="F836">
            <v>41.342581307856321</v>
          </cell>
          <cell r="G836">
            <v>63.384999999999998</v>
          </cell>
          <cell r="H836">
            <v>76.402109772727272</v>
          </cell>
          <cell r="I836">
            <v>-17.037631305534838</v>
          </cell>
          <cell r="J836">
            <v>916.12744999999995</v>
          </cell>
          <cell r="K836">
            <v>596.7070951096099</v>
          </cell>
          <cell r="L836">
            <v>-53.530510615382468</v>
          </cell>
          <cell r="M836">
            <v>1026.20373</v>
          </cell>
          <cell r="N836">
            <v>303.1413794094949</v>
          </cell>
          <cell r="O836">
            <v>-238.52314454694255</v>
          </cell>
          <cell r="P836">
            <v>2356.1375399999997</v>
          </cell>
          <cell r="Q836">
            <v>1573.6538928812261</v>
          </cell>
          <cell r="R836">
            <v>-49.723999073653538</v>
          </cell>
          <cell r="S836">
            <v>84.512299999999996</v>
          </cell>
          <cell r="T836">
            <v>91.802049999999994</v>
          </cell>
          <cell r="U836">
            <v>7.9407268138347655</v>
          </cell>
        </row>
        <row r="837">
          <cell r="C837" t="str">
            <v>Wellawatte</v>
          </cell>
          <cell r="D837">
            <v>275.94310000000002</v>
          </cell>
          <cell r="E837">
            <v>309.42764321166669</v>
          </cell>
          <cell r="F837">
            <v>10.821445318885514</v>
          </cell>
          <cell r="G837">
            <v>88.060400000000001</v>
          </cell>
          <cell r="H837">
            <v>44.22040359999999</v>
          </cell>
          <cell r="I837">
            <v>99.139747336001292</v>
          </cell>
          <cell r="J837">
            <v>792.79363999999998</v>
          </cell>
          <cell r="K837">
            <v>332.16045291995221</v>
          </cell>
          <cell r="L837">
            <v>-138.67791395113986</v>
          </cell>
          <cell r="M837">
            <v>481.03205000000003</v>
          </cell>
          <cell r="N837">
            <v>165.10584198527451</v>
          </cell>
          <cell r="O837">
            <v>-191.34768595462683</v>
          </cell>
          <cell r="P837">
            <v>1637.8291900000002</v>
          </cell>
          <cell r="Q837">
            <v>850.91434171689343</v>
          </cell>
          <cell r="R837">
            <v>-92.478738423346513</v>
          </cell>
          <cell r="S837">
            <v>26.886500000000002</v>
          </cell>
          <cell r="T837">
            <v>29.928999999999998</v>
          </cell>
          <cell r="U837">
            <v>10.165725550469434</v>
          </cell>
        </row>
        <row r="838">
          <cell r="C838" t="str">
            <v>Bambalapitiya</v>
          </cell>
          <cell r="D838">
            <v>242.83768000000001</v>
          </cell>
          <cell r="E838">
            <v>563.91013988062082</v>
          </cell>
          <cell r="F838">
            <v>56.936812653979153</v>
          </cell>
          <cell r="G838">
            <v>64.960499999999996</v>
          </cell>
          <cell r="H838">
            <v>95.351645381818173</v>
          </cell>
          <cell r="I838">
            <v>-31.872701577536926</v>
          </cell>
          <cell r="J838">
            <v>1135.6367499999999</v>
          </cell>
          <cell r="K838">
            <v>1121.2346679397442</v>
          </cell>
          <cell r="L838">
            <v>-1.2844841915849194</v>
          </cell>
          <cell r="M838">
            <v>779.16762000000006</v>
          </cell>
          <cell r="N838">
            <v>413.55129311308247</v>
          </cell>
          <cell r="O838">
            <v>-88.408942971662412</v>
          </cell>
          <cell r="P838">
            <v>2222.6025500000001</v>
          </cell>
          <cell r="Q838">
            <v>2194.0477463152656</v>
          </cell>
          <cell r="R838">
            <v>-1.3014668314620794</v>
          </cell>
          <cell r="S838">
            <v>66.259770000000003</v>
          </cell>
          <cell r="T838">
            <v>66.593209999999999</v>
          </cell>
          <cell r="U838">
            <v>0.50071170919677244</v>
          </cell>
        </row>
        <row r="839">
          <cell r="C839" t="str">
            <v>Nuwara Eliya</v>
          </cell>
          <cell r="D839">
            <v>195.86983000000001</v>
          </cell>
          <cell r="E839">
            <v>338.38479149333335</v>
          </cell>
          <cell r="F839">
            <v>42.116243127948344</v>
          </cell>
          <cell r="G839">
            <v>56.381500000000003</v>
          </cell>
          <cell r="H839">
            <v>58.858256509090907</v>
          </cell>
          <cell r="I839">
            <v>-4.208001826741774</v>
          </cell>
          <cell r="J839">
            <v>476.97615999999999</v>
          </cell>
          <cell r="K839">
            <v>368.11393329151633</v>
          </cell>
          <cell r="L839">
            <v>-29.572970991639597</v>
          </cell>
          <cell r="M839">
            <v>530.25190999999995</v>
          </cell>
          <cell r="N839">
            <v>166.90979565062193</v>
          </cell>
          <cell r="O839">
            <v>-217.68771145699031</v>
          </cell>
          <cell r="P839">
            <v>1259.4793999999999</v>
          </cell>
          <cell r="Q839">
            <v>932.26677694456259</v>
          </cell>
          <cell r="R839">
            <v>-35.098603870434296</v>
          </cell>
          <cell r="S839">
            <v>163.31492999999998</v>
          </cell>
          <cell r="T839">
            <v>169.94092999999998</v>
          </cell>
          <cell r="U839">
            <v>3.8990018472889409</v>
          </cell>
        </row>
        <row r="840">
          <cell r="C840" t="str">
            <v>Bandarawela</v>
          </cell>
          <cell r="D840">
            <v>256.53089</v>
          </cell>
          <cell r="E840">
            <v>308.35112638666669</v>
          </cell>
          <cell r="F840">
            <v>16.805593348695947</v>
          </cell>
          <cell r="G840">
            <v>51.689100000000003</v>
          </cell>
          <cell r="H840">
            <v>54.139630436363646</v>
          </cell>
          <cell r="I840">
            <v>-4.5263154118571691</v>
          </cell>
          <cell r="J840">
            <v>519.26328999999998</v>
          </cell>
          <cell r="K840">
            <v>307.70872394819935</v>
          </cell>
          <cell r="L840">
            <v>-68.751565876115492</v>
          </cell>
          <cell r="M840">
            <v>706.29639999999995</v>
          </cell>
          <cell r="N840">
            <v>161.09443780977128</v>
          </cell>
          <cell r="O840">
            <v>-338.43624249400312</v>
          </cell>
          <cell r="P840">
            <v>1533.7796799999999</v>
          </cell>
          <cell r="Q840">
            <v>831.29391858100098</v>
          </cell>
          <cell r="R840">
            <v>-84.505100508629411</v>
          </cell>
          <cell r="S840">
            <v>46.043670000000006</v>
          </cell>
          <cell r="T840">
            <v>44.616670000000006</v>
          </cell>
          <cell r="U840">
            <v>-3.1983561301190773</v>
          </cell>
        </row>
        <row r="841">
          <cell r="C841" t="str">
            <v>Maharagama</v>
          </cell>
          <cell r="D841">
            <v>402.02895999999998</v>
          </cell>
          <cell r="E841">
            <v>479.89833556889482</v>
          </cell>
          <cell r="F841">
            <v>16.226223305522552</v>
          </cell>
          <cell r="G841">
            <v>51.408000000000001</v>
          </cell>
          <cell r="H841">
            <v>60.120653209090904</v>
          </cell>
          <cell r="I841">
            <v>-14.491947016592716</v>
          </cell>
          <cell r="J841">
            <v>805.99531000000002</v>
          </cell>
          <cell r="K841">
            <v>663.82840853013738</v>
          </cell>
          <cell r="L841">
            <v>-21.416212328823278</v>
          </cell>
          <cell r="M841">
            <v>844.90738999999996</v>
          </cell>
          <cell r="N841">
            <v>351.62395068548858</v>
          </cell>
          <cell r="O841">
            <v>-140.28721261815599</v>
          </cell>
          <cell r="P841">
            <v>2104.3396600000001</v>
          </cell>
          <cell r="Q841">
            <v>1555.4713479936117</v>
          </cell>
          <cell r="R841">
            <v>-35.286301654760052</v>
          </cell>
          <cell r="S841">
            <v>74.417500000000004</v>
          </cell>
          <cell r="T841">
            <v>83.373000000000005</v>
          </cell>
          <cell r="U841">
            <v>10.741487052163171</v>
          </cell>
        </row>
        <row r="842">
          <cell r="C842" t="str">
            <v>Kiribathgoda</v>
          </cell>
          <cell r="D842">
            <v>119.52327</v>
          </cell>
          <cell r="E842">
            <v>424.24986871666664</v>
          </cell>
          <cell r="F842">
            <v>71.827152154094591</v>
          </cell>
          <cell r="G842">
            <v>34.316099999999999</v>
          </cell>
          <cell r="H842">
            <v>47.872107381818175</v>
          </cell>
          <cell r="I842">
            <v>-28.317131046056161</v>
          </cell>
          <cell r="J842">
            <v>-338.86518999999998</v>
          </cell>
          <cell r="K842">
            <v>373.35112223102999</v>
          </cell>
          <cell r="L842">
            <v>190.76313684958203</v>
          </cell>
          <cell r="M842">
            <v>440.45791000000003</v>
          </cell>
          <cell r="N842">
            <v>265.73537823507138</v>
          </cell>
          <cell r="O842">
            <v>-65.750572214124929</v>
          </cell>
          <cell r="P842">
            <v>255.43209000000004</v>
          </cell>
          <cell r="Q842">
            <v>1111.2084765645864</v>
          </cell>
          <cell r="R842">
            <v>77.013126214651066</v>
          </cell>
          <cell r="S842">
            <v>37.235500000000002</v>
          </cell>
          <cell r="T842">
            <v>43.103000000000002</v>
          </cell>
          <cell r="U842">
            <v>13.612741572512352</v>
          </cell>
        </row>
        <row r="843">
          <cell r="C843" t="str">
            <v>Nugegoda</v>
          </cell>
          <cell r="D843">
            <v>516.22911999999997</v>
          </cell>
          <cell r="E843">
            <v>687.15290316613516</v>
          </cell>
          <cell r="F843">
            <v>24.874199378127404</v>
          </cell>
          <cell r="G843">
            <v>58.896250000000002</v>
          </cell>
          <cell r="H843">
            <v>72.561413836363627</v>
          </cell>
          <cell r="I843">
            <v>-18.832549028303838</v>
          </cell>
          <cell r="J843">
            <v>1000.90592</v>
          </cell>
          <cell r="K843">
            <v>989.2285653902203</v>
          </cell>
          <cell r="L843">
            <v>-1.1804506075068084</v>
          </cell>
          <cell r="M843">
            <v>995.98940000000005</v>
          </cell>
          <cell r="N843">
            <v>530.43630823495403</v>
          </cell>
          <cell r="O843">
            <v>-87.767953388068548</v>
          </cell>
          <cell r="P843">
            <v>2572.0206899999998</v>
          </cell>
          <cell r="Q843">
            <v>2279.3791906276733</v>
          </cell>
          <cell r="R843">
            <v>-12.838649250445325</v>
          </cell>
          <cell r="S843">
            <v>130.95752999999999</v>
          </cell>
          <cell r="T843">
            <v>141.28703270833336</v>
          </cell>
          <cell r="U843">
            <v>7.3110054831833926</v>
          </cell>
        </row>
        <row r="844">
          <cell r="C844" t="str">
            <v>Fort</v>
          </cell>
          <cell r="D844">
            <v>252.23845</v>
          </cell>
          <cell r="E844">
            <v>341.25302598333337</v>
          </cell>
          <cell r="F844">
            <v>26.084626129492783</v>
          </cell>
          <cell r="G844">
            <v>26.823599999999999</v>
          </cell>
          <cell r="H844">
            <v>45.576494363636364</v>
          </cell>
          <cell r="I844">
            <v>-41.14597804301188</v>
          </cell>
          <cell r="J844">
            <v>41.446420000000003</v>
          </cell>
          <cell r="K844">
            <v>50.118542999999995</v>
          </cell>
          <cell r="L844">
            <v>17.303222481946438</v>
          </cell>
          <cell r="M844">
            <v>585.06223999999997</v>
          </cell>
          <cell r="N844">
            <v>203.35496298432449</v>
          </cell>
          <cell r="O844">
            <v>-187.70492316191917</v>
          </cell>
          <cell r="P844">
            <v>905.57070999999996</v>
          </cell>
          <cell r="Q844">
            <v>640.30302633129418</v>
          </cell>
          <cell r="R844">
            <v>-41.4284600821886</v>
          </cell>
          <cell r="S844">
            <v>35.716500000000003</v>
          </cell>
          <cell r="T844">
            <v>59.695323958333333</v>
          </cell>
          <cell r="U844">
            <v>40.168680506818724</v>
          </cell>
        </row>
        <row r="845">
          <cell r="C845" t="str">
            <v>Malabe</v>
          </cell>
          <cell r="D845">
            <v>343.91464000000002</v>
          </cell>
          <cell r="E845">
            <v>463.6718350272223</v>
          </cell>
          <cell r="F845">
            <v>25.828007219845755</v>
          </cell>
          <cell r="G845">
            <v>62.695970000000003</v>
          </cell>
          <cell r="H845">
            <v>64.613662000000005</v>
          </cell>
          <cell r="I845">
            <v>-2.96793579042154</v>
          </cell>
          <cell r="J845">
            <v>699.40904</v>
          </cell>
          <cell r="K845">
            <v>673.81727089851347</v>
          </cell>
          <cell r="L845">
            <v>-3.7980280718184529</v>
          </cell>
          <cell r="M845">
            <v>739.24459999999999</v>
          </cell>
          <cell r="N845">
            <v>282.28557956701439</v>
          </cell>
          <cell r="O845">
            <v>-161.87827275268373</v>
          </cell>
          <cell r="P845">
            <v>1845.2642499999999</v>
          </cell>
          <cell r="Q845">
            <v>1484.3883474927502</v>
          </cell>
          <cell r="R845">
            <v>-24.311421139676675</v>
          </cell>
          <cell r="S845">
            <v>55.165500000000002</v>
          </cell>
          <cell r="T845">
            <v>61.286000000000001</v>
          </cell>
          <cell r="U845">
            <v>9.9867832783996349</v>
          </cell>
        </row>
        <row r="846">
          <cell r="C846" t="str">
            <v>Negombo</v>
          </cell>
          <cell r="D846">
            <v>501.03336999999999</v>
          </cell>
          <cell r="E846">
            <v>550.3737774166666</v>
          </cell>
          <cell r="F846">
            <v>8.964890669075773</v>
          </cell>
          <cell r="G846">
            <v>53.185699999999997</v>
          </cell>
          <cell r="H846">
            <v>67.100427600000003</v>
          </cell>
          <cell r="I846">
            <v>-20.737166807562947</v>
          </cell>
          <cell r="J846">
            <v>741.38544999999999</v>
          </cell>
          <cell r="K846">
            <v>634.87218690992097</v>
          </cell>
          <cell r="L846">
            <v>-16.777119125111664</v>
          </cell>
          <cell r="M846">
            <v>980.37922000000003</v>
          </cell>
          <cell r="N846">
            <v>344.67630014294099</v>
          </cell>
          <cell r="O846">
            <v>-184.43476374599186</v>
          </cell>
          <cell r="P846">
            <v>2275.9837399999997</v>
          </cell>
          <cell r="Q846">
            <v>1597.0226920695286</v>
          </cell>
          <cell r="R846">
            <v>-42.514176617655195</v>
          </cell>
          <cell r="S846">
            <v>98.669499999999999</v>
          </cell>
          <cell r="T846">
            <v>110.54</v>
          </cell>
          <cell r="U846">
            <v>10.738646643748876</v>
          </cell>
        </row>
        <row r="847">
          <cell r="C847" t="str">
            <v>Rajagiriya</v>
          </cell>
          <cell r="D847">
            <v>254.56054</v>
          </cell>
          <cell r="E847">
            <v>439.18806995575767</v>
          </cell>
          <cell r="F847">
            <v>42.038375490107562</v>
          </cell>
          <cell r="G847">
            <v>50.311799999999998</v>
          </cell>
          <cell r="H847">
            <v>64.173175100000009</v>
          </cell>
          <cell r="I847">
            <v>-21.599952127037593</v>
          </cell>
          <cell r="J847">
            <v>450.70882999999998</v>
          </cell>
          <cell r="K847">
            <v>407.28573938830471</v>
          </cell>
          <cell r="L847">
            <v>-10.661578938882478</v>
          </cell>
          <cell r="M847">
            <v>672.02503000000002</v>
          </cell>
          <cell r="N847">
            <v>253.42347099813568</v>
          </cell>
          <cell r="O847">
            <v>-165.17868583882816</v>
          </cell>
          <cell r="P847">
            <v>1427.6061999999999</v>
          </cell>
          <cell r="Q847">
            <v>1164.070455442198</v>
          </cell>
          <cell r="R847">
            <v>-22.639157563507794</v>
          </cell>
          <cell r="S847">
            <v>77.872010000000003</v>
          </cell>
          <cell r="T847">
            <v>140.74500625000002</v>
          </cell>
          <cell r="U847">
            <v>44.671564501777844</v>
          </cell>
        </row>
        <row r="848">
          <cell r="C848" t="str">
            <v>Boralesgamuwa</v>
          </cell>
          <cell r="D848">
            <v>226.21503000000001</v>
          </cell>
          <cell r="E848">
            <v>261.40812457333328</v>
          </cell>
          <cell r="F848">
            <v>13.462892414218169</v>
          </cell>
          <cell r="G848">
            <v>44.0381</v>
          </cell>
          <cell r="H848">
            <v>39.955299945454541</v>
          </cell>
          <cell r="I848">
            <v>10.218419233791618</v>
          </cell>
          <cell r="J848">
            <v>387.56169</v>
          </cell>
          <cell r="K848">
            <v>360.58322342328438</v>
          </cell>
          <cell r="L848">
            <v>-7.4818973330453353</v>
          </cell>
          <cell r="M848">
            <v>288.64237000000003</v>
          </cell>
          <cell r="N848">
            <v>129.0049815427715</v>
          </cell>
          <cell r="O848">
            <v>-123.74513491504268</v>
          </cell>
          <cell r="P848">
            <v>946.45719000000008</v>
          </cell>
          <cell r="Q848">
            <v>790.95162948484369</v>
          </cell>
          <cell r="R848">
            <v>-19.660565162049039</v>
          </cell>
          <cell r="S848">
            <v>49.658499999999997</v>
          </cell>
          <cell r="T848">
            <v>58.243000000000002</v>
          </cell>
          <cell r="U848">
            <v>14.739110279346884</v>
          </cell>
        </row>
        <row r="849">
          <cell r="C849" t="str">
            <v>Pitakotte</v>
          </cell>
          <cell r="D849">
            <v>257.78820000000002</v>
          </cell>
          <cell r="E849">
            <v>419.02180743999992</v>
          </cell>
          <cell r="F849">
            <v>38.478571897021631</v>
          </cell>
          <cell r="G849">
            <v>75.822299999999998</v>
          </cell>
          <cell r="H849">
            <v>55.93849206363636</v>
          </cell>
          <cell r="I849">
            <v>35.545841875293235</v>
          </cell>
          <cell r="J849">
            <v>505.27066000000002</v>
          </cell>
          <cell r="K849">
            <v>471.78882820353238</v>
          </cell>
          <cell r="L849">
            <v>-7.0967835173119855</v>
          </cell>
          <cell r="M849">
            <v>574.14368999999999</v>
          </cell>
          <cell r="N849">
            <v>253.5711371064987</v>
          </cell>
          <cell r="O849">
            <v>-126.42312392157721</v>
          </cell>
          <cell r="P849">
            <v>1413.02485</v>
          </cell>
          <cell r="Q849">
            <v>1200.3202648136673</v>
          </cell>
          <cell r="R849">
            <v>-17.720652680920288</v>
          </cell>
          <cell r="S849">
            <v>177.22165000000001</v>
          </cell>
          <cell r="T849">
            <v>191.59614999999999</v>
          </cell>
          <cell r="U849">
            <v>7.5024993978219214</v>
          </cell>
        </row>
        <row r="850">
          <cell r="C850" t="str">
            <v>Panadura</v>
          </cell>
          <cell r="D850">
            <v>360.67907000000002</v>
          </cell>
          <cell r="E850">
            <v>412.05906812000001</v>
          </cell>
          <cell r="F850">
            <v>12.469085646972603</v>
          </cell>
          <cell r="G850">
            <v>37.171300000000002</v>
          </cell>
          <cell r="H850">
            <v>50.628847600000007</v>
          </cell>
          <cell r="I850">
            <v>-26.580789881537818</v>
          </cell>
          <cell r="J850">
            <v>661.87895000000003</v>
          </cell>
          <cell r="K850">
            <v>665.67969449164855</v>
          </cell>
          <cell r="L850">
            <v>0.57095695168394522</v>
          </cell>
          <cell r="M850">
            <v>683.52056000000005</v>
          </cell>
          <cell r="N850">
            <v>262.68581771731237</v>
          </cell>
          <cell r="O850">
            <v>-160.20459191122615</v>
          </cell>
          <cell r="P850">
            <v>1743.2498799999998</v>
          </cell>
          <cell r="Q850">
            <v>1391.0534279289609</v>
          </cell>
          <cell r="R850">
            <v>-25.318686184138794</v>
          </cell>
          <cell r="S850">
            <v>260.17698999999999</v>
          </cell>
          <cell r="T850">
            <v>246.76501000000002</v>
          </cell>
          <cell r="U850">
            <v>-5.4351222647003201</v>
          </cell>
        </row>
        <row r="851">
          <cell r="C851" t="str">
            <v>Kurunagala</v>
          </cell>
          <cell r="D851">
            <v>249.59397999999999</v>
          </cell>
          <cell r="E851">
            <v>429.55780076820503</v>
          </cell>
          <cell r="F851">
            <v>41.895135054319695</v>
          </cell>
          <cell r="G851">
            <v>54.293900000000001</v>
          </cell>
          <cell r="H851">
            <v>55.447927218181825</v>
          </cell>
          <cell r="I851">
            <v>-2.0812810795268266</v>
          </cell>
          <cell r="J851">
            <v>669.71970999999996</v>
          </cell>
          <cell r="K851">
            <v>577.79799194008012</v>
          </cell>
          <cell r="L851">
            <v>-15.908971533679624</v>
          </cell>
          <cell r="M851">
            <v>603.70924000000002</v>
          </cell>
          <cell r="N851">
            <v>175.914483397879</v>
          </cell>
          <cell r="O851">
            <v>-243.18336292671563</v>
          </cell>
          <cell r="P851">
            <v>1577.31683</v>
          </cell>
          <cell r="Q851">
            <v>1238.718203324346</v>
          </cell>
          <cell r="R851">
            <v>-27.334596824924141</v>
          </cell>
          <cell r="S851">
            <v>272.19900000000001</v>
          </cell>
          <cell r="T851">
            <v>288.44050000000004</v>
          </cell>
          <cell r="U851">
            <v>5.6307973394859694</v>
          </cell>
        </row>
        <row r="852">
          <cell r="C852" t="str">
            <v>Matara</v>
          </cell>
          <cell r="D852">
            <v>310.35829999999999</v>
          </cell>
          <cell r="E852">
            <v>390.86647220333333</v>
          </cell>
          <cell r="F852">
            <v>20.597359438251345</v>
          </cell>
          <cell r="G852">
            <v>41.290849999999999</v>
          </cell>
          <cell r="H852">
            <v>55.291716945454546</v>
          </cell>
          <cell r="I852">
            <v>-25.321816212121696</v>
          </cell>
          <cell r="J852">
            <v>588.89985000000001</v>
          </cell>
          <cell r="K852">
            <v>514.75610118628754</v>
          </cell>
          <cell r="L852">
            <v>-14.403665860947267</v>
          </cell>
          <cell r="M852">
            <v>496.80673999999999</v>
          </cell>
          <cell r="N852">
            <v>182.54442652233345</v>
          </cell>
          <cell r="O852">
            <v>-172.15661933081151</v>
          </cell>
          <cell r="P852">
            <v>1437.35574</v>
          </cell>
          <cell r="Q852">
            <v>1143.4587168574089</v>
          </cell>
          <cell r="R852">
            <v>-25.702460334581577</v>
          </cell>
          <cell r="S852">
            <v>250.77728999999999</v>
          </cell>
          <cell r="T852">
            <v>245.14812645833334</v>
          </cell>
          <cell r="U852">
            <v>-2.2962294768438372</v>
          </cell>
        </row>
        <row r="853">
          <cell r="C853" t="str">
            <v>Wattala</v>
          </cell>
          <cell r="D853">
            <v>350.86479000000003</v>
          </cell>
          <cell r="E853">
            <v>488.86749686666667</v>
          </cell>
          <cell r="F853">
            <v>28.229061606913376</v>
          </cell>
          <cell r="G853">
            <v>42.68535</v>
          </cell>
          <cell r="H853">
            <v>50.648522954545456</v>
          </cell>
          <cell r="I853">
            <v>-15.722418917708636</v>
          </cell>
          <cell r="J853">
            <v>672.61296000000004</v>
          </cell>
          <cell r="K853">
            <v>593.51663194329399</v>
          </cell>
          <cell r="L853">
            <v>-13.326724779005538</v>
          </cell>
          <cell r="M853">
            <v>653.44637999999998</v>
          </cell>
          <cell r="N853">
            <v>212.04890053648268</v>
          </cell>
          <cell r="O853">
            <v>-208.15834382860925</v>
          </cell>
          <cell r="P853">
            <v>1719.6094800000001</v>
          </cell>
          <cell r="Q853">
            <v>1345.081552300989</v>
          </cell>
          <cell r="R853">
            <v>-27.844254280219509</v>
          </cell>
          <cell r="S853">
            <v>378.21424000000002</v>
          </cell>
          <cell r="T853">
            <v>400.27294895833336</v>
          </cell>
          <cell r="U853">
            <v>5.5109167421227747</v>
          </cell>
        </row>
        <row r="854">
          <cell r="C854" t="str">
            <v>Pelawatte</v>
          </cell>
          <cell r="D854">
            <v>340.30056999999999</v>
          </cell>
          <cell r="E854">
            <v>500.79302825042737</v>
          </cell>
          <cell r="F854">
            <v>32.047662247041359</v>
          </cell>
          <cell r="G854">
            <v>67.288250000000005</v>
          </cell>
          <cell r="H854">
            <v>54.532474127272721</v>
          </cell>
          <cell r="I854">
            <v>23.391155594658557</v>
          </cell>
          <cell r="J854">
            <v>684.47702000000004</v>
          </cell>
          <cell r="K854">
            <v>572.42318359132003</v>
          </cell>
          <cell r="L854">
            <v>-19.575349081018448</v>
          </cell>
          <cell r="M854">
            <v>793.59259999999995</v>
          </cell>
          <cell r="N854">
            <v>299.34217812255019</v>
          </cell>
          <cell r="O854">
            <v>-165.11218865892812</v>
          </cell>
          <cell r="P854">
            <v>1885.6584399999999</v>
          </cell>
          <cell r="Q854">
            <v>1427.0908640915704</v>
          </cell>
          <cell r="R854">
            <v>-32.133032832519426</v>
          </cell>
          <cell r="S854">
            <v>274.25358</v>
          </cell>
          <cell r="T854">
            <v>298.97808416666669</v>
          </cell>
          <cell r="U854">
            <v>8.2696710816047325</v>
          </cell>
        </row>
        <row r="855">
          <cell r="C855" t="str">
            <v>Gampaha</v>
          </cell>
          <cell r="D855">
            <v>285.26652000000001</v>
          </cell>
          <cell r="E855">
            <v>483.81871320917111</v>
          </cell>
          <cell r="F855">
            <v>41.038551793950617</v>
          </cell>
          <cell r="G855">
            <v>52.173009999999998</v>
          </cell>
          <cell r="H855">
            <v>51.345769972727268</v>
          </cell>
          <cell r="I855">
            <v>1.6111162179710714</v>
          </cell>
          <cell r="J855">
            <v>750.64089999999999</v>
          </cell>
          <cell r="K855">
            <v>485.34121054614235</v>
          </cell>
          <cell r="L855">
            <v>-54.662510351289249</v>
          </cell>
          <cell r="M855">
            <v>612.94344000000001</v>
          </cell>
          <cell r="N855">
            <v>202.30884929241367</v>
          </cell>
          <cell r="O855">
            <v>-202.97411217739776</v>
          </cell>
          <cell r="P855">
            <v>1701.02387</v>
          </cell>
          <cell r="Q855">
            <v>1222.8145430204545</v>
          </cell>
          <cell r="R855">
            <v>-39.107265260219123</v>
          </cell>
          <cell r="S855">
            <v>431.85446000000002</v>
          </cell>
          <cell r="T855">
            <v>471.69679374999998</v>
          </cell>
          <cell r="U855">
            <v>8.4465983822473181</v>
          </cell>
        </row>
        <row r="856">
          <cell r="C856" t="str">
            <v>Ja-ela</v>
          </cell>
          <cell r="D856">
            <v>330.66305999999997</v>
          </cell>
          <cell r="E856">
            <v>442.80557835833332</v>
          </cell>
          <cell r="F856">
            <v>25.325452938983485</v>
          </cell>
          <cell r="G856">
            <v>48.4801</v>
          </cell>
          <cell r="H856">
            <v>45.255949600000001</v>
          </cell>
          <cell r="I856">
            <v>7.1242575362952918</v>
          </cell>
          <cell r="J856">
            <v>678.11557000000005</v>
          </cell>
          <cell r="K856">
            <v>508.30370080309012</v>
          </cell>
          <cell r="L856">
            <v>-33.407561056238052</v>
          </cell>
          <cell r="M856">
            <v>719.90760999999998</v>
          </cell>
          <cell r="N856">
            <v>206.55801372203777</v>
          </cell>
          <cell r="O856">
            <v>-248.5256258170499</v>
          </cell>
          <cell r="P856">
            <v>1777.16634</v>
          </cell>
          <cell r="Q856">
            <v>1202.9232424834611</v>
          </cell>
          <cell r="R856">
            <v>-47.737301702725574</v>
          </cell>
          <cell r="S856">
            <v>577.78900999999996</v>
          </cell>
          <cell r="T856">
            <v>684.80550916666652</v>
          </cell>
          <cell r="U856">
            <v>15.627283620555849</v>
          </cell>
        </row>
        <row r="857">
          <cell r="C857" t="str">
            <v>Piliyandala</v>
          </cell>
          <cell r="D857">
            <v>267.26711999999998</v>
          </cell>
          <cell r="E857">
            <v>436.55209157686278</v>
          </cell>
          <cell r="F857">
            <v>38.777725463504545</v>
          </cell>
          <cell r="G857">
            <v>40.944800000000001</v>
          </cell>
          <cell r="H857">
            <v>52.16400107129629</v>
          </cell>
          <cell r="I857">
            <v>-21.507554713761699</v>
          </cell>
          <cell r="J857">
            <v>589.33425999999997</v>
          </cell>
          <cell r="K857">
            <v>459.21737974766017</v>
          </cell>
          <cell r="L857">
            <v>-28.334485145975748</v>
          </cell>
          <cell r="M857">
            <v>504.19000999999997</v>
          </cell>
          <cell r="N857">
            <v>134.32458065831389</v>
          </cell>
          <cell r="O857">
            <v>-275.35200745016704</v>
          </cell>
          <cell r="P857">
            <v>1401.7361899999999</v>
          </cell>
          <cell r="Q857">
            <v>1082.2580530541331</v>
          </cell>
          <cell r="R857">
            <v>-29.519589717470723</v>
          </cell>
          <cell r="S857">
            <v>520.00062000000003</v>
          </cell>
          <cell r="T857">
            <v>514.68986500000005</v>
          </cell>
          <cell r="U857">
            <v>-1.0318359387162155</v>
          </cell>
        </row>
        <row r="858">
          <cell r="C858" t="str">
            <v>Chilaw</v>
          </cell>
          <cell r="D858">
            <v>312.82927999999998</v>
          </cell>
          <cell r="E858">
            <v>421.75438260666658</v>
          </cell>
          <cell r="F858">
            <v>25.826667629024147</v>
          </cell>
          <cell r="G858">
            <v>51.351750000000003</v>
          </cell>
          <cell r="H858">
            <v>66.237891845454556</v>
          </cell>
          <cell r="I858">
            <v>-22.473755475471226</v>
          </cell>
          <cell r="J858">
            <v>652.94575999999995</v>
          </cell>
          <cell r="K858">
            <v>489.0942270216031</v>
          </cell>
          <cell r="L858">
            <v>-33.501015535634117</v>
          </cell>
          <cell r="M858">
            <v>387.81688000000003</v>
          </cell>
          <cell r="N858">
            <v>168.69760335599247</v>
          </cell>
          <cell r="O858">
            <v>-129.88879052514648</v>
          </cell>
          <cell r="P858">
            <v>1404.9436699999999</v>
          </cell>
          <cell r="Q858">
            <v>1145.7841048297166</v>
          </cell>
          <cell r="R858">
            <v>-22.618533812598045</v>
          </cell>
          <cell r="S858">
            <v>382.76053000000002</v>
          </cell>
          <cell r="T858">
            <v>432.03802541666664</v>
          </cell>
          <cell r="U858">
            <v>11.405823681640607</v>
          </cell>
        </row>
        <row r="859">
          <cell r="C859" t="str">
            <v>Ratnapura</v>
          </cell>
          <cell r="D859">
            <v>394.69646</v>
          </cell>
          <cell r="E859">
            <v>465.5582816504546</v>
          </cell>
          <cell r="F859">
            <v>15.220827218289781</v>
          </cell>
          <cell r="G859">
            <v>59.543950000000002</v>
          </cell>
          <cell r="H859">
            <v>75.49167942857143</v>
          </cell>
          <cell r="I859">
            <v>-21.125148558472354</v>
          </cell>
          <cell r="J859">
            <v>773.10793999999999</v>
          </cell>
          <cell r="K859">
            <v>535.43480077872368</v>
          </cell>
          <cell r="L859">
            <v>-44.388810528492009</v>
          </cell>
          <cell r="M859">
            <v>642.82802000000004</v>
          </cell>
          <cell r="N859">
            <v>227.77578110353636</v>
          </cell>
          <cell r="O859">
            <v>-182.21965341776178</v>
          </cell>
          <cell r="P859">
            <v>1870.1763700000001</v>
          </cell>
          <cell r="Q859">
            <v>1304.2605429612859</v>
          </cell>
          <cell r="R859">
            <v>-43.389783589850751</v>
          </cell>
          <cell r="S859">
            <v>607.11377000000005</v>
          </cell>
          <cell r="T859">
            <v>625.10801604166659</v>
          </cell>
          <cell r="U859">
            <v>2.8785818738352469</v>
          </cell>
        </row>
        <row r="860">
          <cell r="C860" t="str">
            <v>Nawala</v>
          </cell>
          <cell r="D860">
            <v>488.14201000000003</v>
          </cell>
          <cell r="E860">
            <v>557.2732783033332</v>
          </cell>
          <cell r="F860">
            <v>12.405272421065892</v>
          </cell>
          <cell r="G860">
            <v>104.60025</v>
          </cell>
          <cell r="H860">
            <v>80.099905749999991</v>
          </cell>
          <cell r="I860">
            <v>30.587232307698457</v>
          </cell>
          <cell r="J860">
            <v>668.34802999999999</v>
          </cell>
          <cell r="K860">
            <v>495.82532808747618</v>
          </cell>
          <cell r="L860">
            <v>-34.795056270720892</v>
          </cell>
          <cell r="M860">
            <v>1115.3623299999999</v>
          </cell>
          <cell r="N860">
            <v>456.129704521176</v>
          </cell>
          <cell r="O860">
            <v>-144.52744886914482</v>
          </cell>
          <cell r="P860">
            <v>2376.45262</v>
          </cell>
          <cell r="Q860">
            <v>1589.3282166619852</v>
          </cell>
          <cell r="R860">
            <v>-49.525604282744496</v>
          </cell>
          <cell r="S860">
            <v>631.88324999999998</v>
          </cell>
          <cell r="T860">
            <v>375.67091749999997</v>
          </cell>
          <cell r="U860">
            <v>-68.201268867186144</v>
          </cell>
        </row>
        <row r="861">
          <cell r="C861" t="str">
            <v>Collupitiya</v>
          </cell>
          <cell r="D861">
            <v>346.37317000000002</v>
          </cell>
          <cell r="E861">
            <v>524.12310317593347</v>
          </cell>
          <cell r="F861">
            <v>33.913775618524447</v>
          </cell>
          <cell r="G861">
            <v>57.771830000000001</v>
          </cell>
          <cell r="H861">
            <v>69.020372011428577</v>
          </cell>
          <cell r="I861">
            <v>-16.297423041368152</v>
          </cell>
          <cell r="J861">
            <v>996.04542000000004</v>
          </cell>
          <cell r="K861">
            <v>647.90538394858459</v>
          </cell>
          <cell r="L861">
            <v>-53.733159914448649</v>
          </cell>
          <cell r="M861">
            <v>279.93856</v>
          </cell>
          <cell r="N861">
            <v>245.22418957193918</v>
          </cell>
          <cell r="O861">
            <v>-14.156177042998028</v>
          </cell>
          <cell r="P861">
            <v>1680.1289800000002</v>
          </cell>
          <cell r="Q861">
            <v>1486.2730487078859</v>
          </cell>
          <cell r="R861">
            <v>-13.043089993500582</v>
          </cell>
          <cell r="S861">
            <v>258.31835999999998</v>
          </cell>
          <cell r="T861">
            <v>353.39243354166666</v>
          </cell>
          <cell r="U861">
            <v>26.903256696484135</v>
          </cell>
        </row>
        <row r="862">
          <cell r="C862" t="str">
            <v>Dehiwala</v>
          </cell>
          <cell r="D862">
            <v>402.13414</v>
          </cell>
          <cell r="E862">
            <v>557.26666692333333</v>
          </cell>
          <cell r="F862">
            <v>27.838113443931483</v>
          </cell>
          <cell r="G862">
            <v>64.2333</v>
          </cell>
          <cell r="H862">
            <v>65.808422216666671</v>
          </cell>
          <cell r="I862">
            <v>-2.3934964000212036</v>
          </cell>
          <cell r="J862">
            <v>848.88949000000002</v>
          </cell>
          <cell r="K862">
            <v>579.26567644280829</v>
          </cell>
          <cell r="L862">
            <v>-46.545794878252565</v>
          </cell>
          <cell r="M862">
            <v>900.1943</v>
          </cell>
          <cell r="N862">
            <v>248.9433456862707</v>
          </cell>
          <cell r="O862">
            <v>-261.606090541767</v>
          </cell>
          <cell r="P862">
            <v>2215.4512300000001</v>
          </cell>
          <cell r="Q862">
            <v>1451.2841112690789</v>
          </cell>
          <cell r="R862">
            <v>-52.654550049658667</v>
          </cell>
          <cell r="S862">
            <v>166.23991000000001</v>
          </cell>
          <cell r="T862">
            <v>260.03290687499998</v>
          </cell>
          <cell r="U862">
            <v>36.069664413699407</v>
          </cell>
        </row>
        <row r="863">
          <cell r="C863" t="str">
            <v>Thimbirigasyaya</v>
          </cell>
          <cell r="D863">
            <v>270.58535000000001</v>
          </cell>
          <cell r="E863">
            <v>371.16812374500006</v>
          </cell>
          <cell r="F863">
            <v>27.098979494829255</v>
          </cell>
          <cell r="G863">
            <v>40.438000000000002</v>
          </cell>
          <cell r="H863">
            <v>52.550349709090909</v>
          </cell>
          <cell r="I863">
            <v>-23.049037306397867</v>
          </cell>
          <cell r="J863">
            <v>411.52114</v>
          </cell>
          <cell r="K863">
            <v>370.48864090995875</v>
          </cell>
          <cell r="L863">
            <v>-11.075238093470601</v>
          </cell>
          <cell r="M863">
            <v>456.51711999999998</v>
          </cell>
          <cell r="N863">
            <v>176.12651426289719</v>
          </cell>
          <cell r="O863">
            <v>-159.19840741217112</v>
          </cell>
          <cell r="P863">
            <v>1179.06161</v>
          </cell>
          <cell r="Q863">
            <v>970.33362862694685</v>
          </cell>
          <cell r="R863">
            <v>-21.510949967632257</v>
          </cell>
          <cell r="S863">
            <v>167.40797000000001</v>
          </cell>
          <cell r="T863">
            <v>288.54447229166664</v>
          </cell>
          <cell r="U863">
            <v>41.981917494236171</v>
          </cell>
        </row>
        <row r="864">
          <cell r="C864" t="str">
            <v>Moratuwa</v>
          </cell>
          <cell r="D864">
            <v>293.70281</v>
          </cell>
          <cell r="E864">
            <v>459.19665166133331</v>
          </cell>
          <cell r="F864">
            <v>36.03986245600683</v>
          </cell>
          <cell r="G864">
            <v>44.777009999999997</v>
          </cell>
          <cell r="H864">
            <v>76.360567833333349</v>
          </cell>
          <cell r="I864">
            <v>-41.361082990200501</v>
          </cell>
          <cell r="J864">
            <v>699.01206999999999</v>
          </cell>
          <cell r="K864">
            <v>473.33666808730396</v>
          </cell>
          <cell r="L864">
            <v>-47.677565911938103</v>
          </cell>
          <cell r="M864">
            <v>722.72125000000005</v>
          </cell>
          <cell r="N864">
            <v>252.14962745693668</v>
          </cell>
          <cell r="O864">
            <v>-186.62396105400941</v>
          </cell>
          <cell r="P864">
            <v>1760.2131400000001</v>
          </cell>
          <cell r="Q864">
            <v>1261.0435150389073</v>
          </cell>
          <cell r="R864">
            <v>-39.583854086565104</v>
          </cell>
          <cell r="S864">
            <v>300.87083000000001</v>
          </cell>
          <cell r="T864">
            <v>340.41033437499999</v>
          </cell>
          <cell r="U864">
            <v>11.615247947038764</v>
          </cell>
        </row>
        <row r="865">
          <cell r="C865" t="str">
            <v>Kegalle</v>
          </cell>
          <cell r="D865">
            <v>470.00596000000002</v>
          </cell>
          <cell r="E865">
            <v>324.70152777777781</v>
          </cell>
          <cell r="F865">
            <v>-44.750153538441914</v>
          </cell>
          <cell r="G865">
            <v>82.316379999999995</v>
          </cell>
          <cell r="H865">
            <v>36.375</v>
          </cell>
          <cell r="I865">
            <v>126.29932646048107</v>
          </cell>
          <cell r="J865">
            <v>595.07141000000001</v>
          </cell>
          <cell r="K865">
            <v>430.3125</v>
          </cell>
          <cell r="L865">
            <v>-38.288199854756719</v>
          </cell>
          <cell r="M865">
            <v>333.48329000000001</v>
          </cell>
          <cell r="N865">
            <v>156.45639848484851</v>
          </cell>
          <cell r="O865">
            <v>-113.1477480176658</v>
          </cell>
          <cell r="P865">
            <v>1480.8770400000003</v>
          </cell>
          <cell r="Q865">
            <v>947.84542626262623</v>
          </cell>
          <cell r="R865">
            <v>-56.236132914533179</v>
          </cell>
          <cell r="S865">
            <v>0</v>
          </cell>
          <cell r="T865">
            <v>0</v>
          </cell>
          <cell r="U865">
            <v>0</v>
          </cell>
        </row>
        <row r="866">
          <cell r="C866" t="str">
            <v>Kadawatha</v>
          </cell>
          <cell r="D866">
            <v>450.13319999999999</v>
          </cell>
          <cell r="E866">
            <v>210.21114583333335</v>
          </cell>
          <cell r="F866">
            <v>-114.13384062750399</v>
          </cell>
          <cell r="G866">
            <v>45.820749999999997</v>
          </cell>
          <cell r="H866">
            <v>37.625</v>
          </cell>
          <cell r="I866">
            <v>21.782724252491686</v>
          </cell>
          <cell r="J866">
            <v>448.23511000000002</v>
          </cell>
          <cell r="K866">
            <v>304.96875</v>
          </cell>
          <cell r="L866">
            <v>-46.97739030638386</v>
          </cell>
          <cell r="M866">
            <v>318.56459999999998</v>
          </cell>
          <cell r="N866">
            <v>113.16515708183333</v>
          </cell>
          <cell r="O866">
            <v>-181.5041380357346</v>
          </cell>
          <cell r="P866">
            <v>1262.7536599999999</v>
          </cell>
          <cell r="Q866">
            <v>665.97005291516666</v>
          </cell>
          <cell r="R866">
            <v>-89.61117763066342</v>
          </cell>
          <cell r="S866">
            <v>0</v>
          </cell>
          <cell r="T866">
            <v>0</v>
          </cell>
          <cell r="U866">
            <v>0</v>
          </cell>
        </row>
        <row r="867">
          <cell r="C867" t="str">
            <v>Aluthgama</v>
          </cell>
          <cell r="D867">
            <v>534.00334999999995</v>
          </cell>
          <cell r="E867">
            <v>324.70152777777781</v>
          </cell>
          <cell r="F867">
            <v>-64.459758983784653</v>
          </cell>
          <cell r="G867">
            <v>46.194400000000002</v>
          </cell>
          <cell r="H867">
            <v>36.375</v>
          </cell>
          <cell r="I867">
            <v>26.994914089347084</v>
          </cell>
          <cell r="J867">
            <v>591.05787999999995</v>
          </cell>
          <cell r="K867">
            <v>430.3125</v>
          </cell>
          <cell r="L867">
            <v>-37.355498620188804</v>
          </cell>
          <cell r="M867">
            <v>326.51693999999998</v>
          </cell>
          <cell r="N867">
            <v>156.45639848484851</v>
          </cell>
          <cell r="O867">
            <v>-108.69516565768349</v>
          </cell>
          <cell r="P867">
            <v>1497.7725699999999</v>
          </cell>
          <cell r="Q867">
            <v>947.84542626262623</v>
          </cell>
          <cell r="R867">
            <v>-58.018652461693833</v>
          </cell>
          <cell r="S867">
            <v>0</v>
          </cell>
          <cell r="T867">
            <v>0</v>
          </cell>
          <cell r="U867">
            <v>0</v>
          </cell>
        </row>
        <row r="868">
          <cell r="C868" t="str">
            <v>Park Road</v>
          </cell>
          <cell r="D868">
            <v>519.61461999999995</v>
          </cell>
          <cell r="E868">
            <v>324.70152777777781</v>
          </cell>
          <cell r="F868">
            <v>-60.028387780059511</v>
          </cell>
          <cell r="G868">
            <v>84.526949999999999</v>
          </cell>
          <cell r="H868">
            <v>36.375</v>
          </cell>
          <cell r="I868">
            <v>132.37649484536084</v>
          </cell>
          <cell r="J868">
            <v>543.34118000000001</v>
          </cell>
          <cell r="K868">
            <v>430.3125</v>
          </cell>
          <cell r="L868">
            <v>-26.266650399419028</v>
          </cell>
          <cell r="M868">
            <v>456.13558999999998</v>
          </cell>
          <cell r="N868">
            <v>156.45639848484851</v>
          </cell>
          <cell r="O868">
            <v>-191.54166554854766</v>
          </cell>
          <cell r="P868">
            <v>1603.61834</v>
          </cell>
          <cell r="Q868">
            <v>947.84542626262623</v>
          </cell>
          <cell r="R868">
            <v>-69.185638878176547</v>
          </cell>
          <cell r="S868">
            <v>0</v>
          </cell>
          <cell r="T868">
            <v>0</v>
          </cell>
          <cell r="U868">
            <v>0</v>
          </cell>
        </row>
        <row r="869">
          <cell r="C869" t="str">
            <v>Kotahena</v>
          </cell>
          <cell r="D869">
            <v>578.90506000000005</v>
          </cell>
          <cell r="E869">
            <v>324.70152777777781</v>
          </cell>
          <cell r="F869">
            <v>-78.288369618080878</v>
          </cell>
          <cell r="G869">
            <v>53.040750000000003</v>
          </cell>
          <cell r="H869">
            <v>36.375</v>
          </cell>
          <cell r="I869">
            <v>45.816494845360836</v>
          </cell>
          <cell r="J869">
            <v>849.76238000000001</v>
          </cell>
          <cell r="K869">
            <v>430.3125</v>
          </cell>
          <cell r="L869">
            <v>-97.475643863471319</v>
          </cell>
          <cell r="M869">
            <v>556.42573000000004</v>
          </cell>
          <cell r="N869">
            <v>156.45639848484851</v>
          </cell>
          <cell r="O869">
            <v>-255.64268089290402</v>
          </cell>
          <cell r="P869">
            <v>2038.1339200000002</v>
          </cell>
          <cell r="Q869">
            <v>947.84542626262623</v>
          </cell>
          <cell r="R869">
            <v>-115.02809039617394</v>
          </cell>
          <cell r="S869">
            <v>0</v>
          </cell>
          <cell r="T869">
            <v>0</v>
          </cell>
          <cell r="U869">
            <v>0</v>
          </cell>
        </row>
        <row r="870">
          <cell r="C870" t="str">
            <v>Ambalangoda</v>
          </cell>
          <cell r="D870">
            <v>318.53757999999999</v>
          </cell>
          <cell r="E870">
            <v>324.70152777777781</v>
          </cell>
          <cell r="F870">
            <v>1.8983427087526241</v>
          </cell>
          <cell r="G870">
            <v>60.231650000000002</v>
          </cell>
          <cell r="H870">
            <v>36.375</v>
          </cell>
          <cell r="I870">
            <v>65.585292096219945</v>
          </cell>
          <cell r="J870">
            <v>615.73725999999999</v>
          </cell>
          <cell r="K870">
            <v>430.3125</v>
          </cell>
          <cell r="L870">
            <v>-43.09072127814089</v>
          </cell>
          <cell r="M870">
            <v>269.16412000000003</v>
          </cell>
          <cell r="N870">
            <v>156.45639848484851</v>
          </cell>
          <cell r="O870">
            <v>-72.037783437835117</v>
          </cell>
          <cell r="P870">
            <v>1263.6706100000001</v>
          </cell>
          <cell r="Q870">
            <v>947.84542626262623</v>
          </cell>
          <cell r="R870">
            <v>-33.32032576057037</v>
          </cell>
          <cell r="S870">
            <v>5.4705000000000004</v>
          </cell>
          <cell r="T870">
            <v>0</v>
          </cell>
          <cell r="U870">
            <v>0</v>
          </cell>
        </row>
        <row r="871">
          <cell r="C871" t="str">
            <v>Katugastota</v>
          </cell>
          <cell r="D871">
            <v>553.48224000000005</v>
          </cell>
          <cell r="E871">
            <v>324.70152777777781</v>
          </cell>
          <cell r="F871">
            <v>-70.45877295002974</v>
          </cell>
          <cell r="G871">
            <v>68.206100000000006</v>
          </cell>
          <cell r="H871">
            <v>36.375</v>
          </cell>
          <cell r="I871">
            <v>87.50817869415809</v>
          </cell>
          <cell r="J871">
            <v>569.03363000000002</v>
          </cell>
          <cell r="K871">
            <v>430.3125</v>
          </cell>
          <cell r="L871">
            <v>-32.237299636891798</v>
          </cell>
          <cell r="M871">
            <v>430.14994999999999</v>
          </cell>
          <cell r="N871">
            <v>156.45639848484851</v>
          </cell>
          <cell r="O871">
            <v>-174.9327954405498</v>
          </cell>
          <cell r="P871">
            <v>1620.87192</v>
          </cell>
          <cell r="Q871">
            <v>947.84542626262623</v>
          </cell>
          <cell r="R871">
            <v>-71.005933572009823</v>
          </cell>
          <cell r="S871">
            <v>0</v>
          </cell>
          <cell r="T871">
            <v>0</v>
          </cell>
          <cell r="U871">
            <v>0</v>
          </cell>
        </row>
        <row r="872">
          <cell r="C872" t="str">
            <v>Beruwela</v>
          </cell>
          <cell r="D872">
            <v>386.98424999999997</v>
          </cell>
          <cell r="E872">
            <v>324.70152777777781</v>
          </cell>
          <cell r="F872">
            <v>-19.181530388378025</v>
          </cell>
          <cell r="G872">
            <v>52.204999999999998</v>
          </cell>
          <cell r="H872">
            <v>36.375</v>
          </cell>
          <cell r="I872">
            <v>43.518900343642606</v>
          </cell>
          <cell r="J872">
            <v>485.65926999999999</v>
          </cell>
          <cell r="K872">
            <v>430.3125</v>
          </cell>
          <cell r="L872">
            <v>-12.861994480755262</v>
          </cell>
          <cell r="M872">
            <v>233.65019000000001</v>
          </cell>
          <cell r="N872">
            <v>156.45639848484851</v>
          </cell>
          <cell r="O872">
            <v>-49.338852397671083</v>
          </cell>
          <cell r="P872">
            <v>1158.4987100000001</v>
          </cell>
          <cell r="Q872">
            <v>947.84542626262623</v>
          </cell>
          <cell r="R872">
            <v>-22.224434269623899</v>
          </cell>
          <cell r="S872">
            <v>1.1677500000000001</v>
          </cell>
          <cell r="T872">
            <v>0</v>
          </cell>
          <cell r="U872">
            <v>0</v>
          </cell>
        </row>
        <row r="873">
          <cell r="C873" t="str">
            <v>Warakapola</v>
          </cell>
          <cell r="D873">
            <v>450.86182000000002</v>
          </cell>
          <cell r="E873">
            <v>324.70152777777781</v>
          </cell>
          <cell r="F873">
            <v>-38.854234251883454</v>
          </cell>
          <cell r="G873">
            <v>57.688699999999997</v>
          </cell>
          <cell r="H873">
            <v>36.375</v>
          </cell>
          <cell r="I873">
            <v>58.594364261168373</v>
          </cell>
          <cell r="J873">
            <v>494.46107999999998</v>
          </cell>
          <cell r="K873">
            <v>430.3125</v>
          </cell>
          <cell r="L873">
            <v>-14.907440522875811</v>
          </cell>
          <cell r="M873">
            <v>205.35404</v>
          </cell>
          <cell r="N873">
            <v>156.45639848484851</v>
          </cell>
          <cell r="O873">
            <v>-31.253206636919245</v>
          </cell>
          <cell r="P873">
            <v>1208.36564</v>
          </cell>
          <cell r="Q873">
            <v>947.84542626262623</v>
          </cell>
          <cell r="R873">
            <v>-27.485516785644069</v>
          </cell>
          <cell r="S873">
            <v>0.30049999999999999</v>
          </cell>
          <cell r="T873">
            <v>0</v>
          </cell>
          <cell r="U873">
            <v>0</v>
          </cell>
        </row>
        <row r="874">
          <cell r="C874" t="str">
            <v>Karagampitiya</v>
          </cell>
          <cell r="D874">
            <v>396.74459000000002</v>
          </cell>
          <cell r="E874">
            <v>0</v>
          </cell>
          <cell r="F874">
            <v>0</v>
          </cell>
          <cell r="G874">
            <v>41.771070000000002</v>
          </cell>
          <cell r="H874">
            <v>0</v>
          </cell>
          <cell r="I874">
            <v>0</v>
          </cell>
          <cell r="J874">
            <v>739.05440999999996</v>
          </cell>
          <cell r="K874">
            <v>0</v>
          </cell>
          <cell r="L874">
            <v>0</v>
          </cell>
          <cell r="M874">
            <v>226.63793000000001</v>
          </cell>
          <cell r="N874">
            <v>0</v>
          </cell>
          <cell r="O874">
            <v>0</v>
          </cell>
          <cell r="P874">
            <v>1404.2080000000001</v>
          </cell>
          <cell r="Q874">
            <v>0</v>
          </cell>
          <cell r="R874">
            <v>0</v>
          </cell>
          <cell r="S874">
            <v>0</v>
          </cell>
          <cell r="T874">
            <v>0</v>
          </cell>
          <cell r="U874">
            <v>0</v>
          </cell>
        </row>
        <row r="875">
          <cell r="C875" t="str">
            <v>Mathale</v>
          </cell>
          <cell r="D875">
            <v>382.10122000000001</v>
          </cell>
          <cell r="E875">
            <v>0</v>
          </cell>
          <cell r="F875">
            <v>0</v>
          </cell>
          <cell r="G875">
            <v>54.4193</v>
          </cell>
          <cell r="H875">
            <v>0</v>
          </cell>
          <cell r="I875">
            <v>0</v>
          </cell>
          <cell r="J875">
            <v>699.68250999999998</v>
          </cell>
          <cell r="K875">
            <v>0</v>
          </cell>
          <cell r="L875">
            <v>0</v>
          </cell>
          <cell r="M875">
            <v>279.27307000000002</v>
          </cell>
          <cell r="N875">
            <v>0</v>
          </cell>
          <cell r="O875">
            <v>0</v>
          </cell>
          <cell r="P875">
            <v>1415.4761000000001</v>
          </cell>
          <cell r="Q875">
            <v>0</v>
          </cell>
          <cell r="R875">
            <v>0</v>
          </cell>
          <cell r="S875">
            <v>0.30049999999999999</v>
          </cell>
          <cell r="T875">
            <v>0</v>
          </cell>
          <cell r="U875">
            <v>0</v>
          </cell>
        </row>
        <row r="876">
          <cell r="C876" t="str">
            <v>Peliyagoda</v>
          </cell>
          <cell r="D876">
            <v>329.95190000000002</v>
          </cell>
          <cell r="E876">
            <v>0</v>
          </cell>
          <cell r="F876">
            <v>0</v>
          </cell>
          <cell r="G876">
            <v>65.916349999999994</v>
          </cell>
          <cell r="H876">
            <v>0</v>
          </cell>
          <cell r="I876">
            <v>0</v>
          </cell>
          <cell r="J876">
            <v>601.20821000000001</v>
          </cell>
          <cell r="K876">
            <v>0</v>
          </cell>
          <cell r="L876">
            <v>0</v>
          </cell>
          <cell r="M876">
            <v>135.7304</v>
          </cell>
          <cell r="N876">
            <v>0</v>
          </cell>
          <cell r="O876">
            <v>0</v>
          </cell>
          <cell r="P876">
            <v>1132.8068599999999</v>
          </cell>
          <cell r="Q876">
            <v>0</v>
          </cell>
          <cell r="R876">
            <v>0</v>
          </cell>
          <cell r="S876">
            <v>0</v>
          </cell>
          <cell r="T876">
            <v>0</v>
          </cell>
          <cell r="U876">
            <v>0</v>
          </cell>
        </row>
        <row r="877">
          <cell r="C877" t="str">
            <v>Kelaniya</v>
          </cell>
          <cell r="D877">
            <v>345.05063999999999</v>
          </cell>
          <cell r="E877">
            <v>0</v>
          </cell>
          <cell r="F877">
            <v>0</v>
          </cell>
          <cell r="G877">
            <v>44.893900000000002</v>
          </cell>
          <cell r="H877">
            <v>0</v>
          </cell>
          <cell r="I877">
            <v>0</v>
          </cell>
          <cell r="J877">
            <v>518.02782999999999</v>
          </cell>
          <cell r="K877">
            <v>0</v>
          </cell>
          <cell r="L877">
            <v>0</v>
          </cell>
          <cell r="M877">
            <v>192.14313999999999</v>
          </cell>
          <cell r="N877">
            <v>0</v>
          </cell>
          <cell r="O877">
            <v>0</v>
          </cell>
          <cell r="P877">
            <v>1100.1155099999999</v>
          </cell>
          <cell r="Q877">
            <v>0</v>
          </cell>
          <cell r="R877">
            <v>0</v>
          </cell>
          <cell r="S877">
            <v>0</v>
          </cell>
          <cell r="T877">
            <v>0</v>
          </cell>
          <cell r="U877">
            <v>0</v>
          </cell>
        </row>
        <row r="878">
          <cell r="C878" t="str">
            <v>Demategoda</v>
          </cell>
          <cell r="D878">
            <v>349.77481</v>
          </cell>
          <cell r="E878">
            <v>0</v>
          </cell>
          <cell r="F878">
            <v>0</v>
          </cell>
          <cell r="G878">
            <v>38.58811</v>
          </cell>
          <cell r="H878">
            <v>0</v>
          </cell>
          <cell r="I878">
            <v>0</v>
          </cell>
          <cell r="J878">
            <v>641.88688999999999</v>
          </cell>
          <cell r="K878">
            <v>0</v>
          </cell>
          <cell r="L878">
            <v>0</v>
          </cell>
          <cell r="M878">
            <v>197.93379999999999</v>
          </cell>
          <cell r="N878">
            <v>0</v>
          </cell>
          <cell r="O878">
            <v>0</v>
          </cell>
          <cell r="P878">
            <v>1228.18361</v>
          </cell>
          <cell r="Q878">
            <v>0</v>
          </cell>
          <cell r="R878">
            <v>0</v>
          </cell>
          <cell r="S878">
            <v>0</v>
          </cell>
          <cell r="T878">
            <v>0</v>
          </cell>
          <cell r="U878">
            <v>0</v>
          </cell>
        </row>
        <row r="879">
          <cell r="C879" t="str">
            <v>Kolannawa</v>
          </cell>
          <cell r="D879">
            <v>270.85023000000001</v>
          </cell>
          <cell r="E879">
            <v>0</v>
          </cell>
          <cell r="F879">
            <v>0</v>
          </cell>
          <cell r="G879">
            <v>38.56485</v>
          </cell>
          <cell r="H879">
            <v>0</v>
          </cell>
          <cell r="I879">
            <v>0</v>
          </cell>
          <cell r="J879">
            <v>301.33366000000001</v>
          </cell>
          <cell r="K879">
            <v>0</v>
          </cell>
          <cell r="L879">
            <v>0</v>
          </cell>
          <cell r="M879">
            <v>224.11713</v>
          </cell>
          <cell r="N879">
            <v>0</v>
          </cell>
          <cell r="O879">
            <v>0</v>
          </cell>
          <cell r="P879">
            <v>834.86586999999997</v>
          </cell>
          <cell r="Q879">
            <v>0</v>
          </cell>
          <cell r="R879">
            <v>0</v>
          </cell>
          <cell r="S879">
            <v>0</v>
          </cell>
          <cell r="T879">
            <v>0</v>
          </cell>
          <cell r="U879">
            <v>0</v>
          </cell>
        </row>
        <row r="880">
          <cell r="C880" t="str">
            <v>Avissawella</v>
          </cell>
          <cell r="D880">
            <v>376.63992999999999</v>
          </cell>
          <cell r="E880">
            <v>0</v>
          </cell>
          <cell r="F880">
            <v>0</v>
          </cell>
          <cell r="G880">
            <v>49.604500000000002</v>
          </cell>
          <cell r="H880">
            <v>0</v>
          </cell>
          <cell r="I880">
            <v>0</v>
          </cell>
          <cell r="J880">
            <v>350.72633999999999</v>
          </cell>
          <cell r="K880">
            <v>0</v>
          </cell>
          <cell r="L880">
            <v>0</v>
          </cell>
          <cell r="M880">
            <v>169.99892</v>
          </cell>
          <cell r="N880">
            <v>0</v>
          </cell>
          <cell r="O880">
            <v>0</v>
          </cell>
          <cell r="P880">
            <v>946.9696899999999</v>
          </cell>
          <cell r="Q880">
            <v>0</v>
          </cell>
          <cell r="R880">
            <v>0</v>
          </cell>
          <cell r="S880">
            <v>0</v>
          </cell>
          <cell r="T880">
            <v>0</v>
          </cell>
          <cell r="U880">
            <v>0</v>
          </cell>
        </row>
        <row r="881">
          <cell r="C881" t="str">
            <v>Homagama</v>
          </cell>
          <cell r="D881">
            <v>376.08026000000001</v>
          </cell>
          <cell r="E881">
            <v>0</v>
          </cell>
          <cell r="F881">
            <v>0</v>
          </cell>
          <cell r="G881">
            <v>46.696919999999999</v>
          </cell>
          <cell r="H881">
            <v>0</v>
          </cell>
          <cell r="I881">
            <v>0</v>
          </cell>
          <cell r="J881">
            <v>591.87307999999996</v>
          </cell>
          <cell r="K881">
            <v>0</v>
          </cell>
          <cell r="L881">
            <v>0</v>
          </cell>
          <cell r="M881">
            <v>264.39976999999999</v>
          </cell>
          <cell r="N881">
            <v>0</v>
          </cell>
          <cell r="O881">
            <v>0</v>
          </cell>
          <cell r="P881">
            <v>1279.0500299999999</v>
          </cell>
          <cell r="Q881">
            <v>0</v>
          </cell>
          <cell r="R881">
            <v>0</v>
          </cell>
          <cell r="S881">
            <v>0</v>
          </cell>
          <cell r="T881">
            <v>0</v>
          </cell>
          <cell r="U881">
            <v>0</v>
          </cell>
        </row>
        <row r="882">
          <cell r="C882" t="str">
            <v>Galle</v>
          </cell>
          <cell r="D882">
            <v>399.29016999999999</v>
          </cell>
          <cell r="E882">
            <v>0</v>
          </cell>
          <cell r="F882">
            <v>0</v>
          </cell>
          <cell r="G882">
            <v>50.920850000000002</v>
          </cell>
          <cell r="H882">
            <v>0</v>
          </cell>
          <cell r="I882">
            <v>0</v>
          </cell>
          <cell r="J882">
            <v>432.72500000000002</v>
          </cell>
          <cell r="K882">
            <v>0</v>
          </cell>
          <cell r="L882">
            <v>0</v>
          </cell>
          <cell r="M882">
            <v>312.02825000000001</v>
          </cell>
          <cell r="N882">
            <v>0</v>
          </cell>
          <cell r="O882">
            <v>0</v>
          </cell>
          <cell r="P882">
            <v>1194.9642699999999</v>
          </cell>
          <cell r="Q882">
            <v>0</v>
          </cell>
          <cell r="R882">
            <v>0</v>
          </cell>
          <cell r="S882">
            <v>0</v>
          </cell>
          <cell r="T882">
            <v>0</v>
          </cell>
          <cell r="U882">
            <v>0</v>
          </cell>
        </row>
        <row r="883">
          <cell r="C883" t="str">
            <v>Kohuwela</v>
          </cell>
          <cell r="D883">
            <v>459.38492000000002</v>
          </cell>
          <cell r="E883">
            <v>0</v>
          </cell>
          <cell r="F883">
            <v>0</v>
          </cell>
          <cell r="G883">
            <v>37.952800000000003</v>
          </cell>
          <cell r="H883">
            <v>0</v>
          </cell>
          <cell r="I883">
            <v>0</v>
          </cell>
          <cell r="J883">
            <v>301.96931999999998</v>
          </cell>
          <cell r="K883">
            <v>0</v>
          </cell>
          <cell r="L883">
            <v>0</v>
          </cell>
          <cell r="M883">
            <v>248.59379999999999</v>
          </cell>
          <cell r="N883">
            <v>0</v>
          </cell>
          <cell r="O883">
            <v>0</v>
          </cell>
          <cell r="P883">
            <v>1047.90084</v>
          </cell>
          <cell r="Q883">
            <v>0</v>
          </cell>
          <cell r="R883">
            <v>0</v>
          </cell>
          <cell r="S883">
            <v>0</v>
          </cell>
          <cell r="T883">
            <v>0</v>
          </cell>
          <cell r="U883">
            <v>0</v>
          </cell>
        </row>
        <row r="884">
          <cell r="C884" t="str">
            <v>Mt lavinia-STC</v>
          </cell>
          <cell r="D884">
            <v>257.03228999999999</v>
          </cell>
          <cell r="E884">
            <v>0</v>
          </cell>
          <cell r="F884">
            <v>0</v>
          </cell>
          <cell r="G884">
            <v>102.56440000000001</v>
          </cell>
          <cell r="H884">
            <v>0</v>
          </cell>
          <cell r="I884">
            <v>0</v>
          </cell>
          <cell r="J884">
            <v>603.42277000000001</v>
          </cell>
          <cell r="K884">
            <v>0</v>
          </cell>
          <cell r="L884">
            <v>0</v>
          </cell>
          <cell r="M884">
            <v>309.77672999999999</v>
          </cell>
          <cell r="N884">
            <v>0</v>
          </cell>
          <cell r="O884">
            <v>0</v>
          </cell>
          <cell r="P884">
            <v>1272.79619</v>
          </cell>
          <cell r="Q884">
            <v>0</v>
          </cell>
          <cell r="R884">
            <v>0</v>
          </cell>
          <cell r="S884">
            <v>0</v>
          </cell>
          <cell r="T884">
            <v>0</v>
          </cell>
          <cell r="U884">
            <v>0</v>
          </cell>
        </row>
        <row r="885">
          <cell r="C885" t="str">
            <v>Express Matara</v>
          </cell>
          <cell r="D885">
            <v>4.7727500000000003</v>
          </cell>
          <cell r="E885">
            <v>61.991666666666674</v>
          </cell>
          <cell r="F885">
            <v>92.300981314692834</v>
          </cell>
          <cell r="G885">
            <v>10.018750000000001</v>
          </cell>
          <cell r="H885">
            <v>18.144426666666671</v>
          </cell>
          <cell r="I885">
            <v>-44.783320057141523</v>
          </cell>
          <cell r="J885">
            <v>140.37851000000001</v>
          </cell>
          <cell r="K885">
            <v>88.562672777777792</v>
          </cell>
          <cell r="L885">
            <v>-58.507535507920984</v>
          </cell>
          <cell r="M885">
            <v>45.45438</v>
          </cell>
          <cell r="N885">
            <v>25.930775393662888</v>
          </cell>
          <cell r="O885">
            <v>-75.291248757290944</v>
          </cell>
          <cell r="P885">
            <v>200.62439000000001</v>
          </cell>
          <cell r="Q885">
            <v>194.62954150477401</v>
          </cell>
          <cell r="R885">
            <v>-3.0801328764775149</v>
          </cell>
          <cell r="S885">
            <v>0</v>
          </cell>
          <cell r="T885">
            <v>0</v>
          </cell>
          <cell r="U885">
            <v>0</v>
          </cell>
        </row>
        <row r="886">
          <cell r="C886" t="str">
            <v>Express Maligawatte</v>
          </cell>
          <cell r="D886">
            <v>70.042060000000006</v>
          </cell>
          <cell r="E886">
            <v>74.414166666666674</v>
          </cell>
          <cell r="F886">
            <v>5.8753687133946269</v>
          </cell>
          <cell r="G886">
            <v>12.616</v>
          </cell>
          <cell r="H886">
            <v>15.136620000000004</v>
          </cell>
          <cell r="I886">
            <v>-16.652462703034125</v>
          </cell>
          <cell r="J886">
            <v>41.986800000000002</v>
          </cell>
          <cell r="K886">
            <v>90.812672777777792</v>
          </cell>
          <cell r="L886">
            <v>53.765483697695629</v>
          </cell>
          <cell r="M886">
            <v>27.250039999999998</v>
          </cell>
          <cell r="N886">
            <v>19.8655134564214</v>
          </cell>
          <cell r="O886">
            <v>-37.172593397990411</v>
          </cell>
          <cell r="P886">
            <v>151.89490000000001</v>
          </cell>
          <cell r="Q886">
            <v>200.22897290086587</v>
          </cell>
          <cell r="R886">
            <v>24.139400108093369</v>
          </cell>
          <cell r="S886">
            <v>0</v>
          </cell>
          <cell r="T886">
            <v>0</v>
          </cell>
          <cell r="U886">
            <v>0</v>
          </cell>
        </row>
        <row r="887">
          <cell r="C887" t="str">
            <v>Express Peradeniya</v>
          </cell>
          <cell r="D887">
            <v>61.566699999999997</v>
          </cell>
          <cell r="E887">
            <v>74.414166666666674</v>
          </cell>
          <cell r="F887">
            <v>17.264812927645956</v>
          </cell>
          <cell r="G887">
            <v>11.695399999999999</v>
          </cell>
          <cell r="H887">
            <v>14.986620000000004</v>
          </cell>
          <cell r="I887">
            <v>-21.961055928554963</v>
          </cell>
          <cell r="J887">
            <v>-132.0087</v>
          </cell>
          <cell r="K887">
            <v>73.201561666666677</v>
          </cell>
          <cell r="L887">
            <v>280.33590676810923</v>
          </cell>
          <cell r="M887">
            <v>19.865300000000001</v>
          </cell>
          <cell r="N887">
            <v>18.929906426664953</v>
          </cell>
          <cell r="O887">
            <v>-4.9413533920983292</v>
          </cell>
          <cell r="P887">
            <v>-38.881299999999996</v>
          </cell>
          <cell r="Q887">
            <v>181.5322547599983</v>
          </cell>
          <cell r="R887">
            <v>121.41839754670845</v>
          </cell>
          <cell r="S887">
            <v>0</v>
          </cell>
          <cell r="T887">
            <v>0</v>
          </cell>
          <cell r="U887">
            <v>0</v>
          </cell>
        </row>
        <row r="888">
          <cell r="C888" t="str">
            <v>Express Alexandra Place</v>
          </cell>
          <cell r="D888">
            <v>160.33175</v>
          </cell>
          <cell r="E888">
            <v>0</v>
          </cell>
          <cell r="F888">
            <v>0</v>
          </cell>
          <cell r="G888">
            <v>22.18075</v>
          </cell>
          <cell r="H888">
            <v>0</v>
          </cell>
          <cell r="I888">
            <v>0</v>
          </cell>
          <cell r="J888">
            <v>141.38813999999999</v>
          </cell>
          <cell r="K888">
            <v>0</v>
          </cell>
          <cell r="L888">
            <v>0</v>
          </cell>
          <cell r="M888">
            <v>28.996510000000001</v>
          </cell>
          <cell r="N888">
            <v>0</v>
          </cell>
          <cell r="O888">
            <v>0</v>
          </cell>
          <cell r="P888">
            <v>352.89714999999995</v>
          </cell>
          <cell r="Q888">
            <v>0</v>
          </cell>
          <cell r="R888">
            <v>0</v>
          </cell>
          <cell r="S888">
            <v>0</v>
          </cell>
          <cell r="T888">
            <v>0</v>
          </cell>
          <cell r="U888">
            <v>0</v>
          </cell>
        </row>
        <row r="889">
          <cell r="C889" t="str">
            <v>Express Boralla</v>
          </cell>
          <cell r="D889">
            <v>54.385060000000003</v>
          </cell>
          <cell r="E889">
            <v>0</v>
          </cell>
          <cell r="F889">
            <v>0</v>
          </cell>
          <cell r="G889">
            <v>11.813499999999999</v>
          </cell>
          <cell r="H889">
            <v>0</v>
          </cell>
          <cell r="I889">
            <v>0</v>
          </cell>
          <cell r="J889">
            <v>59.539700000000003</v>
          </cell>
          <cell r="K889">
            <v>0</v>
          </cell>
          <cell r="L889">
            <v>0</v>
          </cell>
          <cell r="M889">
            <v>0.93838999999999995</v>
          </cell>
          <cell r="N889">
            <v>0</v>
          </cell>
          <cell r="O889">
            <v>0</v>
          </cell>
          <cell r="P889">
            <v>126.67665</v>
          </cell>
          <cell r="Q889">
            <v>0</v>
          </cell>
          <cell r="R889">
            <v>0</v>
          </cell>
          <cell r="S889">
            <v>0</v>
          </cell>
          <cell r="T889">
            <v>0</v>
          </cell>
          <cell r="U889">
            <v>0</v>
          </cell>
        </row>
        <row r="890">
          <cell r="C890" t="str">
            <v>Express Havelock Road</v>
          </cell>
          <cell r="D890">
            <v>64.534800000000004</v>
          </cell>
          <cell r="E890">
            <v>0</v>
          </cell>
          <cell r="F890">
            <v>0</v>
          </cell>
          <cell r="G890">
            <v>15.4335</v>
          </cell>
          <cell r="H890">
            <v>0</v>
          </cell>
          <cell r="I890">
            <v>0</v>
          </cell>
          <cell r="J890">
            <v>97.042699999999996</v>
          </cell>
          <cell r="K890">
            <v>0</v>
          </cell>
          <cell r="L890">
            <v>0</v>
          </cell>
          <cell r="M890">
            <v>5.8313499999999996</v>
          </cell>
          <cell r="N890">
            <v>0</v>
          </cell>
          <cell r="O890">
            <v>0</v>
          </cell>
          <cell r="P890">
            <v>182.84234999999998</v>
          </cell>
          <cell r="Q890">
            <v>0</v>
          </cell>
          <cell r="R890">
            <v>0</v>
          </cell>
          <cell r="S890">
            <v>0</v>
          </cell>
          <cell r="T890">
            <v>0</v>
          </cell>
          <cell r="U890">
            <v>0</v>
          </cell>
        </row>
        <row r="891">
          <cell r="C891" t="str">
            <v>Express Maradana</v>
          </cell>
          <cell r="D891">
            <v>14.133699999999999</v>
          </cell>
          <cell r="E891">
            <v>0</v>
          </cell>
          <cell r="F891">
            <v>0</v>
          </cell>
          <cell r="G891">
            <v>24.403300000000002</v>
          </cell>
          <cell r="H891">
            <v>0</v>
          </cell>
          <cell r="I891">
            <v>0</v>
          </cell>
          <cell r="J891">
            <v>16.640059999999998</v>
          </cell>
          <cell r="K891">
            <v>0</v>
          </cell>
          <cell r="L891">
            <v>0</v>
          </cell>
          <cell r="M891">
            <v>15.03125</v>
          </cell>
          <cell r="N891">
            <v>0</v>
          </cell>
          <cell r="O891">
            <v>0</v>
          </cell>
          <cell r="P891">
            <v>70.208309999999997</v>
          </cell>
          <cell r="Q891">
            <v>0</v>
          </cell>
          <cell r="R891">
            <v>0</v>
          </cell>
          <cell r="S891">
            <v>0</v>
          </cell>
          <cell r="T891">
            <v>0</v>
          </cell>
          <cell r="U891">
            <v>0</v>
          </cell>
        </row>
        <row r="892">
          <cell r="C892" t="str">
            <v>Food City</v>
          </cell>
          <cell r="D892">
            <v>18956.759060000004</v>
          </cell>
          <cell r="E892">
            <v>17943.695180977851</v>
          </cell>
          <cell r="F892">
            <v>-5.6457929584988937</v>
          </cell>
          <cell r="G892">
            <v>3024.1938800000012</v>
          </cell>
          <cell r="H892">
            <v>2390.0060078961446</v>
          </cell>
          <cell r="I892">
            <v>26.534990707496771</v>
          </cell>
          <cell r="J892">
            <v>33363.232870000014</v>
          </cell>
          <cell r="K892">
            <v>22120.212602321888</v>
          </cell>
          <cell r="L892">
            <v>-50.82690871830944</v>
          </cell>
          <cell r="M892">
            <v>29608.476809999993</v>
          </cell>
          <cell r="N892">
            <v>10598.133985170769</v>
          </cell>
          <cell r="O892">
            <v>-179.37443375814152</v>
          </cell>
          <cell r="P892">
            <v>84952.662620000003</v>
          </cell>
          <cell r="Q892">
            <v>53052.047776366649</v>
          </cell>
          <cell r="R892">
            <v>-60.130788877567653</v>
          </cell>
          <cell r="S892">
            <v>7488.1221800000003</v>
          </cell>
          <cell r="T892">
            <v>7999.673675</v>
          </cell>
          <cell r="U892">
            <v>6.3946545294549111</v>
          </cell>
        </row>
        <row r="893">
          <cell r="P893">
            <v>84639.02463</v>
          </cell>
          <cell r="Q893">
            <v>52475.657007201014</v>
          </cell>
        </row>
        <row r="895">
          <cell r="B895">
            <v>12</v>
          </cell>
          <cell r="T895" t="str">
            <v>Schedule 3</v>
          </cell>
        </row>
        <row r="896">
          <cell r="B896" t="str">
            <v>CARGILLS ( CEYLON ) LTD</v>
          </cell>
        </row>
        <row r="898">
          <cell r="B898" t="str">
            <v xml:space="preserve"> Direct Expenses by Profit Centres/Divisions - Month of March 2004 </v>
          </cell>
        </row>
        <row r="899">
          <cell r="C899" t="str">
            <v>MTH V BUD</v>
          </cell>
          <cell r="U899">
            <v>38154.357810300928</v>
          </cell>
        </row>
        <row r="900">
          <cell r="B900" t="str">
            <v>Profit Centre</v>
          </cell>
          <cell r="D900" t="str">
            <v>Staff Related</v>
          </cell>
          <cell r="G900" t="str">
            <v xml:space="preserve">Administration </v>
          </cell>
          <cell r="J900" t="str">
            <v xml:space="preserve">Establishment </v>
          </cell>
          <cell r="M900" t="str">
            <v>Selling &amp; Distribution</v>
          </cell>
          <cell r="P900" t="str">
            <v>Direct Expenses</v>
          </cell>
          <cell r="S900" t="str">
            <v>D&amp;A and Finance</v>
          </cell>
        </row>
        <row r="901">
          <cell r="D901">
            <v>38047</v>
          </cell>
          <cell r="E901" t="str">
            <v>Budget</v>
          </cell>
          <cell r="F901" t="str">
            <v>Var %</v>
          </cell>
          <cell r="G901">
            <v>38047</v>
          </cell>
          <cell r="H901" t="str">
            <v>Budget</v>
          </cell>
          <cell r="I901" t="str">
            <v>Var %</v>
          </cell>
          <cell r="J901">
            <v>38047</v>
          </cell>
          <cell r="K901" t="str">
            <v>Budget</v>
          </cell>
          <cell r="L901" t="str">
            <v>Var %</v>
          </cell>
          <cell r="M901">
            <v>38047</v>
          </cell>
          <cell r="N901" t="str">
            <v>Budget</v>
          </cell>
          <cell r="O901" t="str">
            <v>Var %</v>
          </cell>
          <cell r="P901">
            <v>38047</v>
          </cell>
          <cell r="Q901" t="str">
            <v>Budget</v>
          </cell>
          <cell r="R901" t="str">
            <v>Var %</v>
          </cell>
          <cell r="S901">
            <v>38047</v>
          </cell>
          <cell r="T901" t="str">
            <v>Budget</v>
          </cell>
          <cell r="U901" t="str">
            <v>Var %</v>
          </cell>
        </row>
        <row r="902">
          <cell r="C902" t="str">
            <v>Department Store</v>
          </cell>
          <cell r="D902">
            <v>51.941209999999998</v>
          </cell>
          <cell r="E902">
            <v>38.733518409090905</v>
          </cell>
          <cell r="F902">
            <v>-34.098868714723309</v>
          </cell>
          <cell r="G902">
            <v>0.71250000000000002</v>
          </cell>
          <cell r="H902">
            <v>0.38063985454545457</v>
          </cell>
          <cell r="I902">
            <v>-87.184813017239108</v>
          </cell>
          <cell r="J902">
            <v>0</v>
          </cell>
          <cell r="K902">
            <v>0.64844100000000005</v>
          </cell>
          <cell r="L902">
            <v>100</v>
          </cell>
          <cell r="M902">
            <v>2.9966400000000002</v>
          </cell>
          <cell r="N902">
            <v>2.7816784231363636</v>
          </cell>
          <cell r="O902">
            <v>-7.7277651893803663</v>
          </cell>
          <cell r="P902">
            <v>55.650349999999996</v>
          </cell>
          <cell r="Q902">
            <v>42.544277686772723</v>
          </cell>
          <cell r="R902">
            <v>-30.805722945208284</v>
          </cell>
          <cell r="S902">
            <v>6.0000000000000001E-3</v>
          </cell>
          <cell r="T902">
            <v>8.9090909090909082E-3</v>
          </cell>
          <cell r="U902">
            <v>32.65306122448979</v>
          </cell>
        </row>
        <row r="903">
          <cell r="C903" t="str">
            <v>Books &amp; Stationery</v>
          </cell>
          <cell r="D903">
            <v>223.49693000000002</v>
          </cell>
          <cell r="E903">
            <v>224.52427440071511</v>
          </cell>
          <cell r="F903">
            <v>0.45756495748943482</v>
          </cell>
          <cell r="G903">
            <v>26.082090000000001</v>
          </cell>
          <cell r="H903">
            <v>29.495920572727272</v>
          </cell>
          <cell r="I903">
            <v>11.573907531754719</v>
          </cell>
          <cell r="J903">
            <v>144.91909000000001</v>
          </cell>
          <cell r="K903">
            <v>159.68106</v>
          </cell>
          <cell r="L903">
            <v>9.2446593227775367</v>
          </cell>
          <cell r="M903">
            <v>7.6789700000000005</v>
          </cell>
          <cell r="N903">
            <v>13.028029154090907</v>
          </cell>
          <cell r="O903">
            <v>41.058084003529103</v>
          </cell>
          <cell r="P903">
            <v>402.17707999999999</v>
          </cell>
          <cell r="Q903">
            <v>426.72928412753328</v>
          </cell>
          <cell r="R903">
            <v>5.7535784490936317</v>
          </cell>
          <cell r="S903">
            <v>4.024</v>
          </cell>
          <cell r="T903">
            <v>14.56909090909091</v>
          </cell>
          <cell r="U903">
            <v>72.379882690627724</v>
          </cell>
        </row>
        <row r="904">
          <cell r="C904" t="str">
            <v>Hatton Liquor</v>
          </cell>
          <cell r="D904">
            <v>21.972999999999999</v>
          </cell>
          <cell r="E904">
            <v>20.384238181818187</v>
          </cell>
          <cell r="F904">
            <v>-7.7940701242341008</v>
          </cell>
          <cell r="G904">
            <v>5.4332000000000003</v>
          </cell>
          <cell r="H904">
            <v>5.4317197909090904</v>
          </cell>
          <cell r="I904">
            <v>-2.7251204920165945E-2</v>
          </cell>
          <cell r="J904">
            <v>4.5754999999999999</v>
          </cell>
          <cell r="K904">
            <v>5.4221030000000008</v>
          </cell>
          <cell r="L904">
            <v>15.613923232369448</v>
          </cell>
          <cell r="M904">
            <v>92.401719999999997</v>
          </cell>
          <cell r="N904">
            <v>69.086251027272652</v>
          </cell>
          <cell r="O904">
            <v>-33.748348804631583</v>
          </cell>
          <cell r="P904">
            <v>124.38342</v>
          </cell>
          <cell r="Q904">
            <v>100.32431199999994</v>
          </cell>
          <cell r="R904">
            <v>-23.981333657189776</v>
          </cell>
          <cell r="S904">
            <v>0</v>
          </cell>
          <cell r="T904">
            <v>0</v>
          </cell>
          <cell r="U904">
            <v>0</v>
          </cell>
        </row>
        <row r="905">
          <cell r="C905" t="str">
            <v>Retail Division</v>
          </cell>
          <cell r="D905">
            <v>19254.170200000004</v>
          </cell>
          <cell r="E905">
            <v>18227.337211969476</v>
          </cell>
          <cell r="F905">
            <v>-5.6334777597477617</v>
          </cell>
          <cell r="G905">
            <v>3056.4216700000011</v>
          </cell>
          <cell r="H905">
            <v>2425.3142881143262</v>
          </cell>
          <cell r="I905">
            <v>-26.021674179652766</v>
          </cell>
          <cell r="J905">
            <v>33512.727460000016</v>
          </cell>
          <cell r="K905">
            <v>22285.964206321889</v>
          </cell>
          <cell r="L905">
            <v>-50.375936844112033</v>
          </cell>
          <cell r="M905">
            <v>29711.554139999993</v>
          </cell>
          <cell r="N905">
            <v>10683.029943775269</v>
          </cell>
          <cell r="O905">
            <v>-178.11916934026908</v>
          </cell>
          <cell r="P905">
            <v>85534.873470000006</v>
          </cell>
          <cell r="Q905">
            <v>53621.645650180959</v>
          </cell>
          <cell r="R905">
            <v>-59.515569566842174</v>
          </cell>
          <cell r="S905">
            <v>7492.15218</v>
          </cell>
          <cell r="T905">
            <v>8014.2516750000004</v>
          </cell>
          <cell r="U905">
            <v>6.5146381243386688</v>
          </cell>
        </row>
        <row r="906">
          <cell r="C906" t="str">
            <v>Commercial Division</v>
          </cell>
          <cell r="D906">
            <v>1457.1918499999999</v>
          </cell>
          <cell r="E906">
            <v>1078.9147926462679</v>
          </cell>
          <cell r="F906">
            <v>-35.060883392462081</v>
          </cell>
          <cell r="G906">
            <v>906.1092799999999</v>
          </cell>
          <cell r="H906">
            <v>331.1956131818182</v>
          </cell>
          <cell r="I906">
            <v>-173.58734353240612</v>
          </cell>
          <cell r="J906">
            <v>216.25443999999999</v>
          </cell>
          <cell r="K906">
            <v>180.89707242424245</v>
          </cell>
          <cell r="L906">
            <v>-19.545572021661535</v>
          </cell>
          <cell r="M906">
            <v>884.08150000000001</v>
          </cell>
          <cell r="N906">
            <v>252.14071027272723</v>
          </cell>
          <cell r="O906">
            <v>-250.63020923663456</v>
          </cell>
          <cell r="P906">
            <v>3463.6370699999998</v>
          </cell>
          <cell r="Q906">
            <v>1843.148188525056</v>
          </cell>
          <cell r="R906">
            <v>-87.919619896201013</v>
          </cell>
          <cell r="S906">
            <v>63.005749999999999</v>
          </cell>
          <cell r="T906">
            <v>83.419959999999989</v>
          </cell>
          <cell r="U906">
            <v>24.471613268575044</v>
          </cell>
        </row>
        <row r="907">
          <cell r="C907" t="str">
            <v>Hampers</v>
          </cell>
          <cell r="D907">
            <v>13.650499999999999</v>
          </cell>
          <cell r="E907">
            <v>0</v>
          </cell>
          <cell r="F907">
            <v>0</v>
          </cell>
          <cell r="G907">
            <v>0.3034</v>
          </cell>
          <cell r="H907">
            <v>0</v>
          </cell>
          <cell r="I907">
            <v>0</v>
          </cell>
          <cell r="J907">
            <v>0</v>
          </cell>
          <cell r="K907">
            <v>0</v>
          </cell>
          <cell r="L907">
            <v>0</v>
          </cell>
          <cell r="M907">
            <v>14.8005</v>
          </cell>
          <cell r="N907">
            <v>0</v>
          </cell>
          <cell r="O907">
            <v>0</v>
          </cell>
          <cell r="P907">
            <v>28.754399999999997</v>
          </cell>
          <cell r="Q907">
            <v>0</v>
          </cell>
          <cell r="R907">
            <v>0</v>
          </cell>
          <cell r="S907">
            <v>0</v>
          </cell>
          <cell r="T907">
            <v>0</v>
          </cell>
          <cell r="U907">
            <v>0</v>
          </cell>
        </row>
        <row r="908">
          <cell r="C908" t="str">
            <v xml:space="preserve">Wines &amp; Spirits </v>
          </cell>
          <cell r="D908">
            <v>498.68086</v>
          </cell>
          <cell r="E908">
            <v>180.95925609453451</v>
          </cell>
          <cell r="F908">
            <v>-175.57632074895648</v>
          </cell>
          <cell r="G908">
            <v>102.47063</v>
          </cell>
          <cell r="H908">
            <v>120.68778823636364</v>
          </cell>
          <cell r="I908">
            <v>15.094450318938527</v>
          </cell>
          <cell r="J908">
            <v>0.68049999999999999</v>
          </cell>
          <cell r="K908">
            <v>3.6870808333333334</v>
          </cell>
          <cell r="L908">
            <v>81.543664737483155</v>
          </cell>
          <cell r="M908">
            <v>225.05161000000001</v>
          </cell>
          <cell r="N908">
            <v>184.48453382503968</v>
          </cell>
          <cell r="O908">
            <v>-21.989418480702071</v>
          </cell>
          <cell r="P908">
            <v>826.8836</v>
          </cell>
          <cell r="Q908">
            <v>489.81865898927117</v>
          </cell>
          <cell r="R908">
            <v>-68.814230496293078</v>
          </cell>
          <cell r="S908">
            <v>-47.245239999999995</v>
          </cell>
          <cell r="T908">
            <v>4.2190000000000003</v>
          </cell>
          <cell r="U908">
            <v>1219.8208106186298</v>
          </cell>
        </row>
        <row r="909">
          <cell r="C909" t="str">
            <v>Total</v>
          </cell>
          <cell r="D909">
            <v>21223.693410000003</v>
          </cell>
          <cell r="E909">
            <v>19487.211260710279</v>
          </cell>
          <cell r="F909">
            <v>-8.9108807107294243</v>
          </cell>
          <cell r="G909">
            <v>4065.3049800000008</v>
          </cell>
          <cell r="H909">
            <v>2877.1976895325083</v>
          </cell>
          <cell r="I909">
            <v>-41.293905343728326</v>
          </cell>
          <cell r="J909">
            <v>33729.662400000016</v>
          </cell>
          <cell r="K909">
            <v>22470.548359579465</v>
          </cell>
          <cell r="L909">
            <v>-50.106093808879635</v>
          </cell>
          <cell r="M909">
            <v>30835.487749999993</v>
          </cell>
          <cell r="N909">
            <v>11119.655187873037</v>
          </cell>
          <cell r="O909">
            <v>-177.30615049672409</v>
          </cell>
          <cell r="P909">
            <v>89854.148540000009</v>
          </cell>
          <cell r="Q909">
            <v>55954.612497695285</v>
          </cell>
          <cell r="R909">
            <v>-60.583988574134104</v>
          </cell>
          <cell r="S909">
            <v>7507.9126900000001</v>
          </cell>
          <cell r="T909">
            <v>8101.8906350000007</v>
          </cell>
          <cell r="U909">
            <v>7.3313498263482852</v>
          </cell>
        </row>
        <row r="911">
          <cell r="E911">
            <v>148.8283333333311</v>
          </cell>
          <cell r="H911">
            <v>30.123240000000351</v>
          </cell>
          <cell r="K911">
            <v>164.01423444444299</v>
          </cell>
          <cell r="N911">
            <v>38.795419883086652</v>
          </cell>
          <cell r="T911">
            <v>0</v>
          </cell>
        </row>
        <row r="922">
          <cell r="B922">
            <v>11</v>
          </cell>
          <cell r="T922" t="str">
            <v>Schedule 2</v>
          </cell>
        </row>
        <row r="923">
          <cell r="B923" t="str">
            <v>CARGILLS ( CEYLON ) LTD</v>
          </cell>
        </row>
        <row r="925">
          <cell r="B925" t="str">
            <v xml:space="preserve"> Contribution by Profit Centres/Divisions - Month of March 2004</v>
          </cell>
        </row>
        <row r="926">
          <cell r="C926" t="str">
            <v>MTH V BUD</v>
          </cell>
          <cell r="U926">
            <v>38154.357810300928</v>
          </cell>
        </row>
        <row r="927">
          <cell r="B927" t="str">
            <v>Profit Centre</v>
          </cell>
          <cell r="D927" t="str">
            <v>Gross Turnover</v>
          </cell>
          <cell r="G927" t="str">
            <v>Achieved Gross Profit</v>
          </cell>
          <cell r="J927" t="str">
            <v>Other Income</v>
          </cell>
          <cell r="M927" t="str">
            <v>Direct Expenses</v>
          </cell>
          <cell r="P927" t="str">
            <v>D&amp;A and Finance</v>
          </cell>
          <cell r="S927" t="str">
            <v>Contribution</v>
          </cell>
        </row>
        <row r="928">
          <cell r="D928">
            <v>38047</v>
          </cell>
          <cell r="E928" t="str">
            <v>Budget</v>
          </cell>
          <cell r="F928" t="str">
            <v>Var %</v>
          </cell>
          <cell r="G928">
            <v>38047</v>
          </cell>
          <cell r="H928" t="str">
            <v>Budget</v>
          </cell>
          <cell r="I928" t="str">
            <v>Var %</v>
          </cell>
          <cell r="J928">
            <v>38047</v>
          </cell>
          <cell r="K928" t="str">
            <v>Budget</v>
          </cell>
          <cell r="L928" t="str">
            <v>Var %</v>
          </cell>
          <cell r="M928">
            <v>38047</v>
          </cell>
          <cell r="N928" t="str">
            <v>Budget</v>
          </cell>
          <cell r="O928" t="str">
            <v>Var %</v>
          </cell>
          <cell r="P928">
            <v>38047</v>
          </cell>
          <cell r="Q928" t="str">
            <v>Budget</v>
          </cell>
          <cell r="R928" t="str">
            <v>Var %</v>
          </cell>
          <cell r="S928">
            <v>38047</v>
          </cell>
          <cell r="T928" t="str">
            <v>Budget</v>
          </cell>
          <cell r="U928" t="str">
            <v>Var %</v>
          </cell>
        </row>
        <row r="929">
          <cell r="C929" t="str">
            <v>Staples Street</v>
          </cell>
          <cell r="D929">
            <v>50953.344799999999</v>
          </cell>
          <cell r="E929">
            <v>57829.631990000002</v>
          </cell>
          <cell r="F929">
            <v>-11.890594758045602</v>
          </cell>
          <cell r="G929">
            <v>7793.8919299999998</v>
          </cell>
          <cell r="H929">
            <v>9179.7284774195268</v>
          </cell>
          <cell r="I929">
            <v>-15.096705211144693</v>
          </cell>
          <cell r="J929">
            <v>720.24698000000001</v>
          </cell>
          <cell r="K929">
            <v>674.59780872727276</v>
          </cell>
          <cell r="L929">
            <v>6.7668721543657355</v>
          </cell>
          <cell r="M929">
            <v>6098.3797400000003</v>
          </cell>
          <cell r="N929">
            <v>4478.3104590813618</v>
          </cell>
          <cell r="O929">
            <v>-36.175903741407069</v>
          </cell>
          <cell r="P929">
            <v>479.34224</v>
          </cell>
          <cell r="Q929">
            <v>490.34534083333335</v>
          </cell>
          <cell r="R929">
            <v>2.2439492979853282</v>
          </cell>
          <cell r="S929">
            <v>1936.4169299999994</v>
          </cell>
          <cell r="T929">
            <v>4885.6704862321039</v>
          </cell>
          <cell r="U929">
            <v>-60.365380034186657</v>
          </cell>
        </row>
        <row r="930">
          <cell r="C930" t="str">
            <v>Kandy</v>
          </cell>
          <cell r="D930">
            <v>43226.673849999999</v>
          </cell>
          <cell r="E930">
            <v>40554.766279999996</v>
          </cell>
          <cell r="F930">
            <v>6.5883934617018909</v>
          </cell>
          <cell r="G930">
            <v>5161.4625999999998</v>
          </cell>
          <cell r="H930">
            <v>5207.1501277850302</v>
          </cell>
          <cell r="I930">
            <v>-0.8773998571933731</v>
          </cell>
          <cell r="J930">
            <v>305.32407999999998</v>
          </cell>
          <cell r="K930">
            <v>537.36914622727272</v>
          </cell>
          <cell r="L930">
            <v>-43.181687645522643</v>
          </cell>
          <cell r="M930">
            <v>3331.0489200000002</v>
          </cell>
          <cell r="N930">
            <v>2281.6152066872514</v>
          </cell>
          <cell r="O930">
            <v>-45.99521033331709</v>
          </cell>
          <cell r="P930">
            <v>397.74952000000002</v>
          </cell>
          <cell r="Q930">
            <v>390.58401770833331</v>
          </cell>
          <cell r="R930">
            <v>-1.8345610590286661</v>
          </cell>
          <cell r="S930">
            <v>1737.9882399999999</v>
          </cell>
          <cell r="T930">
            <v>3072.3200496167183</v>
          </cell>
          <cell r="U930">
            <v>-43.430755522465198</v>
          </cell>
        </row>
        <row r="931">
          <cell r="C931" t="str">
            <v>Mount Lavinia</v>
          </cell>
          <cell r="D931">
            <v>25776.7238</v>
          </cell>
          <cell r="E931">
            <v>22900.693009999999</v>
          </cell>
          <cell r="F931">
            <v>12.558706362048214</v>
          </cell>
          <cell r="G931">
            <v>2768.2224500000002</v>
          </cell>
          <cell r="H931">
            <v>2536.7754296299736</v>
          </cell>
          <cell r="I931">
            <v>9.1236700602932999</v>
          </cell>
          <cell r="J931">
            <v>-74.541259999999994</v>
          </cell>
          <cell r="K931">
            <v>228.45102772727273</v>
          </cell>
          <cell r="L931">
            <v>-132.62898869029738</v>
          </cell>
          <cell r="M931">
            <v>2356.1375399999997</v>
          </cell>
          <cell r="N931">
            <v>1573.6538928812261</v>
          </cell>
          <cell r="O931">
            <v>-49.723999073653538</v>
          </cell>
          <cell r="P931">
            <v>84.512299999999996</v>
          </cell>
          <cell r="Q931">
            <v>91.802049999999994</v>
          </cell>
          <cell r="R931">
            <v>7.9407268138347655</v>
          </cell>
          <cell r="S931">
            <v>253.03135000000054</v>
          </cell>
          <cell r="T931">
            <v>1099.7705144760205</v>
          </cell>
          <cell r="U931">
            <v>-76.992350070363912</v>
          </cell>
        </row>
        <row r="932">
          <cell r="C932" t="str">
            <v>Wellawatte</v>
          </cell>
          <cell r="D932">
            <v>10074.426799999999</v>
          </cell>
          <cell r="E932">
            <v>8490.7847000000002</v>
          </cell>
          <cell r="F932">
            <v>18.651304395929376</v>
          </cell>
          <cell r="G932">
            <v>1381.62337</v>
          </cell>
          <cell r="H932">
            <v>1352.9908227480767</v>
          </cell>
          <cell r="I932">
            <v>2.1162410543012733</v>
          </cell>
          <cell r="J932">
            <v>94.166539999999998</v>
          </cell>
          <cell r="K932">
            <v>72.445029090909102</v>
          </cell>
          <cell r="L932">
            <v>29.983438728188265</v>
          </cell>
          <cell r="M932">
            <v>1637.8291900000002</v>
          </cell>
          <cell r="N932">
            <v>850.91434171689343</v>
          </cell>
          <cell r="O932">
            <v>-92.478738423346513</v>
          </cell>
          <cell r="P932">
            <v>26.886500000000002</v>
          </cell>
          <cell r="Q932">
            <v>29.928999999999998</v>
          </cell>
          <cell r="R932">
            <v>10.165725550469434</v>
          </cell>
          <cell r="S932">
            <v>-188.9257800000002</v>
          </cell>
          <cell r="T932">
            <v>544.59251012209245</v>
          </cell>
          <cell r="U932">
            <v>-134.69121893682393</v>
          </cell>
        </row>
        <row r="933">
          <cell r="C933" t="str">
            <v>Bambalapitiya</v>
          </cell>
          <cell r="D933">
            <v>16224.57915</v>
          </cell>
          <cell r="E933">
            <v>22107.616259999999</v>
          </cell>
          <cell r="F933">
            <v>-26.61090657993898</v>
          </cell>
          <cell r="G933">
            <v>2379.5506099999998</v>
          </cell>
          <cell r="H933">
            <v>3513.9285874535308</v>
          </cell>
          <cell r="I933">
            <v>-32.28232871617891</v>
          </cell>
          <cell r="J933">
            <v>295.97003000000001</v>
          </cell>
          <cell r="K933">
            <v>374.70935904545456</v>
          </cell>
          <cell r="L933">
            <v>-21.013440722707699</v>
          </cell>
          <cell r="M933">
            <v>2222.6025500000001</v>
          </cell>
          <cell r="N933">
            <v>2194.0477463152656</v>
          </cell>
          <cell r="O933">
            <v>-1.3014668314620794</v>
          </cell>
          <cell r="P933">
            <v>66.259770000000003</v>
          </cell>
          <cell r="Q933">
            <v>66.593209999999999</v>
          </cell>
          <cell r="R933">
            <v>0.50071170919677244</v>
          </cell>
          <cell r="S933">
            <v>386.65831999999966</v>
          </cell>
          <cell r="T933">
            <v>1627.9969901837198</v>
          </cell>
          <cell r="U933">
            <v>-76.249445033902362</v>
          </cell>
        </row>
        <row r="934">
          <cell r="C934" t="str">
            <v>Nuwara Eliya</v>
          </cell>
          <cell r="D934">
            <v>9985.8201499999996</v>
          </cell>
          <cell r="E934">
            <v>8205.8673799999997</v>
          </cell>
          <cell r="F934">
            <v>21.691220288768545</v>
          </cell>
          <cell r="G934">
            <v>1234.4378999999999</v>
          </cell>
          <cell r="H934">
            <v>1032.0033860010572</v>
          </cell>
          <cell r="I934">
            <v>19.615683121289234</v>
          </cell>
          <cell r="J934">
            <v>23.408080000000002</v>
          </cell>
          <cell r="K934">
            <v>252.00188263636363</v>
          </cell>
          <cell r="L934">
            <v>-90.711148760036181</v>
          </cell>
          <cell r="M934">
            <v>1259.4793999999999</v>
          </cell>
          <cell r="N934">
            <v>932.26677694456259</v>
          </cell>
          <cell r="O934">
            <v>-35.098603870434296</v>
          </cell>
          <cell r="P934">
            <v>163.31492999999998</v>
          </cell>
          <cell r="Q934">
            <v>169.94092999999998</v>
          </cell>
          <cell r="R934">
            <v>3.8990018472889409</v>
          </cell>
          <cell r="S934">
            <v>-164.94835000000009</v>
          </cell>
          <cell r="T934">
            <v>181.79756169285827</v>
          </cell>
          <cell r="U934">
            <v>-190.73188246533007</v>
          </cell>
        </row>
        <row r="935">
          <cell r="C935" t="str">
            <v>Bandarawela</v>
          </cell>
          <cell r="D935">
            <v>21797.806400000001</v>
          </cell>
          <cell r="E935">
            <v>21672.114979999998</v>
          </cell>
          <cell r="F935">
            <v>0.5799684069413461</v>
          </cell>
          <cell r="G935">
            <v>1591.4372000000001</v>
          </cell>
          <cell r="H935">
            <v>1693.8736315909759</v>
          </cell>
          <cell r="I935">
            <v>-6.0474659786020837</v>
          </cell>
          <cell r="J935">
            <v>-203.71975</v>
          </cell>
          <cell r="K935">
            <v>125.87803477272728</v>
          </cell>
          <cell r="L935">
            <v>-261.8389978583761</v>
          </cell>
          <cell r="M935">
            <v>1533.7796799999999</v>
          </cell>
          <cell r="N935">
            <v>831.29391858100098</v>
          </cell>
          <cell r="O935">
            <v>-84.505100508629411</v>
          </cell>
          <cell r="P935">
            <v>46.043670000000006</v>
          </cell>
          <cell r="Q935">
            <v>44.616670000000006</v>
          </cell>
          <cell r="R935">
            <v>-3.1983561301190773</v>
          </cell>
          <cell r="S935">
            <v>-192.10589999999979</v>
          </cell>
          <cell r="T935">
            <v>943.8410777827022</v>
          </cell>
          <cell r="U935">
            <v>-120.3536278004874</v>
          </cell>
        </row>
        <row r="936">
          <cell r="C936" t="str">
            <v>Maharagama</v>
          </cell>
          <cell r="D936">
            <v>18128.947899999999</v>
          </cell>
          <cell r="E936">
            <v>16947.667730000001</v>
          </cell>
          <cell r="F936">
            <v>6.9701636167255572</v>
          </cell>
          <cell r="G936">
            <v>2775.8892099999998</v>
          </cell>
          <cell r="H936">
            <v>2732.652300672466</v>
          </cell>
          <cell r="I936">
            <v>1.5822323724424734</v>
          </cell>
          <cell r="J936">
            <v>195.14322999999999</v>
          </cell>
          <cell r="K936">
            <v>224.23223204545457</v>
          </cell>
          <cell r="L936">
            <v>-12.972712165465083</v>
          </cell>
          <cell r="M936">
            <v>2104.3396600000001</v>
          </cell>
          <cell r="N936">
            <v>1555.4713479936117</v>
          </cell>
          <cell r="O936">
            <v>-35.286301654760052</v>
          </cell>
          <cell r="P936">
            <v>74.417500000000004</v>
          </cell>
          <cell r="Q936">
            <v>83.373000000000005</v>
          </cell>
          <cell r="R936">
            <v>10.741487052163171</v>
          </cell>
          <cell r="S936">
            <v>792.27527999999984</v>
          </cell>
          <cell r="T936">
            <v>1318.0401847243088</v>
          </cell>
          <cell r="U936">
            <v>-39.889899474823821</v>
          </cell>
        </row>
        <row r="937">
          <cell r="C937" t="str">
            <v>Kiribathgoda</v>
          </cell>
          <cell r="D937">
            <v>7457.2150000000001</v>
          </cell>
          <cell r="E937">
            <v>12714.653769999999</v>
          </cell>
          <cell r="F937">
            <v>-41.349445019138727</v>
          </cell>
          <cell r="G937">
            <v>1049.63474</v>
          </cell>
          <cell r="H937">
            <v>2087.9212280290217</v>
          </cell>
          <cell r="I937">
            <v>-49.728240418780288</v>
          </cell>
          <cell r="J937">
            <v>89.226730000000003</v>
          </cell>
          <cell r="K937">
            <v>129.53554604545454</v>
          </cell>
          <cell r="L937">
            <v>-31.11795740708115</v>
          </cell>
          <cell r="M937">
            <v>255.43209000000004</v>
          </cell>
          <cell r="N937">
            <v>1111.2084765645864</v>
          </cell>
          <cell r="O937">
            <v>77.013126214651066</v>
          </cell>
          <cell r="P937">
            <v>37.235500000000002</v>
          </cell>
          <cell r="Q937">
            <v>43.103000000000002</v>
          </cell>
          <cell r="R937">
            <v>13.612741572512352</v>
          </cell>
          <cell r="S937">
            <v>846.19388000000004</v>
          </cell>
          <cell r="T937">
            <v>1063.1452975098896</v>
          </cell>
          <cell r="U937">
            <v>-20.406563243804541</v>
          </cell>
        </row>
        <row r="938">
          <cell r="C938" t="str">
            <v>Nugegoda</v>
          </cell>
          <cell r="D938">
            <v>19144.190050000001</v>
          </cell>
          <cell r="E938">
            <v>22486.08352</v>
          </cell>
          <cell r="F938">
            <v>-14.862052197874249</v>
          </cell>
          <cell r="G938">
            <v>2821.28458</v>
          </cell>
          <cell r="H938">
            <v>3765.9660969080119</v>
          </cell>
          <cell r="I938">
            <v>-25.084705825780745</v>
          </cell>
          <cell r="J938">
            <v>375.66217999999998</v>
          </cell>
          <cell r="K938">
            <v>383.26258872727271</v>
          </cell>
          <cell r="L938">
            <v>-1.9830813000851328</v>
          </cell>
          <cell r="M938">
            <v>2572.0206899999998</v>
          </cell>
          <cell r="N938">
            <v>2279.3791906276733</v>
          </cell>
          <cell r="O938">
            <v>-12.838649250445325</v>
          </cell>
          <cell r="P938">
            <v>130.95752999999999</v>
          </cell>
          <cell r="Q938">
            <v>141.28703270833336</v>
          </cell>
          <cell r="R938">
            <v>7.3110054831833926</v>
          </cell>
          <cell r="S938">
            <v>493.96853999999996</v>
          </cell>
          <cell r="T938">
            <v>1728.5624622992782</v>
          </cell>
          <cell r="U938">
            <v>-71.42315937238746</v>
          </cell>
        </row>
        <row r="939">
          <cell r="C939" t="str">
            <v>Fort</v>
          </cell>
          <cell r="D939">
            <v>13438.687449999999</v>
          </cell>
          <cell r="E939">
            <v>15165.071759999999</v>
          </cell>
          <cell r="F939">
            <v>-11.383950813563441</v>
          </cell>
          <cell r="G939">
            <v>1502.5535299999999</v>
          </cell>
          <cell r="H939">
            <v>1761.0223843795263</v>
          </cell>
          <cell r="I939">
            <v>-14.677204371288818</v>
          </cell>
          <cell r="J939">
            <v>17.708069999999999</v>
          </cell>
          <cell r="K939">
            <v>161.81180168181817</v>
          </cell>
          <cell r="L939">
            <v>-89.056379191166414</v>
          </cell>
          <cell r="M939">
            <v>905.57070999999996</v>
          </cell>
          <cell r="N939">
            <v>640.30302633129418</v>
          </cell>
          <cell r="O939">
            <v>-41.4284600821886</v>
          </cell>
          <cell r="P939">
            <v>35.716500000000003</v>
          </cell>
          <cell r="Q939">
            <v>59.695323958333333</v>
          </cell>
          <cell r="R939">
            <v>40.168680506818724</v>
          </cell>
          <cell r="S939">
            <v>578.97438999999986</v>
          </cell>
          <cell r="T939">
            <v>1222.835835771717</v>
          </cell>
          <cell r="U939">
            <v>-52.653138461990189</v>
          </cell>
        </row>
        <row r="940">
          <cell r="C940" t="str">
            <v>Malabe</v>
          </cell>
          <cell r="D940">
            <v>15556.33165</v>
          </cell>
          <cell r="E940">
            <v>13126.097229999999</v>
          </cell>
          <cell r="F940">
            <v>18.514523985436</v>
          </cell>
          <cell r="G940">
            <v>2040.3655100000001</v>
          </cell>
          <cell r="H940">
            <v>2169.3499008174276</v>
          </cell>
          <cell r="I940">
            <v>-5.9457624041573576</v>
          </cell>
          <cell r="J940">
            <v>155.12173000000001</v>
          </cell>
          <cell r="K940">
            <v>165.1826540909091</v>
          </cell>
          <cell r="L940">
            <v>-6.0907872841006672</v>
          </cell>
          <cell r="M940">
            <v>1845.2642499999999</v>
          </cell>
          <cell r="N940">
            <v>1484.3883474927502</v>
          </cell>
          <cell r="O940">
            <v>-24.311421139676675</v>
          </cell>
          <cell r="P940">
            <v>55.165500000000002</v>
          </cell>
          <cell r="Q940">
            <v>61.286000000000001</v>
          </cell>
          <cell r="R940">
            <v>9.9867832783996349</v>
          </cell>
          <cell r="S940">
            <v>295.05748999999997</v>
          </cell>
          <cell r="T940">
            <v>788.85820741558655</v>
          </cell>
          <cell r="U940">
            <v>-62.596891656023843</v>
          </cell>
        </row>
        <row r="941">
          <cell r="C941" t="str">
            <v>Negombo</v>
          </cell>
          <cell r="D941">
            <v>22187.870050000001</v>
          </cell>
          <cell r="E941">
            <v>21825.140169999999</v>
          </cell>
          <cell r="F941">
            <v>1.6619819033217353</v>
          </cell>
          <cell r="G941">
            <v>2529.34159</v>
          </cell>
          <cell r="H941">
            <v>3482.6586566111055</v>
          </cell>
          <cell r="I941">
            <v>-27.373255911871542</v>
          </cell>
          <cell r="J941">
            <v>540.59082999999998</v>
          </cell>
          <cell r="K941">
            <v>737.19568709090913</v>
          </cell>
          <cell r="L941">
            <v>-26.66929019440456</v>
          </cell>
          <cell r="M941">
            <v>2275.9837399999997</v>
          </cell>
          <cell r="N941">
            <v>1597.0226920695286</v>
          </cell>
          <cell r="O941">
            <v>-42.514176617655195</v>
          </cell>
          <cell r="P941">
            <v>98.669499999999999</v>
          </cell>
          <cell r="Q941">
            <v>110.54</v>
          </cell>
          <cell r="R941">
            <v>10.738646643748876</v>
          </cell>
          <cell r="S941">
            <v>695.27918000000045</v>
          </cell>
          <cell r="T941">
            <v>2512.2916516324858</v>
          </cell>
          <cell r="U941">
            <v>-72.324901866062859</v>
          </cell>
        </row>
        <row r="942">
          <cell r="C942" t="str">
            <v>Rajagiriya</v>
          </cell>
          <cell r="D942">
            <v>11876.105149999999</v>
          </cell>
          <cell r="E942">
            <v>11796.345089999999</v>
          </cell>
          <cell r="F942">
            <v>0.67614213886990082</v>
          </cell>
          <cell r="G942">
            <v>2160.95462</v>
          </cell>
          <cell r="H942">
            <v>1943.1104011086129</v>
          </cell>
          <cell r="I942">
            <v>11.211108682610069</v>
          </cell>
          <cell r="J942">
            <v>120.80484</v>
          </cell>
          <cell r="K942">
            <v>136.70284272727272</v>
          </cell>
          <cell r="L942">
            <v>-11.629606532023503</v>
          </cell>
          <cell r="M942">
            <v>1427.6061999999999</v>
          </cell>
          <cell r="N942">
            <v>1164.070455442198</v>
          </cell>
          <cell r="O942">
            <v>-22.639157563507794</v>
          </cell>
          <cell r="P942">
            <v>77.872010000000003</v>
          </cell>
          <cell r="Q942">
            <v>140.74500625000002</v>
          </cell>
          <cell r="R942">
            <v>44.671564501777844</v>
          </cell>
          <cell r="S942">
            <v>776.28124999999977</v>
          </cell>
          <cell r="T942">
            <v>774.9977821436878</v>
          </cell>
          <cell r="U942">
            <v>0.16560922958538379</v>
          </cell>
        </row>
        <row r="943">
          <cell r="C943" t="str">
            <v>Boralesgamuwa</v>
          </cell>
          <cell r="D943">
            <v>6539.9362000000001</v>
          </cell>
          <cell r="E943">
            <v>5544.9374400000006</v>
          </cell>
          <cell r="F943">
            <v>17.944273867226883</v>
          </cell>
          <cell r="G943">
            <v>683.83014000000003</v>
          </cell>
          <cell r="H943">
            <v>896.9890666231953</v>
          </cell>
          <cell r="I943">
            <v>-23.763826623400583</v>
          </cell>
          <cell r="J943">
            <v>49.498249999999999</v>
          </cell>
          <cell r="K943">
            <v>76.899865772727267</v>
          </cell>
          <cell r="L943">
            <v>-35.632852538014859</v>
          </cell>
          <cell r="M943">
            <v>946.45719000000008</v>
          </cell>
          <cell r="N943">
            <v>790.95162948484369</v>
          </cell>
          <cell r="O943">
            <v>-19.660565162049039</v>
          </cell>
          <cell r="P943">
            <v>49.658499999999997</v>
          </cell>
          <cell r="Q943">
            <v>58.243000000000002</v>
          </cell>
          <cell r="R943">
            <v>14.739110279346884</v>
          </cell>
          <cell r="S943">
            <v>-262.78730000000007</v>
          </cell>
          <cell r="T943">
            <v>124.69430291107886</v>
          </cell>
          <cell r="U943">
            <v>-310.74523363541084</v>
          </cell>
        </row>
        <row r="944">
          <cell r="C944" t="str">
            <v>Pitakotte</v>
          </cell>
          <cell r="D944">
            <v>11808.36665</v>
          </cell>
          <cell r="E944">
            <v>11236.062619999999</v>
          </cell>
          <cell r="F944">
            <v>5.0934571064183087</v>
          </cell>
          <cell r="G944">
            <v>1863.4870599999999</v>
          </cell>
          <cell r="H944">
            <v>1848.0871039380709</v>
          </cell>
          <cell r="I944">
            <v>0.83329167922407132</v>
          </cell>
          <cell r="J944">
            <v>148.57875000000001</v>
          </cell>
          <cell r="K944">
            <v>178.24309927272728</v>
          </cell>
          <cell r="L944">
            <v>-16.642635475799405</v>
          </cell>
          <cell r="M944">
            <v>1413.02485</v>
          </cell>
          <cell r="N944">
            <v>1200.3202648136673</v>
          </cell>
          <cell r="O944">
            <v>-17.720652680920288</v>
          </cell>
          <cell r="P944">
            <v>177.22165000000001</v>
          </cell>
          <cell r="Q944">
            <v>191.59614999999999</v>
          </cell>
          <cell r="R944">
            <v>7.5024993978219214</v>
          </cell>
          <cell r="S944">
            <v>421.81931000000003</v>
          </cell>
          <cell r="T944">
            <v>634.41378839713082</v>
          </cell>
          <cell r="U944">
            <v>-33.5103811243224</v>
          </cell>
        </row>
        <row r="945">
          <cell r="C945" t="str">
            <v>Panadura</v>
          </cell>
          <cell r="D945">
            <v>15938.220950000001</v>
          </cell>
          <cell r="E945">
            <v>12268.959119999998</v>
          </cell>
          <cell r="F945">
            <v>29.906871431486227</v>
          </cell>
          <cell r="G945">
            <v>2232.0362799999998</v>
          </cell>
          <cell r="H945">
            <v>2019.6038050883194</v>
          </cell>
          <cell r="I945">
            <v>10.518522215915043</v>
          </cell>
          <cell r="J945">
            <v>135.93084999999999</v>
          </cell>
          <cell r="K945">
            <v>148.38248390909092</v>
          </cell>
          <cell r="L945">
            <v>-8.3915793704596808</v>
          </cell>
          <cell r="M945">
            <v>1743.2498799999998</v>
          </cell>
          <cell r="N945">
            <v>1391.0534279289609</v>
          </cell>
          <cell r="O945">
            <v>-25.318686184138794</v>
          </cell>
          <cell r="P945">
            <v>260.17698999999999</v>
          </cell>
          <cell r="Q945">
            <v>246.76501000000002</v>
          </cell>
          <cell r="R945">
            <v>-5.4351222647003201</v>
          </cell>
          <cell r="S945">
            <v>364.54026000000016</v>
          </cell>
          <cell r="T945">
            <v>530.16785106844918</v>
          </cell>
          <cell r="U945">
            <v>-31.240594980374446</v>
          </cell>
        </row>
        <row r="946">
          <cell r="C946" t="str">
            <v>Kurunagala</v>
          </cell>
          <cell r="D946">
            <v>15260.20665</v>
          </cell>
          <cell r="E946">
            <v>8682.9473099999996</v>
          </cell>
          <cell r="F946">
            <v>75.749156423246816</v>
          </cell>
          <cell r="G946">
            <v>1914.5135700000001</v>
          </cell>
          <cell r="H946">
            <v>1452.6375907963993</v>
          </cell>
          <cell r="I946">
            <v>31.795678573234511</v>
          </cell>
          <cell r="J946">
            <v>156.64478</v>
          </cell>
          <cell r="K946">
            <v>183.43945168181818</v>
          </cell>
          <cell r="L946">
            <v>-14.606820635451109</v>
          </cell>
          <cell r="M946">
            <v>1577.31683</v>
          </cell>
          <cell r="N946">
            <v>1238.718203324346</v>
          </cell>
          <cell r="O946">
            <v>-27.334596824924141</v>
          </cell>
          <cell r="P946">
            <v>272.19900000000001</v>
          </cell>
          <cell r="Q946">
            <v>288.44050000000004</v>
          </cell>
          <cell r="R946">
            <v>5.6307973394859694</v>
          </cell>
          <cell r="S946">
            <v>221.64252000000016</v>
          </cell>
          <cell r="T946">
            <v>108.91833915387144</v>
          </cell>
          <cell r="U946">
            <v>103.4942156865619</v>
          </cell>
        </row>
        <row r="947">
          <cell r="C947" t="str">
            <v>Matara</v>
          </cell>
          <cell r="D947">
            <v>12818.55725</v>
          </cell>
          <cell r="E947">
            <v>9520.1414699999987</v>
          </cell>
          <cell r="F947">
            <v>34.646709719535309</v>
          </cell>
          <cell r="G947">
            <v>1732.70803</v>
          </cell>
          <cell r="H947">
            <v>1574.7382390283587</v>
          </cell>
          <cell r="I947">
            <v>10.03149520704542</v>
          </cell>
          <cell r="J947">
            <v>88.813569999999999</v>
          </cell>
          <cell r="K947">
            <v>99.316648954545457</v>
          </cell>
          <cell r="L947">
            <v>-10.575345689877668</v>
          </cell>
          <cell r="M947">
            <v>1437.35574</v>
          </cell>
          <cell r="N947">
            <v>1143.4587168574089</v>
          </cell>
          <cell r="O947">
            <v>-25.702460334581577</v>
          </cell>
          <cell r="P947">
            <v>250.77728999999999</v>
          </cell>
          <cell r="Q947">
            <v>245.14812645833334</v>
          </cell>
          <cell r="R947">
            <v>-2.2962294768438372</v>
          </cell>
          <cell r="S947">
            <v>133.38857000000007</v>
          </cell>
          <cell r="T947">
            <v>285.44804466716187</v>
          </cell>
          <cell r="U947">
            <v>-53.270455870337521</v>
          </cell>
        </row>
        <row r="948">
          <cell r="C948" t="str">
            <v>Wattala</v>
          </cell>
          <cell r="D948">
            <v>16340.98605</v>
          </cell>
          <cell r="E948">
            <v>10337.87127</v>
          </cell>
          <cell r="F948">
            <v>58.069157790934653</v>
          </cell>
          <cell r="G948">
            <v>1386.27009</v>
          </cell>
          <cell r="H948">
            <v>1490.5750655238057</v>
          </cell>
          <cell r="I948">
            <v>-6.99763319113028</v>
          </cell>
          <cell r="J948">
            <v>314.89728000000002</v>
          </cell>
          <cell r="K948">
            <v>334.93082464545455</v>
          </cell>
          <cell r="L948">
            <v>-5.9813977010510451</v>
          </cell>
          <cell r="M948">
            <v>1719.6094800000001</v>
          </cell>
          <cell r="N948">
            <v>1345.081552300989</v>
          </cell>
          <cell r="O948">
            <v>-27.844254280219509</v>
          </cell>
          <cell r="P948">
            <v>378.21424000000002</v>
          </cell>
          <cell r="Q948">
            <v>400.27294895833336</v>
          </cell>
          <cell r="R948">
            <v>5.5109167421227747</v>
          </cell>
          <cell r="S948">
            <v>-396.65634999999997</v>
          </cell>
          <cell r="T948">
            <v>80.151388909937964</v>
          </cell>
          <cell r="U948">
            <v>-594.88393825053049</v>
          </cell>
        </row>
        <row r="949">
          <cell r="C949" t="str">
            <v>Pelawatte</v>
          </cell>
          <cell r="D949">
            <v>15843.4694</v>
          </cell>
          <cell r="E949">
            <v>14008.302749999999</v>
          </cell>
          <cell r="F949">
            <v>13.100563878090094</v>
          </cell>
          <cell r="G949">
            <v>2335.3323799999998</v>
          </cell>
          <cell r="H949">
            <v>2332.3000540677872</v>
          </cell>
          <cell r="I949">
            <v>0.13001440045949209</v>
          </cell>
          <cell r="J949">
            <v>169.69927999999999</v>
          </cell>
          <cell r="K949">
            <v>183.57024304545456</v>
          </cell>
          <cell r="L949">
            <v>-7.5562154384792786</v>
          </cell>
          <cell r="M949">
            <v>1885.6584399999999</v>
          </cell>
          <cell r="N949">
            <v>1427.0908640915704</v>
          </cell>
          <cell r="O949">
            <v>-32.133032832519426</v>
          </cell>
          <cell r="P949">
            <v>274.25358</v>
          </cell>
          <cell r="Q949">
            <v>298.97808416666669</v>
          </cell>
          <cell r="R949">
            <v>8.2696710816047325</v>
          </cell>
          <cell r="S949">
            <v>345.11963999999972</v>
          </cell>
          <cell r="T949">
            <v>789.80134885500445</v>
          </cell>
          <cell r="U949">
            <v>-56.30298169276</v>
          </cell>
        </row>
        <row r="950">
          <cell r="C950" t="str">
            <v>Gampaha</v>
          </cell>
          <cell r="D950">
            <v>13884.46675</v>
          </cell>
          <cell r="E950">
            <v>9023.5886200000004</v>
          </cell>
          <cell r="F950">
            <v>53.868569753127758</v>
          </cell>
          <cell r="G950">
            <v>1545.8888899999999</v>
          </cell>
          <cell r="H950">
            <v>1496.9160544805065</v>
          </cell>
          <cell r="I950">
            <v>3.2715819549740255</v>
          </cell>
          <cell r="J950">
            <v>234.98</v>
          </cell>
          <cell r="K950">
            <v>184.27723863636365</v>
          </cell>
          <cell r="L950">
            <v>27.514391760389177</v>
          </cell>
          <cell r="M950">
            <v>1701.02387</v>
          </cell>
          <cell r="N950">
            <v>1222.8145430204545</v>
          </cell>
          <cell r="O950">
            <v>-39.107265260219123</v>
          </cell>
          <cell r="P950">
            <v>431.85446000000002</v>
          </cell>
          <cell r="Q950">
            <v>471.69679374999998</v>
          </cell>
          <cell r="R950">
            <v>8.4465983822473181</v>
          </cell>
          <cell r="S950">
            <v>-352.00944000000004</v>
          </cell>
          <cell r="T950">
            <v>-13.318043653584368</v>
          </cell>
          <cell r="U950">
            <v>-2543.1017134056437</v>
          </cell>
        </row>
        <row r="951">
          <cell r="C951" t="str">
            <v>Ja-ela</v>
          </cell>
          <cell r="D951">
            <v>13606.359399999999</v>
          </cell>
          <cell r="E951">
            <v>9449.4325800000006</v>
          </cell>
          <cell r="F951">
            <v>43.991285030153612</v>
          </cell>
          <cell r="G951">
            <v>1970.9730500000001</v>
          </cell>
          <cell r="H951">
            <v>1578.5566150501768</v>
          </cell>
          <cell r="I951">
            <v>24.859192962005338</v>
          </cell>
          <cell r="J951">
            <v>434.07758999999999</v>
          </cell>
          <cell r="K951">
            <v>446.16545818181817</v>
          </cell>
          <cell r="L951">
            <v>-2.7092792505896366</v>
          </cell>
          <cell r="M951">
            <v>1777.16634</v>
          </cell>
          <cell r="N951">
            <v>1202.9232424834611</v>
          </cell>
          <cell r="O951">
            <v>-47.737301702725574</v>
          </cell>
          <cell r="P951">
            <v>577.78900999999996</v>
          </cell>
          <cell r="Q951">
            <v>684.80550916666652</v>
          </cell>
          <cell r="R951">
            <v>15.627283620555849</v>
          </cell>
          <cell r="S951">
            <v>50.095289999999977</v>
          </cell>
          <cell r="T951">
            <v>136.99332158186735</v>
          </cell>
          <cell r="U951">
            <v>-63.432312304316987</v>
          </cell>
        </row>
        <row r="952">
          <cell r="C952" t="str">
            <v>Piliyandala</v>
          </cell>
          <cell r="D952">
            <v>13386.82545</v>
          </cell>
          <cell r="E952">
            <v>6383.15344</v>
          </cell>
          <cell r="F952">
            <v>109.72119150562045</v>
          </cell>
          <cell r="G952">
            <v>1588.67336</v>
          </cell>
          <cell r="H952">
            <v>1046.687692639194</v>
          </cell>
          <cell r="I952">
            <v>51.781029926338796</v>
          </cell>
          <cell r="J952">
            <v>115.66813</v>
          </cell>
          <cell r="K952">
            <v>135.74780950000002</v>
          </cell>
          <cell r="L952">
            <v>-14.791899459710994</v>
          </cell>
          <cell r="M952">
            <v>1401.7361899999999</v>
          </cell>
          <cell r="N952">
            <v>1082.2580530541331</v>
          </cell>
          <cell r="O952">
            <v>-29.519589717470723</v>
          </cell>
          <cell r="P952">
            <v>520.00062000000003</v>
          </cell>
          <cell r="Q952">
            <v>514.68986500000005</v>
          </cell>
          <cell r="R952">
            <v>-1.0318359387162155</v>
          </cell>
          <cell r="S952">
            <v>-217.39531999999986</v>
          </cell>
          <cell r="T952">
            <v>-414.51241591493931</v>
          </cell>
          <cell r="U952">
            <v>47.553966623617178</v>
          </cell>
        </row>
        <row r="953">
          <cell r="C953" t="str">
            <v>Chilaw</v>
          </cell>
          <cell r="D953">
            <v>9529.3418500000007</v>
          </cell>
          <cell r="E953">
            <v>6046.8251500000006</v>
          </cell>
          <cell r="F953">
            <v>57.592482230117071</v>
          </cell>
          <cell r="G953">
            <v>1203.39489</v>
          </cell>
          <cell r="H953">
            <v>993.39018088290391</v>
          </cell>
          <cell r="I953">
            <v>21.140203835158552</v>
          </cell>
          <cell r="J953">
            <v>137.42142999999999</v>
          </cell>
          <cell r="K953">
            <v>133.78100622727274</v>
          </cell>
          <cell r="L953">
            <v>2.7211813361178812</v>
          </cell>
          <cell r="M953">
            <v>1404.9436699999999</v>
          </cell>
          <cell r="N953">
            <v>1145.7841048297166</v>
          </cell>
          <cell r="O953">
            <v>-22.618533812598045</v>
          </cell>
          <cell r="P953">
            <v>382.76053000000002</v>
          </cell>
          <cell r="Q953">
            <v>432.03802541666664</v>
          </cell>
          <cell r="R953">
            <v>11.405823681640607</v>
          </cell>
          <cell r="S953">
            <v>-446.88788</v>
          </cell>
          <cell r="T953">
            <v>-450.65094313620671</v>
          </cell>
          <cell r="U953">
            <v>0.83502835032774925</v>
          </cell>
        </row>
        <row r="954">
          <cell r="C954" t="str">
            <v>Ratnapura</v>
          </cell>
          <cell r="D954">
            <v>17283.22005</v>
          </cell>
          <cell r="E954">
            <v>9411.0695799999994</v>
          </cell>
          <cell r="F954">
            <v>83.647776728051781</v>
          </cell>
          <cell r="G954">
            <v>1627.2352699999999</v>
          </cell>
          <cell r="H954">
            <v>1537.4933724601958</v>
          </cell>
          <cell r="I954">
            <v>5.8368965451997363</v>
          </cell>
          <cell r="J954">
            <v>379.74126000000001</v>
          </cell>
          <cell r="K954">
            <v>169.60051899999999</v>
          </cell>
          <cell r="L954">
            <v>123.90335963535586</v>
          </cell>
          <cell r="M954">
            <v>1870.1763700000001</v>
          </cell>
          <cell r="N954">
            <v>1304.2605429612859</v>
          </cell>
          <cell r="O954">
            <v>-43.389783589850751</v>
          </cell>
          <cell r="P954">
            <v>607.11377000000005</v>
          </cell>
          <cell r="Q954">
            <v>625.10801604166659</v>
          </cell>
          <cell r="R954">
            <v>2.8785818738352469</v>
          </cell>
          <cell r="S954">
            <v>-470.31361000000027</v>
          </cell>
          <cell r="T954">
            <v>-222.27466754275656</v>
          </cell>
          <cell r="U954">
            <v>-111.59118814541975</v>
          </cell>
        </row>
        <row r="955">
          <cell r="C955" t="str">
            <v>Nawala</v>
          </cell>
          <cell r="D955">
            <v>24257.456750000001</v>
          </cell>
          <cell r="E955">
            <v>15744.017410000002</v>
          </cell>
          <cell r="F955">
            <v>54.074123003653355</v>
          </cell>
          <cell r="G955">
            <v>3053.7750900000001</v>
          </cell>
          <cell r="H955">
            <v>2499.2325687635703</v>
          </cell>
          <cell r="I955">
            <v>22.188512112371168</v>
          </cell>
          <cell r="J955">
            <v>560.62379999999996</v>
          </cell>
          <cell r="K955">
            <v>259.20201750000001</v>
          </cell>
          <cell r="L955">
            <v>116.28836280180572</v>
          </cell>
          <cell r="M955">
            <v>2376.45262</v>
          </cell>
          <cell r="N955">
            <v>1589.3282166619852</v>
          </cell>
          <cell r="O955">
            <v>-49.525604282744496</v>
          </cell>
          <cell r="P955">
            <v>631.88324999999998</v>
          </cell>
          <cell r="Q955">
            <v>375.67091749999997</v>
          </cell>
          <cell r="R955">
            <v>-68.201268867186144</v>
          </cell>
          <cell r="S955">
            <v>606.06301999999994</v>
          </cell>
          <cell r="T955">
            <v>793.43545210158493</v>
          </cell>
          <cell r="U955">
            <v>-23.615334001687057</v>
          </cell>
        </row>
        <row r="956">
          <cell r="C956" t="str">
            <v>Collupitiya</v>
          </cell>
          <cell r="D956">
            <v>12465.393400000001</v>
          </cell>
          <cell r="E956">
            <v>10782.472570000002</v>
          </cell>
          <cell r="F956">
            <v>15.607930547232534</v>
          </cell>
          <cell r="G956">
            <v>1843.8887099999999</v>
          </cell>
          <cell r="H956">
            <v>1805.3049291624409</v>
          </cell>
          <cell r="I956">
            <v>2.1372445294025617</v>
          </cell>
          <cell r="J956">
            <v>118.06963</v>
          </cell>
          <cell r="K956">
            <v>128.99632</v>
          </cell>
          <cell r="L956">
            <v>-8.4705439659053798</v>
          </cell>
          <cell r="M956">
            <v>1680.1289800000002</v>
          </cell>
          <cell r="N956">
            <v>1486.2730487078859</v>
          </cell>
          <cell r="O956">
            <v>-13.043089993500582</v>
          </cell>
          <cell r="P956">
            <v>258.31835999999998</v>
          </cell>
          <cell r="Q956">
            <v>353.39243354166666</v>
          </cell>
          <cell r="R956">
            <v>26.903256696484135</v>
          </cell>
          <cell r="S956">
            <v>23.51099999999974</v>
          </cell>
          <cell r="T956">
            <v>94.6357669128883</v>
          </cell>
          <cell r="U956">
            <v>-75.156327499684679</v>
          </cell>
        </row>
        <row r="957">
          <cell r="C957" t="str">
            <v>Dehiwala</v>
          </cell>
          <cell r="D957">
            <v>11224.807699999999</v>
          </cell>
          <cell r="E957">
            <v>12362.88804</v>
          </cell>
          <cell r="F957">
            <v>-9.205618754434667</v>
          </cell>
          <cell r="G957">
            <v>1600.44496</v>
          </cell>
          <cell r="H957">
            <v>2034.3184093004129</v>
          </cell>
          <cell r="I957">
            <v>-21.327705993164496</v>
          </cell>
          <cell r="J957">
            <v>140.07907</v>
          </cell>
          <cell r="K957">
            <v>131.5780235</v>
          </cell>
          <cell r="L957">
            <v>6.4608407041469214</v>
          </cell>
          <cell r="M957">
            <v>2215.4512300000001</v>
          </cell>
          <cell r="N957">
            <v>1451.2841112690789</v>
          </cell>
          <cell r="O957">
            <v>-52.654550049658667</v>
          </cell>
          <cell r="P957">
            <v>166.23991000000001</v>
          </cell>
          <cell r="Q957">
            <v>260.03290687499998</v>
          </cell>
          <cell r="R957">
            <v>36.069664413699407</v>
          </cell>
          <cell r="S957">
            <v>-641.16711000000009</v>
          </cell>
          <cell r="T957">
            <v>454.57941465633417</v>
          </cell>
          <cell r="U957">
            <v>-241.04622631993306</v>
          </cell>
        </row>
        <row r="958">
          <cell r="C958" t="str">
            <v>Thimbirigasyaya</v>
          </cell>
          <cell r="D958">
            <v>8366.5553500000005</v>
          </cell>
          <cell r="E958">
            <v>7754.2791399999996</v>
          </cell>
          <cell r="F958">
            <v>7.8959784519699525</v>
          </cell>
          <cell r="G958">
            <v>1247.24306</v>
          </cell>
          <cell r="H958">
            <v>1285.0690265139258</v>
          </cell>
          <cell r="I958">
            <v>-2.9434968654203941</v>
          </cell>
          <cell r="J958">
            <v>29.575140000000001</v>
          </cell>
          <cell r="K958">
            <v>31.398337681818184</v>
          </cell>
          <cell r="L958">
            <v>-5.806669449491082</v>
          </cell>
          <cell r="M958">
            <v>1179.06161</v>
          </cell>
          <cell r="N958">
            <v>970.33362862694685</v>
          </cell>
          <cell r="O958">
            <v>-21.510949967632257</v>
          </cell>
          <cell r="P958">
            <v>167.40797000000001</v>
          </cell>
          <cell r="Q958">
            <v>288.54447229166664</v>
          </cell>
          <cell r="R958">
            <v>41.981917494236171</v>
          </cell>
          <cell r="S958">
            <v>-69.651380000000046</v>
          </cell>
          <cell r="T958">
            <v>57.589263277130556</v>
          </cell>
          <cell r="U958">
            <v>-220.94507905896327</v>
          </cell>
        </row>
        <row r="959">
          <cell r="C959" t="str">
            <v>Moratuwa</v>
          </cell>
          <cell r="D959">
            <v>18185.849200000001</v>
          </cell>
          <cell r="E959">
            <v>9673.8358900000003</v>
          </cell>
          <cell r="F959">
            <v>87.990052826914351</v>
          </cell>
          <cell r="G959">
            <v>2662.2320599999998</v>
          </cell>
          <cell r="H959">
            <v>1593.9468362800694</v>
          </cell>
          <cell r="I959">
            <v>67.021383612334233</v>
          </cell>
          <cell r="J959">
            <v>180.68156999999999</v>
          </cell>
          <cell r="K959">
            <v>125.06052099999999</v>
          </cell>
          <cell r="L959">
            <v>44.475305680199426</v>
          </cell>
          <cell r="M959">
            <v>1760.2131400000001</v>
          </cell>
          <cell r="N959">
            <v>1261.0435150389073</v>
          </cell>
          <cell r="O959">
            <v>-39.583854086565104</v>
          </cell>
          <cell r="P959">
            <v>300.87083000000001</v>
          </cell>
          <cell r="Q959">
            <v>340.41033437499999</v>
          </cell>
          <cell r="R959">
            <v>11.615247947038764</v>
          </cell>
          <cell r="S959">
            <v>781.82965999999988</v>
          </cell>
          <cell r="T959">
            <v>117.55350786616197</v>
          </cell>
          <cell r="U959">
            <v>565.08407464125639</v>
          </cell>
        </row>
        <row r="960">
          <cell r="C960" t="str">
            <v>Kegalle</v>
          </cell>
          <cell r="D960">
            <v>9795.4645500000006</v>
          </cell>
          <cell r="E960">
            <v>6075.5666666666657</v>
          </cell>
          <cell r="F960">
            <v>61.227175791558572</v>
          </cell>
          <cell r="G960">
            <v>848.40715</v>
          </cell>
          <cell r="H960">
            <v>923.36986500985915</v>
          </cell>
          <cell r="I960">
            <v>-8.1183843929169974</v>
          </cell>
          <cell r="J960">
            <v>87.376080000000002</v>
          </cell>
          <cell r="K960">
            <v>187.5</v>
          </cell>
          <cell r="L960">
            <v>-53.399423999999996</v>
          </cell>
          <cell r="M960">
            <v>1480.8770400000003</v>
          </cell>
          <cell r="N960">
            <v>947.84542626262623</v>
          </cell>
          <cell r="O960">
            <v>-56.236132914533179</v>
          </cell>
          <cell r="P960">
            <v>0</v>
          </cell>
          <cell r="Q960">
            <v>0</v>
          </cell>
          <cell r="R960">
            <v>0</v>
          </cell>
          <cell r="S960">
            <v>-545.0938100000003</v>
          </cell>
          <cell r="T960">
            <v>163.02443874723281</v>
          </cell>
          <cell r="U960">
            <v>-434.36324896364829</v>
          </cell>
        </row>
        <row r="961">
          <cell r="C961" t="str">
            <v>Kadawatha</v>
          </cell>
          <cell r="D961">
            <v>6489.8042500000001</v>
          </cell>
          <cell r="E961">
            <v>5474.8113018958329</v>
          </cell>
          <cell r="F961">
            <v>18.539322948951551</v>
          </cell>
          <cell r="G961">
            <v>965.92587000000003</v>
          </cell>
          <cell r="H961">
            <v>845.61970271078098</v>
          </cell>
          <cell r="I961">
            <v>14.226982519867585</v>
          </cell>
          <cell r="J961">
            <v>86.652460000000005</v>
          </cell>
          <cell r="K961">
            <v>76.816666666666677</v>
          </cell>
          <cell r="L961">
            <v>12.804243870687776</v>
          </cell>
          <cell r="M961">
            <v>1262.7536599999999</v>
          </cell>
          <cell r="N961">
            <v>665.97005291516666</v>
          </cell>
          <cell r="O961">
            <v>-89.61117763066342</v>
          </cell>
          <cell r="P961">
            <v>0</v>
          </cell>
          <cell r="Q961">
            <v>0</v>
          </cell>
          <cell r="R961">
            <v>0</v>
          </cell>
          <cell r="S961">
            <v>-210.1753299999998</v>
          </cell>
          <cell r="T961">
            <v>256.46631646228104</v>
          </cell>
          <cell r="U961">
            <v>-181.95046152616717</v>
          </cell>
        </row>
        <row r="962">
          <cell r="C962" t="str">
            <v>Aluthgama</v>
          </cell>
          <cell r="D962">
            <v>8325.7654500000008</v>
          </cell>
          <cell r="E962">
            <v>6075.5666666666657</v>
          </cell>
          <cell r="F962">
            <v>37.036854449790724</v>
          </cell>
          <cell r="G962">
            <v>1349.3875700000001</v>
          </cell>
          <cell r="H962">
            <v>923.36986500985915</v>
          </cell>
          <cell r="I962">
            <v>46.137276202488174</v>
          </cell>
          <cell r="J962">
            <v>90.766350000000003</v>
          </cell>
          <cell r="K962">
            <v>187.5</v>
          </cell>
          <cell r="L962">
            <v>-51.591279999999998</v>
          </cell>
          <cell r="M962">
            <v>1497.7725699999999</v>
          </cell>
          <cell r="N962">
            <v>947.84542626262623</v>
          </cell>
          <cell r="O962">
            <v>-58.018652461693833</v>
          </cell>
          <cell r="P962">
            <v>0</v>
          </cell>
          <cell r="Q962">
            <v>0</v>
          </cell>
          <cell r="R962">
            <v>0</v>
          </cell>
          <cell r="S962">
            <v>-57.618649999999661</v>
          </cell>
          <cell r="T962">
            <v>163.02443874723281</v>
          </cell>
          <cell r="U962">
            <v>-135.34356593574083</v>
          </cell>
        </row>
        <row r="963">
          <cell r="C963" t="str">
            <v>Park Road</v>
          </cell>
          <cell r="D963">
            <v>13786.7505</v>
          </cell>
          <cell r="E963">
            <v>6075.5666666666657</v>
          </cell>
          <cell r="F963">
            <v>126.92122819819281</v>
          </cell>
          <cell r="G963">
            <v>1879.84319</v>
          </cell>
          <cell r="H963">
            <v>923.36986500985915</v>
          </cell>
          <cell r="I963">
            <v>103.5850704289476</v>
          </cell>
          <cell r="J963">
            <v>93.802999999999997</v>
          </cell>
          <cell r="K963">
            <v>187.5</v>
          </cell>
          <cell r="L963">
            <v>-49.971733333333333</v>
          </cell>
          <cell r="M963">
            <v>1603.61834</v>
          </cell>
          <cell r="N963">
            <v>947.84542626262623</v>
          </cell>
          <cell r="O963">
            <v>-69.185638878176547</v>
          </cell>
          <cell r="P963">
            <v>0</v>
          </cell>
          <cell r="Q963">
            <v>0</v>
          </cell>
          <cell r="R963">
            <v>0</v>
          </cell>
          <cell r="S963">
            <v>370.02784999999994</v>
          </cell>
          <cell r="T963">
            <v>163.02443874723281</v>
          </cell>
          <cell r="U963">
            <v>126.97692005167589</v>
          </cell>
        </row>
        <row r="964">
          <cell r="C964" t="str">
            <v>Kotahena</v>
          </cell>
          <cell r="D964">
            <v>15396.7755</v>
          </cell>
          <cell r="E964">
            <v>6075.5666666666657</v>
          </cell>
          <cell r="F964">
            <v>153.42122545496446</v>
          </cell>
          <cell r="G964">
            <v>2395.67508</v>
          </cell>
          <cell r="H964">
            <v>923.36986500985915</v>
          </cell>
          <cell r="I964">
            <v>159.44912984293899</v>
          </cell>
          <cell r="J964">
            <v>336.98955000000001</v>
          </cell>
          <cell r="K964">
            <v>187.5</v>
          </cell>
          <cell r="L964">
            <v>79.727760000000004</v>
          </cell>
          <cell r="M964">
            <v>2038.1339200000002</v>
          </cell>
          <cell r="N964">
            <v>947.84542626262623</v>
          </cell>
          <cell r="O964">
            <v>-115.02809039617394</v>
          </cell>
          <cell r="P964">
            <v>0</v>
          </cell>
          <cell r="Q964">
            <v>0</v>
          </cell>
          <cell r="R964">
            <v>0</v>
          </cell>
          <cell r="S964">
            <v>694.53071</v>
          </cell>
          <cell r="T964">
            <v>163.02443874723281</v>
          </cell>
          <cell r="U964">
            <v>326.02858524595842</v>
          </cell>
        </row>
        <row r="965">
          <cell r="C965" t="str">
            <v>Ambalangoda</v>
          </cell>
          <cell r="D965">
            <v>6314.5127499999999</v>
          </cell>
          <cell r="E965">
            <v>6075.5666666666657</v>
          </cell>
          <cell r="F965">
            <v>3.9329020063972231</v>
          </cell>
          <cell r="G965">
            <v>854.01864999999998</v>
          </cell>
          <cell r="H965">
            <v>923.36986500985915</v>
          </cell>
          <cell r="I965">
            <v>-7.5106647550295227</v>
          </cell>
          <cell r="J965">
            <v>64.123149999999995</v>
          </cell>
          <cell r="K965">
            <v>187.5</v>
          </cell>
          <cell r="L965">
            <v>-65.800986666666674</v>
          </cell>
          <cell r="M965">
            <v>1263.6706100000001</v>
          </cell>
          <cell r="N965">
            <v>947.84542626262623</v>
          </cell>
          <cell r="O965">
            <v>-33.32032576057037</v>
          </cell>
          <cell r="P965">
            <v>5.4705000000000004</v>
          </cell>
          <cell r="Q965">
            <v>0</v>
          </cell>
          <cell r="R965">
            <v>0</v>
          </cell>
          <cell r="S965">
            <v>-350.99931000000015</v>
          </cell>
          <cell r="T965">
            <v>163.02443874723281</v>
          </cell>
          <cell r="U965">
            <v>-315.30471915577016</v>
          </cell>
        </row>
        <row r="966">
          <cell r="C966" t="str">
            <v>Katugastota</v>
          </cell>
          <cell r="D966">
            <v>14547.90345</v>
          </cell>
          <cell r="E966">
            <v>6075.5666666666657</v>
          </cell>
          <cell r="F966">
            <v>139.44932626311953</v>
          </cell>
          <cell r="G966">
            <v>1777.5102199999999</v>
          </cell>
          <cell r="H966">
            <v>923.36986500985915</v>
          </cell>
          <cell r="I966">
            <v>92.502515769346743</v>
          </cell>
          <cell r="J966">
            <v>161.4264</v>
          </cell>
          <cell r="K966">
            <v>187.5</v>
          </cell>
          <cell r="L966">
            <v>-13.90592</v>
          </cell>
          <cell r="M966">
            <v>1620.87192</v>
          </cell>
          <cell r="N966">
            <v>947.84542626262623</v>
          </cell>
          <cell r="O966">
            <v>-71.005933572009823</v>
          </cell>
          <cell r="P966">
            <v>0</v>
          </cell>
          <cell r="Q966">
            <v>0</v>
          </cell>
          <cell r="R966">
            <v>0</v>
          </cell>
          <cell r="S966">
            <v>318.0646999999999</v>
          </cell>
          <cell r="T966">
            <v>163.02443874723281</v>
          </cell>
          <cell r="U966">
            <v>95.102465890500582</v>
          </cell>
        </row>
        <row r="967">
          <cell r="C967" t="str">
            <v>Beruwela</v>
          </cell>
          <cell r="D967">
            <v>5773.4762000000001</v>
          </cell>
          <cell r="E967">
            <v>6075.5666666666657</v>
          </cell>
          <cell r="F967">
            <v>-4.9722187779466225</v>
          </cell>
          <cell r="G967">
            <v>792.16291000000001</v>
          </cell>
          <cell r="H967">
            <v>923.36986500985915</v>
          </cell>
          <cell r="I967">
            <v>-14.209577329931403</v>
          </cell>
          <cell r="J967">
            <v>72.012</v>
          </cell>
          <cell r="K967">
            <v>187.5</v>
          </cell>
          <cell r="L967">
            <v>-61.593600000000002</v>
          </cell>
          <cell r="M967">
            <v>1158.4987100000001</v>
          </cell>
          <cell r="N967">
            <v>947.84542626262623</v>
          </cell>
          <cell r="O967">
            <v>-22.224434269623899</v>
          </cell>
          <cell r="P967">
            <v>1.1677500000000001</v>
          </cell>
          <cell r="Q967">
            <v>0</v>
          </cell>
          <cell r="R967">
            <v>0</v>
          </cell>
          <cell r="S967">
            <v>-295.49155000000013</v>
          </cell>
          <cell r="T967">
            <v>163.02443874723281</v>
          </cell>
          <cell r="U967">
            <v>-281.25598362473482</v>
          </cell>
        </row>
        <row r="968">
          <cell r="C968" t="str">
            <v>Warakapola</v>
          </cell>
          <cell r="D968">
            <v>7330.8216000000002</v>
          </cell>
          <cell r="E968">
            <v>6075.5666666666657</v>
          </cell>
          <cell r="F968">
            <v>20.660705448600154</v>
          </cell>
          <cell r="G968">
            <v>826.60879999999997</v>
          </cell>
          <cell r="H968">
            <v>923.36986500985915</v>
          </cell>
          <cell r="I968">
            <v>-10.479123120270557</v>
          </cell>
          <cell r="J968">
            <v>85.629130000000004</v>
          </cell>
          <cell r="K968">
            <v>187.5</v>
          </cell>
          <cell r="L968">
            <v>-54.33113066666666</v>
          </cell>
          <cell r="M968">
            <v>1208.36564</v>
          </cell>
          <cell r="N968">
            <v>947.84542626262623</v>
          </cell>
          <cell r="O968">
            <v>-27.485516785644069</v>
          </cell>
          <cell r="P968">
            <v>0.30049999999999999</v>
          </cell>
          <cell r="Q968">
            <v>0</v>
          </cell>
          <cell r="R968">
            <v>0</v>
          </cell>
          <cell r="S968">
            <v>-296.42820999999998</v>
          </cell>
          <cell r="T968">
            <v>163.02443874723281</v>
          </cell>
          <cell r="U968">
            <v>-281.83053551842488</v>
          </cell>
        </row>
        <row r="969">
          <cell r="C969" t="str">
            <v>Karagampitiya</v>
          </cell>
          <cell r="D969">
            <v>6153.6549000000005</v>
          </cell>
          <cell r="E969">
            <v>0</v>
          </cell>
          <cell r="F969">
            <v>0</v>
          </cell>
          <cell r="G969">
            <v>889.37945000000002</v>
          </cell>
          <cell r="H969">
            <v>0</v>
          </cell>
          <cell r="I969">
            <v>0</v>
          </cell>
          <cell r="J969">
            <v>58.435850000000002</v>
          </cell>
          <cell r="K969">
            <v>0</v>
          </cell>
          <cell r="L969">
            <v>0</v>
          </cell>
          <cell r="M969">
            <v>1404.2080000000001</v>
          </cell>
          <cell r="N969">
            <v>0</v>
          </cell>
          <cell r="O969">
            <v>0</v>
          </cell>
          <cell r="P969">
            <v>0</v>
          </cell>
          <cell r="Q969">
            <v>0</v>
          </cell>
          <cell r="R969">
            <v>0</v>
          </cell>
          <cell r="S969">
            <v>-456.3927000000001</v>
          </cell>
          <cell r="T969">
            <v>0</v>
          </cell>
          <cell r="U969">
            <v>0</v>
          </cell>
        </row>
        <row r="970">
          <cell r="C970" t="str">
            <v>Mathale</v>
          </cell>
          <cell r="D970">
            <v>11740.4187</v>
          </cell>
          <cell r="E970">
            <v>0</v>
          </cell>
          <cell r="F970">
            <v>0</v>
          </cell>
          <cell r="G970">
            <v>1121.24766</v>
          </cell>
          <cell r="H970">
            <v>0</v>
          </cell>
          <cell r="I970">
            <v>0</v>
          </cell>
          <cell r="J970">
            <v>1.5140499999999999</v>
          </cell>
          <cell r="K970">
            <v>0</v>
          </cell>
          <cell r="L970">
            <v>0</v>
          </cell>
          <cell r="M970">
            <v>1415.4761000000001</v>
          </cell>
          <cell r="N970">
            <v>0</v>
          </cell>
          <cell r="O970">
            <v>0</v>
          </cell>
          <cell r="P970">
            <v>0.30049999999999999</v>
          </cell>
          <cell r="Q970">
            <v>0</v>
          </cell>
          <cell r="R970">
            <v>0</v>
          </cell>
          <cell r="S970">
            <v>-293.01489000000009</v>
          </cell>
          <cell r="T970">
            <v>0</v>
          </cell>
          <cell r="U970">
            <v>0</v>
          </cell>
        </row>
        <row r="971">
          <cell r="C971" t="str">
            <v>Peliyagoda</v>
          </cell>
          <cell r="D971">
            <v>4890.6605</v>
          </cell>
          <cell r="E971">
            <v>0</v>
          </cell>
          <cell r="F971">
            <v>0</v>
          </cell>
          <cell r="G971">
            <v>645.21419000000003</v>
          </cell>
          <cell r="H971">
            <v>0</v>
          </cell>
          <cell r="I971">
            <v>0</v>
          </cell>
          <cell r="J971">
            <v>2.7265000000000001</v>
          </cell>
          <cell r="K971">
            <v>0</v>
          </cell>
          <cell r="L971">
            <v>0</v>
          </cell>
          <cell r="M971">
            <v>1132.8068599999999</v>
          </cell>
          <cell r="N971">
            <v>0</v>
          </cell>
          <cell r="O971">
            <v>0</v>
          </cell>
          <cell r="P971">
            <v>0</v>
          </cell>
          <cell r="Q971">
            <v>0</v>
          </cell>
          <cell r="R971">
            <v>0</v>
          </cell>
          <cell r="S971">
            <v>-484.8661699999999</v>
          </cell>
          <cell r="T971">
            <v>0</v>
          </cell>
          <cell r="U971">
            <v>0</v>
          </cell>
        </row>
        <row r="972">
          <cell r="C972" t="str">
            <v>Kelaniya</v>
          </cell>
          <cell r="D972">
            <v>6601.74755</v>
          </cell>
          <cell r="E972">
            <v>0</v>
          </cell>
          <cell r="F972">
            <v>0</v>
          </cell>
          <cell r="G972">
            <v>962.86995000000002</v>
          </cell>
          <cell r="H972">
            <v>0</v>
          </cell>
          <cell r="I972">
            <v>0</v>
          </cell>
          <cell r="J972">
            <v>82.194149999999993</v>
          </cell>
          <cell r="K972">
            <v>0</v>
          </cell>
          <cell r="L972">
            <v>0</v>
          </cell>
          <cell r="M972">
            <v>1100.1155099999999</v>
          </cell>
          <cell r="N972">
            <v>0</v>
          </cell>
          <cell r="O972">
            <v>0</v>
          </cell>
          <cell r="P972">
            <v>0</v>
          </cell>
          <cell r="Q972">
            <v>0</v>
          </cell>
          <cell r="R972">
            <v>0</v>
          </cell>
          <cell r="S972">
            <v>-55.051409999999805</v>
          </cell>
          <cell r="T972">
            <v>0</v>
          </cell>
          <cell r="U972">
            <v>0</v>
          </cell>
        </row>
        <row r="973">
          <cell r="C973" t="str">
            <v>Demategoda</v>
          </cell>
          <cell r="D973">
            <v>7933.2064499999997</v>
          </cell>
          <cell r="E973">
            <v>0</v>
          </cell>
          <cell r="F973">
            <v>0</v>
          </cell>
          <cell r="G973">
            <v>1217.99488</v>
          </cell>
          <cell r="H973">
            <v>0</v>
          </cell>
          <cell r="I973">
            <v>0</v>
          </cell>
          <cell r="J973">
            <v>100.29227</v>
          </cell>
          <cell r="K973">
            <v>0</v>
          </cell>
          <cell r="L973">
            <v>0</v>
          </cell>
          <cell r="M973">
            <v>1228.18361</v>
          </cell>
          <cell r="N973">
            <v>0</v>
          </cell>
          <cell r="O973">
            <v>0</v>
          </cell>
          <cell r="P973">
            <v>0</v>
          </cell>
          <cell r="Q973">
            <v>0</v>
          </cell>
          <cell r="R973">
            <v>0</v>
          </cell>
          <cell r="S973">
            <v>90.103539999999839</v>
          </cell>
          <cell r="T973">
            <v>0</v>
          </cell>
          <cell r="U973">
            <v>0</v>
          </cell>
        </row>
        <row r="974">
          <cell r="C974" t="str">
            <v>Kolannawa</v>
          </cell>
          <cell r="D974">
            <v>8554.0832499999997</v>
          </cell>
          <cell r="E974">
            <v>0</v>
          </cell>
          <cell r="F974">
            <v>0</v>
          </cell>
          <cell r="G974">
            <v>1122.62591</v>
          </cell>
          <cell r="H974">
            <v>0</v>
          </cell>
          <cell r="I974">
            <v>0</v>
          </cell>
          <cell r="J974">
            <v>82.989890000000003</v>
          </cell>
          <cell r="K974">
            <v>0</v>
          </cell>
          <cell r="L974">
            <v>0</v>
          </cell>
          <cell r="M974">
            <v>834.86586999999997</v>
          </cell>
          <cell r="N974">
            <v>0</v>
          </cell>
          <cell r="O974">
            <v>0</v>
          </cell>
          <cell r="P974">
            <v>0</v>
          </cell>
          <cell r="Q974">
            <v>0</v>
          </cell>
          <cell r="R974">
            <v>0</v>
          </cell>
          <cell r="S974">
            <v>370.74993000000006</v>
          </cell>
          <cell r="T974">
            <v>0</v>
          </cell>
          <cell r="U974">
            <v>0</v>
          </cell>
        </row>
        <row r="975">
          <cell r="C975" t="str">
            <v>Avissawella</v>
          </cell>
          <cell r="D975">
            <v>6271.1350499999999</v>
          </cell>
          <cell r="E975">
            <v>0</v>
          </cell>
          <cell r="F975">
            <v>0</v>
          </cell>
          <cell r="G975">
            <v>902.78862000000004</v>
          </cell>
          <cell r="H975">
            <v>0</v>
          </cell>
          <cell r="I975">
            <v>0</v>
          </cell>
          <cell r="J975">
            <v>45.959249999999997</v>
          </cell>
          <cell r="K975">
            <v>0</v>
          </cell>
          <cell r="L975">
            <v>0</v>
          </cell>
          <cell r="M975">
            <v>946.9696899999999</v>
          </cell>
          <cell r="N975">
            <v>0</v>
          </cell>
          <cell r="O975">
            <v>0</v>
          </cell>
          <cell r="P975">
            <v>0</v>
          </cell>
          <cell r="Q975">
            <v>0</v>
          </cell>
          <cell r="R975">
            <v>0</v>
          </cell>
          <cell r="S975">
            <v>1.778180000000134</v>
          </cell>
          <cell r="T975">
            <v>0</v>
          </cell>
          <cell r="U975">
            <v>0</v>
          </cell>
        </row>
        <row r="976">
          <cell r="C976" t="str">
            <v>Homagama</v>
          </cell>
          <cell r="D976">
            <v>8857.4154500000004</v>
          </cell>
          <cell r="E976">
            <v>0</v>
          </cell>
          <cell r="F976">
            <v>0</v>
          </cell>
          <cell r="G976">
            <v>1264.7835299999999</v>
          </cell>
          <cell r="H976">
            <v>0</v>
          </cell>
          <cell r="I976">
            <v>0</v>
          </cell>
          <cell r="J976">
            <v>40.347749999999998</v>
          </cell>
          <cell r="K976">
            <v>0</v>
          </cell>
          <cell r="L976">
            <v>0</v>
          </cell>
          <cell r="M976">
            <v>1279.0500299999999</v>
          </cell>
          <cell r="N976">
            <v>0</v>
          </cell>
          <cell r="O976">
            <v>0</v>
          </cell>
          <cell r="P976">
            <v>0</v>
          </cell>
          <cell r="Q976">
            <v>0</v>
          </cell>
          <cell r="R976">
            <v>0</v>
          </cell>
          <cell r="S976">
            <v>26.081249999999955</v>
          </cell>
          <cell r="T976">
            <v>0</v>
          </cell>
          <cell r="U976">
            <v>0</v>
          </cell>
        </row>
        <row r="977">
          <cell r="C977" t="str">
            <v>Galle</v>
          </cell>
          <cell r="D977">
            <v>10800.933999999999</v>
          </cell>
          <cell r="E977">
            <v>0</v>
          </cell>
          <cell r="F977">
            <v>0</v>
          </cell>
          <cell r="G977">
            <v>1581.1815799999999</v>
          </cell>
          <cell r="H977">
            <v>0</v>
          </cell>
          <cell r="I977">
            <v>0</v>
          </cell>
          <cell r="J977">
            <v>36.932850000000002</v>
          </cell>
          <cell r="K977">
            <v>0</v>
          </cell>
          <cell r="L977">
            <v>0</v>
          </cell>
          <cell r="M977">
            <v>1194.9642699999999</v>
          </cell>
          <cell r="N977">
            <v>0</v>
          </cell>
          <cell r="O977">
            <v>0</v>
          </cell>
          <cell r="P977">
            <v>0</v>
          </cell>
          <cell r="Q977">
            <v>0</v>
          </cell>
          <cell r="R977">
            <v>0</v>
          </cell>
          <cell r="S977">
            <v>423.15015999999991</v>
          </cell>
          <cell r="T977">
            <v>0</v>
          </cell>
          <cell r="U977">
            <v>0</v>
          </cell>
        </row>
        <row r="978">
          <cell r="C978" t="str">
            <v>Kohuwela</v>
          </cell>
          <cell r="D978">
            <v>10089.2358</v>
          </cell>
          <cell r="E978">
            <v>0</v>
          </cell>
          <cell r="F978">
            <v>0</v>
          </cell>
          <cell r="G978">
            <v>1454.0861600000001</v>
          </cell>
          <cell r="H978">
            <v>0</v>
          </cell>
          <cell r="I978">
            <v>0</v>
          </cell>
          <cell r="J978">
            <v>57.886400000000002</v>
          </cell>
          <cell r="K978">
            <v>0</v>
          </cell>
          <cell r="L978">
            <v>0</v>
          </cell>
          <cell r="M978">
            <v>1047.90084</v>
          </cell>
          <cell r="N978">
            <v>0</v>
          </cell>
          <cell r="O978">
            <v>0</v>
          </cell>
          <cell r="P978">
            <v>0</v>
          </cell>
          <cell r="Q978">
            <v>0</v>
          </cell>
          <cell r="R978">
            <v>0</v>
          </cell>
          <cell r="S978">
            <v>464.07172000000014</v>
          </cell>
          <cell r="T978">
            <v>0</v>
          </cell>
          <cell r="U978">
            <v>0</v>
          </cell>
        </row>
        <row r="979">
          <cell r="C979" t="str">
            <v>Mt lavinia-STC</v>
          </cell>
          <cell r="D979">
            <v>5755.3805499999999</v>
          </cell>
          <cell r="E979">
            <v>0</v>
          </cell>
          <cell r="F979">
            <v>0</v>
          </cell>
          <cell r="G979">
            <v>916.94128999999998</v>
          </cell>
          <cell r="H979">
            <v>0</v>
          </cell>
          <cell r="I979">
            <v>0</v>
          </cell>
          <cell r="J979">
            <v>5.0500000000000003E-2</v>
          </cell>
          <cell r="K979">
            <v>0.1</v>
          </cell>
          <cell r="L979">
            <v>-49.5</v>
          </cell>
          <cell r="M979">
            <v>1272.79619</v>
          </cell>
          <cell r="N979">
            <v>0</v>
          </cell>
          <cell r="O979">
            <v>0</v>
          </cell>
          <cell r="P979">
            <v>0</v>
          </cell>
          <cell r="Q979">
            <v>0</v>
          </cell>
          <cell r="R979">
            <v>0</v>
          </cell>
          <cell r="S979">
            <v>-355.80439999999999</v>
          </cell>
          <cell r="T979">
            <v>0.1</v>
          </cell>
          <cell r="U979">
            <v>-355904.39999999997</v>
          </cell>
        </row>
        <row r="980">
          <cell r="C980" t="str">
            <v>Express Matara</v>
          </cell>
          <cell r="D980">
            <v>1473.7581499999999</v>
          </cell>
          <cell r="E980">
            <v>1383.5855437877485</v>
          </cell>
          <cell r="F980">
            <v>6.5173134120346425</v>
          </cell>
          <cell r="G980">
            <v>209.22521</v>
          </cell>
          <cell r="H980">
            <v>243.24358672624345</v>
          </cell>
          <cell r="I980">
            <v>-13.985312905507003</v>
          </cell>
          <cell r="J980">
            <v>3.5000000000000001E-3</v>
          </cell>
          <cell r="K980">
            <v>0.1</v>
          </cell>
          <cell r="L980">
            <v>-96.5</v>
          </cell>
          <cell r="M980">
            <v>200.62439000000001</v>
          </cell>
          <cell r="N980">
            <v>194.62954150477401</v>
          </cell>
          <cell r="O980">
            <v>-3.0801328764775149</v>
          </cell>
          <cell r="P980">
            <v>0</v>
          </cell>
          <cell r="Q980">
            <v>0</v>
          </cell>
          <cell r="R980">
            <v>0</v>
          </cell>
          <cell r="S980">
            <v>8.6043200000000013</v>
          </cell>
          <cell r="T980">
            <v>48.714045221469433</v>
          </cell>
          <cell r="U980">
            <v>-82.337085822205808</v>
          </cell>
        </row>
        <row r="981">
          <cell r="C981" t="str">
            <v>Express Maligawatte</v>
          </cell>
          <cell r="D981">
            <v>1380.1078500000001</v>
          </cell>
          <cell r="E981">
            <v>1334.4876887060068</v>
          </cell>
          <cell r="F981">
            <v>3.4185524287773044</v>
          </cell>
          <cell r="G981">
            <v>204.76673</v>
          </cell>
          <cell r="H981">
            <v>238.20605243402221</v>
          </cell>
          <cell r="I981">
            <v>-14.037981861642312</v>
          </cell>
          <cell r="J981">
            <v>1.6000000000000001E-3</v>
          </cell>
          <cell r="K981">
            <v>50</v>
          </cell>
          <cell r="L981">
            <v>-99.996799999999993</v>
          </cell>
          <cell r="M981">
            <v>151.89490000000001</v>
          </cell>
          <cell r="N981">
            <v>200.22897290086587</v>
          </cell>
          <cell r="O981">
            <v>24.139400108093369</v>
          </cell>
          <cell r="P981">
            <v>0</v>
          </cell>
          <cell r="Q981">
            <v>0</v>
          </cell>
          <cell r="R981">
            <v>0</v>
          </cell>
          <cell r="S981">
            <v>52.873429999999985</v>
          </cell>
          <cell r="T981">
            <v>87.97707953315637</v>
          </cell>
          <cell r="U981">
            <v>-39.900903416470754</v>
          </cell>
        </row>
        <row r="982">
          <cell r="C982" t="str">
            <v>Express Peradeniya</v>
          </cell>
          <cell r="D982">
            <v>469.20335</v>
          </cell>
          <cell r="E982">
            <v>1201.0389198354062</v>
          </cell>
          <cell r="F982">
            <v>-60.93354326400172</v>
          </cell>
          <cell r="G982">
            <v>37.13973</v>
          </cell>
          <cell r="H982">
            <v>214.38544719062</v>
          </cell>
          <cell r="I982">
            <v>-82.67618885204584</v>
          </cell>
          <cell r="J982">
            <v>7.5000000000000002E-4</v>
          </cell>
          <cell r="K982">
            <v>50</v>
          </cell>
          <cell r="L982">
            <v>-99.998500000000007</v>
          </cell>
          <cell r="M982">
            <v>-38.881299999999996</v>
          </cell>
          <cell r="N982">
            <v>181.5322547599983</v>
          </cell>
          <cell r="O982">
            <v>121.41839754670845</v>
          </cell>
          <cell r="P982">
            <v>0</v>
          </cell>
          <cell r="Q982">
            <v>0</v>
          </cell>
          <cell r="R982">
            <v>0</v>
          </cell>
          <cell r="S982">
            <v>76.021779999999993</v>
          </cell>
          <cell r="T982">
            <v>82.853192430621675</v>
          </cell>
          <cell r="U982">
            <v>-8.245201217010516</v>
          </cell>
        </row>
        <row r="983">
          <cell r="C983" t="str">
            <v>Express Alexandra Place</v>
          </cell>
          <cell r="D983">
            <v>2377.0518000000002</v>
          </cell>
          <cell r="E983">
            <v>0</v>
          </cell>
          <cell r="F983">
            <v>0</v>
          </cell>
          <cell r="G983">
            <v>380.77951999999999</v>
          </cell>
          <cell r="H983">
            <v>0</v>
          </cell>
          <cell r="I983">
            <v>0</v>
          </cell>
          <cell r="J983">
            <v>5.0000000000000001E-4</v>
          </cell>
          <cell r="K983">
            <v>0</v>
          </cell>
          <cell r="L983">
            <v>0</v>
          </cell>
          <cell r="M983">
            <v>352.89714999999995</v>
          </cell>
          <cell r="N983">
            <v>0</v>
          </cell>
          <cell r="O983">
            <v>0</v>
          </cell>
          <cell r="P983">
            <v>0</v>
          </cell>
          <cell r="Q983">
            <v>0</v>
          </cell>
          <cell r="R983">
            <v>0</v>
          </cell>
          <cell r="S983">
            <v>27.882870000000025</v>
          </cell>
          <cell r="T983">
            <v>0</v>
          </cell>
          <cell r="U983">
            <v>0</v>
          </cell>
        </row>
        <row r="984">
          <cell r="C984" t="str">
            <v>Express Boralla</v>
          </cell>
          <cell r="D984">
            <v>380.70934999999997</v>
          </cell>
          <cell r="E984">
            <v>0</v>
          </cell>
          <cell r="F984">
            <v>0</v>
          </cell>
          <cell r="G984">
            <v>8.2868099999999991</v>
          </cell>
          <cell r="H984">
            <v>0</v>
          </cell>
          <cell r="I984">
            <v>0</v>
          </cell>
          <cell r="J984">
            <v>5.0000000000000001E-4</v>
          </cell>
          <cell r="K984">
            <v>0</v>
          </cell>
          <cell r="L984">
            <v>0</v>
          </cell>
          <cell r="M984">
            <v>126.67665</v>
          </cell>
          <cell r="N984">
            <v>0</v>
          </cell>
          <cell r="O984">
            <v>0</v>
          </cell>
          <cell r="P984">
            <v>0</v>
          </cell>
          <cell r="Q984">
            <v>0</v>
          </cell>
          <cell r="R984">
            <v>0</v>
          </cell>
          <cell r="S984">
            <v>-118.38933999999999</v>
          </cell>
          <cell r="T984">
            <v>0</v>
          </cell>
          <cell r="U984">
            <v>0</v>
          </cell>
        </row>
        <row r="985">
          <cell r="C985" t="str">
            <v>Express Havelock Road</v>
          </cell>
          <cell r="D985">
            <v>547.42529999999999</v>
          </cell>
          <cell r="E985">
            <v>0</v>
          </cell>
          <cell r="F985">
            <v>0</v>
          </cell>
          <cell r="G985">
            <v>92.864180000000005</v>
          </cell>
          <cell r="H985">
            <v>0</v>
          </cell>
          <cell r="I985">
            <v>0</v>
          </cell>
          <cell r="J985">
            <v>5.0000000000000001E-4</v>
          </cell>
          <cell r="K985">
            <v>0</v>
          </cell>
          <cell r="L985">
            <v>0</v>
          </cell>
          <cell r="M985">
            <v>182.84234999999998</v>
          </cell>
          <cell r="N985">
            <v>0</v>
          </cell>
          <cell r="O985">
            <v>0</v>
          </cell>
          <cell r="P985">
            <v>0</v>
          </cell>
          <cell r="Q985">
            <v>0</v>
          </cell>
          <cell r="R985">
            <v>0</v>
          </cell>
          <cell r="S985">
            <v>-89.977669999999975</v>
          </cell>
          <cell r="T985">
            <v>0</v>
          </cell>
          <cell r="U985">
            <v>0</v>
          </cell>
        </row>
        <row r="986">
          <cell r="C986" t="str">
            <v>Express Maradana</v>
          </cell>
          <cell r="D986">
            <v>116.58815</v>
          </cell>
          <cell r="E986">
            <v>0</v>
          </cell>
          <cell r="F986">
            <v>0</v>
          </cell>
          <cell r="G986">
            <v>4.91275</v>
          </cell>
          <cell r="H986">
            <v>0</v>
          </cell>
          <cell r="I986">
            <v>0</v>
          </cell>
          <cell r="J986">
            <v>5.0000000000000001E-4</v>
          </cell>
          <cell r="K986">
            <v>0</v>
          </cell>
          <cell r="L986">
            <v>0</v>
          </cell>
          <cell r="M986">
            <v>70.208309999999997</v>
          </cell>
          <cell r="N986">
            <v>0</v>
          </cell>
          <cell r="O986">
            <v>0</v>
          </cell>
          <cell r="P986">
            <v>0</v>
          </cell>
          <cell r="Q986">
            <v>0</v>
          </cell>
          <cell r="R986">
            <v>0</v>
          </cell>
          <cell r="S986">
            <v>-65.295059999999992</v>
          </cell>
          <cell r="T986">
            <v>0</v>
          </cell>
          <cell r="U986">
            <v>0</v>
          </cell>
        </row>
        <row r="987">
          <cell r="C987" t="str">
            <v xml:space="preserve">Food City </v>
          </cell>
          <cell r="D987">
            <v>704722.73165000021</v>
          </cell>
          <cell r="E987">
            <v>522051.7750575582</v>
          </cell>
          <cell r="F987">
            <v>34.990965517223238</v>
          </cell>
          <cell r="G987">
            <v>92389.204320000033</v>
          </cell>
          <cell r="H987">
            <v>78873.391750894167</v>
          </cell>
          <cell r="I987">
            <v>17.136086415293079</v>
          </cell>
          <cell r="J987">
            <v>7638.2081200000002</v>
          </cell>
          <cell r="K987">
            <v>8830.9821758121234</v>
          </cell>
          <cell r="L987">
            <v>-13.506697579790236</v>
          </cell>
          <cell r="M987">
            <v>84952.662620000003</v>
          </cell>
          <cell r="N987">
            <v>53052.047776366649</v>
          </cell>
          <cell r="O987">
            <v>-60.130788877567653</v>
          </cell>
          <cell r="P987">
            <v>7488.1221800000003</v>
          </cell>
          <cell r="Q987">
            <v>7999.673675</v>
          </cell>
          <cell r="R987">
            <v>6.3946545294549111</v>
          </cell>
          <cell r="S987">
            <v>7586.6276399999961</v>
          </cell>
          <cell r="T987">
            <v>26652.652475339684</v>
          </cell>
          <cell r="U987">
            <v>-71.535187175011913</v>
          </cell>
        </row>
        <row r="988">
          <cell r="C988">
            <v>-1782.3499999999995</v>
          </cell>
          <cell r="M988">
            <v>84639.02463</v>
          </cell>
          <cell r="N988">
            <v>52475.657007201014</v>
          </cell>
          <cell r="U988">
            <v>26433.108158154435</v>
          </cell>
        </row>
        <row r="989">
          <cell r="C989">
            <v>1840.9699999999721</v>
          </cell>
        </row>
        <row r="990">
          <cell r="B990">
            <v>11</v>
          </cell>
          <cell r="T990" t="str">
            <v>Schedule 2</v>
          </cell>
        </row>
        <row r="991">
          <cell r="B991" t="str">
            <v>CARGILLS ( CEYLON ) LTD</v>
          </cell>
        </row>
        <row r="993">
          <cell r="B993" t="str">
            <v xml:space="preserve"> Contribution by Profit Centres/Divisions - Month of March 2004</v>
          </cell>
        </row>
        <row r="994">
          <cell r="C994" t="str">
            <v>MTH V BUD</v>
          </cell>
          <cell r="U994">
            <v>38154.357810300928</v>
          </cell>
        </row>
        <row r="995">
          <cell r="B995" t="str">
            <v>Profit Centre</v>
          </cell>
          <cell r="D995" t="str">
            <v>Gross Turnover</v>
          </cell>
          <cell r="G995" t="str">
            <v>Achieved Gross Profit</v>
          </cell>
          <cell r="J995" t="str">
            <v>Other Income</v>
          </cell>
          <cell r="M995" t="str">
            <v>Direct Expenses</v>
          </cell>
          <cell r="P995" t="str">
            <v>D&amp;A and Finance</v>
          </cell>
          <cell r="S995" t="str">
            <v>Contribution</v>
          </cell>
        </row>
        <row r="996">
          <cell r="D996">
            <v>38047</v>
          </cell>
          <cell r="E996" t="str">
            <v>Budget</v>
          </cell>
          <cell r="F996" t="str">
            <v>Var %</v>
          </cell>
          <cell r="G996">
            <v>38047</v>
          </cell>
          <cell r="H996" t="str">
            <v>Budget</v>
          </cell>
          <cell r="I996" t="str">
            <v>Var %</v>
          </cell>
          <cell r="J996">
            <v>38047</v>
          </cell>
          <cell r="K996" t="str">
            <v>Budget</v>
          </cell>
          <cell r="L996" t="str">
            <v>Var %</v>
          </cell>
          <cell r="M996">
            <v>38047</v>
          </cell>
          <cell r="N996" t="str">
            <v>Budget</v>
          </cell>
          <cell r="O996" t="str">
            <v>Var %</v>
          </cell>
          <cell r="P996">
            <v>38047</v>
          </cell>
          <cell r="Q996" t="str">
            <v>Budget</v>
          </cell>
          <cell r="R996" t="str">
            <v>Var %</v>
          </cell>
          <cell r="S996">
            <v>38047</v>
          </cell>
          <cell r="T996" t="str">
            <v>Budget</v>
          </cell>
          <cell r="U996" t="str">
            <v>Var %</v>
          </cell>
        </row>
        <row r="997">
          <cell r="C997" t="str">
            <v>Department Store</v>
          </cell>
          <cell r="D997">
            <v>948.67880000000002</v>
          </cell>
          <cell r="E997">
            <v>817.53431</v>
          </cell>
          <cell r="F997">
            <v>16.041466198525665</v>
          </cell>
          <cell r="G997">
            <v>232.48214999999999</v>
          </cell>
          <cell r="H997">
            <v>149.67831795454592</v>
          </cell>
          <cell r="I997">
            <v>55.321193595053501</v>
          </cell>
          <cell r="J997">
            <v>2E-3</v>
          </cell>
          <cell r="K997">
            <v>0</v>
          </cell>
          <cell r="L997">
            <v>0</v>
          </cell>
          <cell r="M997">
            <v>55.650349999999996</v>
          </cell>
          <cell r="N997">
            <v>42.544277686772723</v>
          </cell>
          <cell r="O997">
            <v>-30.805722945208284</v>
          </cell>
          <cell r="P997">
            <v>6.0000000000000001E-3</v>
          </cell>
          <cell r="Q997">
            <v>8.9090909090909082E-3</v>
          </cell>
          <cell r="R997">
            <v>32.65306122448979</v>
          </cell>
          <cell r="S997">
            <v>176.8278</v>
          </cell>
          <cell r="T997">
            <v>107.12513117686412</v>
          </cell>
          <cell r="U997">
            <v>65.066589004270554</v>
          </cell>
        </row>
        <row r="998">
          <cell r="C998" t="str">
            <v>Books &amp; Stationery</v>
          </cell>
          <cell r="D998">
            <v>2146.1477000000004</v>
          </cell>
          <cell r="E998">
            <v>2293.2259022727271</v>
          </cell>
          <cell r="F998">
            <v>-6.4135941481806569</v>
          </cell>
          <cell r="G998">
            <v>566.46947</v>
          </cell>
          <cell r="H998">
            <v>512.38974500663539</v>
          </cell>
          <cell r="I998">
            <v>10.554412050667462</v>
          </cell>
          <cell r="J998">
            <v>2.5100000000000001E-2</v>
          </cell>
          <cell r="K998">
            <v>0.7263139999999999</v>
          </cell>
          <cell r="L998">
            <v>-96.544194384247035</v>
          </cell>
          <cell r="M998">
            <v>402.17707999999999</v>
          </cell>
          <cell r="N998">
            <v>426.72928412753328</v>
          </cell>
          <cell r="O998">
            <v>5.7535784490936317</v>
          </cell>
          <cell r="P998">
            <v>4.024</v>
          </cell>
          <cell r="Q998">
            <v>14.56909090909091</v>
          </cell>
          <cell r="R998">
            <v>72.379882690627724</v>
          </cell>
          <cell r="S998">
            <v>160.29348999999996</v>
          </cell>
          <cell r="T998">
            <v>71.817683970011217</v>
          </cell>
          <cell r="U998">
            <v>123.19501429053801</v>
          </cell>
        </row>
        <row r="999">
          <cell r="C999" t="str">
            <v>Hatton Liquor</v>
          </cell>
          <cell r="D999">
            <v>2608.105</v>
          </cell>
          <cell r="E999">
            <v>2801.3784500000002</v>
          </cell>
          <cell r="F999">
            <v>-6.8992267003410461</v>
          </cell>
          <cell r="G999">
            <v>124.38191999999999</v>
          </cell>
          <cell r="H999">
            <v>100.32431199999992</v>
          </cell>
          <cell r="I999">
            <v>23.979838506144048</v>
          </cell>
          <cell r="J999">
            <v>5.0000000000000001E-4</v>
          </cell>
          <cell r="K999">
            <v>0</v>
          </cell>
          <cell r="L999">
            <v>0</v>
          </cell>
          <cell r="M999">
            <v>124.38342</v>
          </cell>
          <cell r="N999">
            <v>100.32431199999994</v>
          </cell>
          <cell r="O999">
            <v>-23.981333657189776</v>
          </cell>
          <cell r="P999">
            <v>0</v>
          </cell>
          <cell r="Q999">
            <v>0</v>
          </cell>
          <cell r="R999">
            <v>0</v>
          </cell>
          <cell r="S999">
            <v>-1.0000000000047748E-3</v>
          </cell>
          <cell r="T999">
            <v>-1.4210854715202004E-14</v>
          </cell>
          <cell r="U999">
            <v>0</v>
          </cell>
        </row>
        <row r="1000">
          <cell r="C1000" t="str">
            <v>Retail Division</v>
          </cell>
          <cell r="D1000">
            <v>710425.66315000015</v>
          </cell>
          <cell r="E1000">
            <v>527963.91371983092</v>
          </cell>
          <cell r="F1000">
            <v>34.559511490967978</v>
          </cell>
          <cell r="G1000">
            <v>93312.53786000004</v>
          </cell>
          <cell r="H1000">
            <v>79635.784125855353</v>
          </cell>
          <cell r="I1000">
            <v>17.174130805983054</v>
          </cell>
          <cell r="J1000">
            <v>7638.2357200000006</v>
          </cell>
          <cell r="K1000">
            <v>8831.7084898121229</v>
          </cell>
          <cell r="L1000">
            <v>-13.513498222782838</v>
          </cell>
          <cell r="M1000">
            <v>85534.873470000006</v>
          </cell>
          <cell r="N1000">
            <v>53621.645650180959</v>
          </cell>
          <cell r="O1000">
            <v>-59.515569566842174</v>
          </cell>
          <cell r="P1000">
            <v>7492.15218</v>
          </cell>
          <cell r="Q1000">
            <v>8014.2516750000004</v>
          </cell>
          <cell r="R1000">
            <v>6.5146381243386688</v>
          </cell>
          <cell r="S1000">
            <v>7923.7479299999959</v>
          </cell>
          <cell r="T1000">
            <v>26831.595290486559</v>
          </cell>
          <cell r="U1000">
            <v>-70.468591806729265</v>
          </cell>
        </row>
        <row r="1001">
          <cell r="C1001" t="str">
            <v>Commercial Division</v>
          </cell>
          <cell r="D1001">
            <v>2.5000000000000001E-3</v>
          </cell>
          <cell r="E1001">
            <v>0</v>
          </cell>
          <cell r="F1001">
            <v>0</v>
          </cell>
          <cell r="G1001">
            <v>1024.8270600000001</v>
          </cell>
          <cell r="H1001">
            <v>476.79826329892006</v>
          </cell>
          <cell r="I1001">
            <v>114.93934413882359</v>
          </cell>
          <cell r="J1001">
            <v>198.40796999999998</v>
          </cell>
          <cell r="K1001">
            <v>232.14270000000002</v>
          </cell>
          <cell r="L1001">
            <v>-14.531893529281788</v>
          </cell>
          <cell r="M1001">
            <v>3463.6370699999998</v>
          </cell>
          <cell r="N1001">
            <v>1843.148188525056</v>
          </cell>
          <cell r="O1001">
            <v>-87.919619896201013</v>
          </cell>
          <cell r="P1001">
            <v>63.005749999999999</v>
          </cell>
          <cell r="Q1001">
            <v>83.419959999999989</v>
          </cell>
          <cell r="R1001">
            <v>24.471613268575044</v>
          </cell>
          <cell r="S1001">
            <v>-2303.4077899999997</v>
          </cell>
          <cell r="T1001">
            <v>-1217.6271852261359</v>
          </cell>
          <cell r="U1001">
            <v>-89.17184323313333</v>
          </cell>
        </row>
        <row r="1002">
          <cell r="C1002" t="str">
            <v>Hampers</v>
          </cell>
          <cell r="D1002">
            <v>5.0000000000000001E-4</v>
          </cell>
          <cell r="E1002">
            <v>0</v>
          </cell>
          <cell r="F1002">
            <v>0</v>
          </cell>
          <cell r="G1002">
            <v>-5.8930199999999999</v>
          </cell>
          <cell r="H1002">
            <v>0</v>
          </cell>
          <cell r="I1002">
            <v>0</v>
          </cell>
          <cell r="J1002">
            <v>5.0000000000000001E-4</v>
          </cell>
          <cell r="K1002">
            <v>0</v>
          </cell>
          <cell r="L1002">
            <v>0</v>
          </cell>
          <cell r="M1002">
            <v>28.754399999999997</v>
          </cell>
          <cell r="N1002">
            <v>0</v>
          </cell>
          <cell r="O1002">
            <v>0</v>
          </cell>
          <cell r="P1002">
            <v>0</v>
          </cell>
          <cell r="Q1002">
            <v>0</v>
          </cell>
          <cell r="R1002">
            <v>0</v>
          </cell>
          <cell r="S1002">
            <v>-34.646919999999994</v>
          </cell>
          <cell r="T1002">
            <v>0</v>
          </cell>
          <cell r="U1002">
            <v>0</v>
          </cell>
        </row>
        <row r="1003">
          <cell r="C1003" t="str">
            <v>Wines &amp; Spirits</v>
          </cell>
          <cell r="D1003">
            <v>9261.1658900000002</v>
          </cell>
          <cell r="E1003">
            <v>6900</v>
          </cell>
          <cell r="F1003">
            <v>34.219795507246381</v>
          </cell>
          <cell r="G1003">
            <v>2035.4883</v>
          </cell>
          <cell r="H1003">
            <v>1174.9711615927083</v>
          </cell>
          <cell r="I1003">
            <v>73.237298627894418</v>
          </cell>
          <cell r="J1003">
            <v>-670.9366</v>
          </cell>
          <cell r="K1003">
            <v>124.83561113636364</v>
          </cell>
          <cell r="L1003">
            <v>-637.45609437286714</v>
          </cell>
          <cell r="M1003">
            <v>826.8836</v>
          </cell>
          <cell r="N1003">
            <v>489.81865898927117</v>
          </cell>
          <cell r="O1003">
            <v>-68.814230496293078</v>
          </cell>
          <cell r="P1003">
            <v>-47.245239999999995</v>
          </cell>
          <cell r="Q1003">
            <v>4.2190000000000003</v>
          </cell>
          <cell r="R1003">
            <v>1219.8208106186298</v>
          </cell>
          <cell r="S1003">
            <v>584.91333999999995</v>
          </cell>
          <cell r="T1003">
            <v>805.76911373980079</v>
          </cell>
          <cell r="U1003">
            <v>-27.409312416400173</v>
          </cell>
        </row>
        <row r="1004">
          <cell r="C1004" t="str">
            <v xml:space="preserve">Total </v>
          </cell>
          <cell r="D1004">
            <v>719686.83204000001</v>
          </cell>
          <cell r="E1004">
            <v>534863.91371983092</v>
          </cell>
          <cell r="F1004">
            <v>34.555129553380546</v>
          </cell>
          <cell r="G1004">
            <v>96366.96020000003</v>
          </cell>
          <cell r="H1004">
            <v>81287.553550746976</v>
          </cell>
          <cell r="I1004">
            <v>18.550695636127294</v>
          </cell>
          <cell r="J1004">
            <v>7165.7075900000009</v>
          </cell>
          <cell r="K1004">
            <v>9188.6868009484861</v>
          </cell>
          <cell r="L1004">
            <v>-22.01597741626874</v>
          </cell>
          <cell r="M1004">
            <v>89854.148540000009</v>
          </cell>
          <cell r="N1004">
            <v>55954.612497695285</v>
          </cell>
          <cell r="O1004">
            <v>-60.583988574134104</v>
          </cell>
          <cell r="P1004">
            <v>7507.9126900000001</v>
          </cell>
          <cell r="Q1004">
            <v>8101.8906350000007</v>
          </cell>
          <cell r="R1004">
            <v>7.3313498263482852</v>
          </cell>
          <cell r="S1004">
            <v>6170.6065599999965</v>
          </cell>
          <cell r="T1004">
            <v>26419.737219000224</v>
          </cell>
          <cell r="U1004">
            <v>-76.643951796907743</v>
          </cell>
        </row>
        <row r="1023">
          <cell r="V1023">
            <v>13</v>
          </cell>
          <cell r="AQ1023" t="str">
            <v>Schedule 4</v>
          </cell>
        </row>
        <row r="1024">
          <cell r="V1024" t="str">
            <v>CARGILLS ( CEYLON ) LTD</v>
          </cell>
        </row>
        <row r="1026">
          <cell r="V1026" t="str">
            <v xml:space="preserve"> Indirect &amp; Service Division Expenses - Month of March 2004</v>
          </cell>
        </row>
        <row r="1027">
          <cell r="W1027" t="str">
            <v>MTH V BUD</v>
          </cell>
          <cell r="AR1027">
            <v>38154.357810300928</v>
          </cell>
        </row>
        <row r="1028">
          <cell r="V1028" t="str">
            <v>Indirect - Strategic Business Units (SBUs)</v>
          </cell>
        </row>
        <row r="1029">
          <cell r="V1029" t="str">
            <v>Cost Centre</v>
          </cell>
          <cell r="X1029" t="str">
            <v>Staff Related</v>
          </cell>
          <cell r="AA1029" t="str">
            <v xml:space="preserve">Administration </v>
          </cell>
          <cell r="AD1029" t="str">
            <v xml:space="preserve">Establishment </v>
          </cell>
          <cell r="AG1029" t="str">
            <v>Selling &amp; Distribution</v>
          </cell>
          <cell r="AJ1029" t="str">
            <v>Expenses</v>
          </cell>
          <cell r="AM1029" t="str">
            <v>Depreciation</v>
          </cell>
          <cell r="AP1029" t="str">
            <v>Finance</v>
          </cell>
        </row>
        <row r="1030">
          <cell r="X1030">
            <v>38047</v>
          </cell>
          <cell r="Y1030" t="str">
            <v>Budget</v>
          </cell>
          <cell r="Z1030" t="str">
            <v>Var %</v>
          </cell>
          <cell r="AA1030">
            <v>38047</v>
          </cell>
          <cell r="AB1030" t="str">
            <v>Budget</v>
          </cell>
          <cell r="AC1030" t="str">
            <v>Var %</v>
          </cell>
          <cell r="AD1030">
            <v>38047</v>
          </cell>
          <cell r="AE1030" t="str">
            <v>Budget</v>
          </cell>
          <cell r="AF1030" t="str">
            <v>Var %</v>
          </cell>
          <cell r="AG1030">
            <v>38047</v>
          </cell>
          <cell r="AH1030" t="str">
            <v>Budget</v>
          </cell>
          <cell r="AI1030" t="str">
            <v>Var %</v>
          </cell>
          <cell r="AJ1030">
            <v>38047</v>
          </cell>
          <cell r="AK1030" t="str">
            <v>Budget</v>
          </cell>
          <cell r="AL1030" t="str">
            <v>Var %</v>
          </cell>
          <cell r="AM1030">
            <v>38047</v>
          </cell>
          <cell r="AN1030" t="str">
            <v>Budget</v>
          </cell>
          <cell r="AO1030" t="str">
            <v>Var %</v>
          </cell>
          <cell r="AP1030">
            <v>38047</v>
          </cell>
          <cell r="AQ1030" t="str">
            <v>Budget</v>
          </cell>
          <cell r="AR1030" t="str">
            <v>Var %</v>
          </cell>
        </row>
        <row r="1031">
          <cell r="W1031" t="str">
            <v>Food City Operations</v>
          </cell>
          <cell r="X1031">
            <v>77.833640000000003</v>
          </cell>
          <cell r="Y1031">
            <v>910.98566070940501</v>
          </cell>
          <cell r="Z1031">
            <v>91.456107010576957</v>
          </cell>
          <cell r="AA1031">
            <v>388.42644000000001</v>
          </cell>
          <cell r="AB1031">
            <v>517.20585622727288</v>
          </cell>
          <cell r="AC1031">
            <v>24.899063820863628</v>
          </cell>
          <cell r="AD1031">
            <v>922.04998999999998</v>
          </cell>
          <cell r="AE1031">
            <v>548.60428000000002</v>
          </cell>
          <cell r="AF1031">
            <v>-68.071964367467203</v>
          </cell>
          <cell r="AG1031">
            <v>717.81109000000004</v>
          </cell>
          <cell r="AH1031">
            <v>137.21132800000001</v>
          </cell>
          <cell r="AI1031">
            <v>-423.14273206363839</v>
          </cell>
          <cell r="AJ1031">
            <v>2106.1211600000001</v>
          </cell>
          <cell r="AK1031">
            <v>2114.0071249366779</v>
          </cell>
          <cell r="AL1031">
            <v>0.3730339809954023</v>
          </cell>
          <cell r="AM1031">
            <v>29.3475</v>
          </cell>
          <cell r="AN1031">
            <v>12.173</v>
          </cell>
          <cell r="AO1031">
            <v>-141.08683151236346</v>
          </cell>
          <cell r="AP1031">
            <v>0</v>
          </cell>
          <cell r="AQ1031">
            <v>0</v>
          </cell>
          <cell r="AR1031">
            <v>0</v>
          </cell>
        </row>
        <row r="1032">
          <cell r="W1032" t="str">
            <v>Wharf</v>
          </cell>
          <cell r="X1032">
            <v>50.702889999999996</v>
          </cell>
          <cell r="Y1032">
            <v>41.90705898413119</v>
          </cell>
          <cell r="Z1032">
            <v>-20.988900746290724</v>
          </cell>
          <cell r="AA1032">
            <v>10.4009</v>
          </cell>
          <cell r="AB1032">
            <v>11.090626845454544</v>
          </cell>
          <cell r="AC1032">
            <v>6.2190068700871155</v>
          </cell>
          <cell r="AD1032">
            <v>0.35049999999999998</v>
          </cell>
          <cell r="AE1032">
            <v>0.36028200000000005</v>
          </cell>
          <cell r="AF1032">
            <v>2.715095397494204</v>
          </cell>
          <cell r="AG1032">
            <v>0</v>
          </cell>
          <cell r="AH1032">
            <v>0</v>
          </cell>
          <cell r="AI1032">
            <v>0</v>
          </cell>
          <cell r="AJ1032">
            <v>61.454289999999993</v>
          </cell>
          <cell r="AK1032">
            <v>53.357967829585732</v>
          </cell>
          <cell r="AL1032">
            <v>-15.173595434279344</v>
          </cell>
          <cell r="AM1032">
            <v>0.13550000000000001</v>
          </cell>
          <cell r="AN1032">
            <v>0</v>
          </cell>
          <cell r="AO1032">
            <v>0</v>
          </cell>
          <cell r="AP1032">
            <v>45.010379999999998</v>
          </cell>
          <cell r="AQ1032">
            <v>0</v>
          </cell>
          <cell r="AR1032">
            <v>0</v>
          </cell>
        </row>
        <row r="1033">
          <cell r="W1033" t="str">
            <v>Cellar &amp; Packing Hall</v>
          </cell>
          <cell r="X1033">
            <v>1365.94714</v>
          </cell>
          <cell r="Y1033">
            <v>1591.2954880772395</v>
          </cell>
          <cell r="Z1033">
            <v>14.161313833015868</v>
          </cell>
          <cell r="AA1033">
            <v>165.39203000000001</v>
          </cell>
          <cell r="AB1033">
            <v>84.183432836363636</v>
          </cell>
          <cell r="AC1033">
            <v>-96.466245705957647</v>
          </cell>
          <cell r="AD1033">
            <v>13.50999</v>
          </cell>
          <cell r="AE1033">
            <v>8.2949730000000006</v>
          </cell>
          <cell r="AF1033">
            <v>-62.869607893841241</v>
          </cell>
          <cell r="AG1033">
            <v>12.8087</v>
          </cell>
          <cell r="AH1033">
            <v>5.8620000000000001</v>
          </cell>
          <cell r="AI1033">
            <v>-118.50392357557146</v>
          </cell>
          <cell r="AJ1033">
            <v>1557.65786</v>
          </cell>
          <cell r="AK1033">
            <v>1689.6358939136032</v>
          </cell>
          <cell r="AL1033">
            <v>7.8110339860211138</v>
          </cell>
          <cell r="AM1033">
            <v>6.1695000000000002</v>
          </cell>
          <cell r="AN1033">
            <v>6.1449999999999996</v>
          </cell>
          <cell r="AO1033">
            <v>-0.39869812855981507</v>
          </cell>
          <cell r="AP1033">
            <v>0</v>
          </cell>
          <cell r="AQ1033">
            <v>0</v>
          </cell>
          <cell r="AR1033">
            <v>0</v>
          </cell>
        </row>
        <row r="1034">
          <cell r="W1034" t="str">
            <v>SBUs</v>
          </cell>
          <cell r="X1034">
            <v>1494.4836700000001</v>
          </cell>
          <cell r="Y1034">
            <v>2544.1882077707755</v>
          </cell>
          <cell r="Z1034">
            <v>41.258918446545643</v>
          </cell>
          <cell r="AA1034">
            <v>564.21937000000003</v>
          </cell>
          <cell r="AB1034">
            <v>612.47991590909101</v>
          </cell>
          <cell r="AC1034">
            <v>7.879531174089009</v>
          </cell>
          <cell r="AD1034">
            <v>935.91048000000001</v>
          </cell>
          <cell r="AE1034">
            <v>557.25953500000003</v>
          </cell>
          <cell r="AF1034">
            <v>-67.948760176889564</v>
          </cell>
          <cell r="AG1034">
            <v>730.61979000000008</v>
          </cell>
          <cell r="AH1034">
            <v>143.073328</v>
          </cell>
          <cell r="AI1034">
            <v>-410.66107164292703</v>
          </cell>
          <cell r="AJ1034">
            <v>3725.2333100000005</v>
          </cell>
          <cell r="AK1034">
            <v>3857.0009866798673</v>
          </cell>
          <cell r="AL1034">
            <v>3.4163246816613673</v>
          </cell>
          <cell r="AM1034">
            <v>35.652500000000003</v>
          </cell>
          <cell r="AN1034">
            <v>18.317999999999998</v>
          </cell>
          <cell r="AO1034">
            <v>-94.63096407904797</v>
          </cell>
          <cell r="AP1034">
            <v>45.010379999999998</v>
          </cell>
          <cell r="AQ1034">
            <v>0</v>
          </cell>
          <cell r="AR1034">
            <v>0</v>
          </cell>
        </row>
        <row r="1035">
          <cell r="V1035" t="str">
            <v>Indirect - Support Service Units (SSUs)</v>
          </cell>
        </row>
        <row r="1036">
          <cell r="V1036" t="str">
            <v>Cost Centre</v>
          </cell>
          <cell r="X1036" t="str">
            <v>Staff Related</v>
          </cell>
          <cell r="AA1036" t="str">
            <v xml:space="preserve">Administration </v>
          </cell>
          <cell r="AD1036" t="str">
            <v xml:space="preserve">Establishment </v>
          </cell>
          <cell r="AG1036" t="str">
            <v>Selling &amp; Distribution</v>
          </cell>
          <cell r="AJ1036" t="str">
            <v>Expenses</v>
          </cell>
          <cell r="AM1036" t="str">
            <v>Depreciation</v>
          </cell>
          <cell r="AP1036" t="str">
            <v>Finance</v>
          </cell>
        </row>
        <row r="1037">
          <cell r="X1037">
            <v>38047</v>
          </cell>
          <cell r="Y1037" t="str">
            <v>Budget</v>
          </cell>
          <cell r="Z1037" t="str">
            <v>Var %</v>
          </cell>
          <cell r="AA1037">
            <v>38047</v>
          </cell>
          <cell r="AB1037" t="str">
            <v>Budget</v>
          </cell>
          <cell r="AC1037" t="str">
            <v>Var %</v>
          </cell>
          <cell r="AD1037">
            <v>38047</v>
          </cell>
          <cell r="AE1037" t="str">
            <v>Budget</v>
          </cell>
          <cell r="AF1037" t="str">
            <v>Var %</v>
          </cell>
          <cell r="AG1037">
            <v>38047</v>
          </cell>
          <cell r="AH1037" t="str">
            <v>Budget</v>
          </cell>
          <cell r="AI1037" t="str">
            <v>Var %</v>
          </cell>
          <cell r="AJ1037">
            <v>38047</v>
          </cell>
          <cell r="AK1037" t="str">
            <v>Budget</v>
          </cell>
          <cell r="AL1037" t="str">
            <v>Var %</v>
          </cell>
          <cell r="AM1037">
            <v>38047</v>
          </cell>
          <cell r="AN1037" t="str">
            <v>Budget</v>
          </cell>
          <cell r="AO1037" t="str">
            <v>Var %</v>
          </cell>
          <cell r="AP1037">
            <v>38047</v>
          </cell>
          <cell r="AQ1037" t="str">
            <v>Budget</v>
          </cell>
          <cell r="AR1037" t="str">
            <v>Var %</v>
          </cell>
        </row>
        <row r="1038">
          <cell r="W1038" t="str">
            <v>Mngt &amp; Secretarial</v>
          </cell>
          <cell r="X1038">
            <v>-1124.6124199999999</v>
          </cell>
          <cell r="Y1038">
            <v>1036.7523252438905</v>
          </cell>
          <cell r="Z1038">
            <v>208.47455005566937</v>
          </cell>
          <cell r="AA1038">
            <v>3455.3846600000002</v>
          </cell>
          <cell r="AB1038">
            <v>1050.3755561272731</v>
          </cell>
          <cell r="AC1038">
            <v>-228.96659102959114</v>
          </cell>
          <cell r="AD1038">
            <v>129.27341000000001</v>
          </cell>
          <cell r="AE1038">
            <v>144.59911963636364</v>
          </cell>
          <cell r="AF1038">
            <v>10.598757222661218</v>
          </cell>
          <cell r="AG1038">
            <v>96.624549999999999</v>
          </cell>
          <cell r="AH1038">
            <v>3.1981999999999999</v>
          </cell>
          <cell r="AI1038">
            <v>-2921.2166218497905</v>
          </cell>
          <cell r="AJ1038">
            <v>2556.6702</v>
          </cell>
          <cell r="AK1038">
            <v>2234.925201007527</v>
          </cell>
          <cell r="AL1038">
            <v>-14.396231195899849</v>
          </cell>
          <cell r="AM1038">
            <v>185.71549999999999</v>
          </cell>
          <cell r="AN1038">
            <v>235.40100000000001</v>
          </cell>
          <cell r="AO1038">
            <v>21.106749758922017</v>
          </cell>
          <cell r="AP1038">
            <v>0</v>
          </cell>
          <cell r="AQ1038">
            <v>0</v>
          </cell>
          <cell r="AR1038">
            <v>0</v>
          </cell>
        </row>
        <row r="1039">
          <cell r="W1039" t="str">
            <v>Finance</v>
          </cell>
          <cell r="X1039">
            <v>767.02680999999995</v>
          </cell>
          <cell r="Y1039">
            <v>788.58681720688992</v>
          </cell>
          <cell r="Z1039">
            <v>2.7340055319785521</v>
          </cell>
          <cell r="AA1039">
            <v>380.59809000000001</v>
          </cell>
          <cell r="AB1039">
            <v>152.91815317272727</v>
          </cell>
          <cell r="AC1039">
            <v>-148.89006445827201</v>
          </cell>
          <cell r="AD1039">
            <v>17.280840000000001</v>
          </cell>
          <cell r="AE1039">
            <v>24.28506218181818</v>
          </cell>
          <cell r="AF1039">
            <v>28.841689304226374</v>
          </cell>
          <cell r="AG1039">
            <v>23.2715</v>
          </cell>
          <cell r="AH1039">
            <v>5.9887420000000002</v>
          </cell>
          <cell r="AI1039">
            <v>-288.58745292417007</v>
          </cell>
          <cell r="AJ1039">
            <v>1188.17724</v>
          </cell>
          <cell r="AK1039">
            <v>971.77877456143528</v>
          </cell>
          <cell r="AL1039">
            <v>-22.268284830179123</v>
          </cell>
          <cell r="AM1039">
            <v>7.4725000000000001</v>
          </cell>
          <cell r="AN1039">
            <v>8.625</v>
          </cell>
          <cell r="AO1039">
            <v>13.362318840579709</v>
          </cell>
          <cell r="AP1039">
            <v>0</v>
          </cell>
          <cell r="AQ1039">
            <v>0</v>
          </cell>
          <cell r="AR1039">
            <v>0</v>
          </cell>
        </row>
        <row r="1040">
          <cell r="W1040" t="str">
            <v>Human Resources</v>
          </cell>
          <cell r="X1040">
            <v>541.59243000000004</v>
          </cell>
          <cell r="Y1040">
            <v>404.81838005522422</v>
          </cell>
          <cell r="Z1040">
            <v>-33.786521730094734</v>
          </cell>
          <cell r="AA1040">
            <v>835.09871999999996</v>
          </cell>
          <cell r="AB1040">
            <v>683.95342864545444</v>
          </cell>
          <cell r="AC1040">
            <v>-22.098769451873853</v>
          </cell>
          <cell r="AD1040">
            <v>10.06481</v>
          </cell>
          <cell r="AE1040">
            <v>9.1014894545454545</v>
          </cell>
          <cell r="AF1040">
            <v>-10.584207675738663</v>
          </cell>
          <cell r="AG1040">
            <v>47.210500000000003</v>
          </cell>
          <cell r="AH1040">
            <v>12.017826000000001</v>
          </cell>
          <cell r="AI1040">
            <v>-292.83727356345486</v>
          </cell>
          <cell r="AJ1040">
            <v>1433.9664600000001</v>
          </cell>
          <cell r="AK1040">
            <v>1109.8911241552241</v>
          </cell>
          <cell r="AL1040">
            <v>-29.198840209794518</v>
          </cell>
          <cell r="AM1040">
            <v>32.336500000000001</v>
          </cell>
          <cell r="AN1040">
            <v>38.874000000000002</v>
          </cell>
          <cell r="AO1040">
            <v>16.817152852806505</v>
          </cell>
          <cell r="AP1040">
            <v>0</v>
          </cell>
          <cell r="AQ1040">
            <v>0</v>
          </cell>
          <cell r="AR1040">
            <v>0</v>
          </cell>
        </row>
        <row r="1041">
          <cell r="W1041" t="str">
            <v>Maintenance</v>
          </cell>
          <cell r="X1041">
            <v>41.706479999999999</v>
          </cell>
          <cell r="Y1041">
            <v>40.293478865583459</v>
          </cell>
          <cell r="Z1041">
            <v>-3.5067737365895448</v>
          </cell>
          <cell r="AA1041">
            <v>25.3005</v>
          </cell>
          <cell r="AB1041">
            <v>24.646693218181817</v>
          </cell>
          <cell r="AC1041">
            <v>-2.6527160298155978</v>
          </cell>
          <cell r="AD1041">
            <v>-99.700500000000005</v>
          </cell>
          <cell r="AE1041">
            <v>21.057709090909089</v>
          </cell>
          <cell r="AF1041">
            <v>573.46318428837128</v>
          </cell>
          <cell r="AG1041">
            <v>0</v>
          </cell>
          <cell r="AH1041">
            <v>1.3585000000000002E-2</v>
          </cell>
          <cell r="AI1041">
            <v>100</v>
          </cell>
          <cell r="AJ1041">
            <v>-32.693520000000007</v>
          </cell>
          <cell r="AK1041">
            <v>86.011466174674368</v>
          </cell>
          <cell r="AL1041">
            <v>138.01065306061071</v>
          </cell>
          <cell r="AM1041">
            <v>2.3144999999999998</v>
          </cell>
          <cell r="AN1041">
            <v>2.8820000000000001</v>
          </cell>
          <cell r="AO1041">
            <v>19.691186675919511</v>
          </cell>
          <cell r="AP1041">
            <v>0</v>
          </cell>
          <cell r="AQ1041">
            <v>0</v>
          </cell>
          <cell r="AR1041">
            <v>0</v>
          </cell>
        </row>
        <row r="1042">
          <cell r="W1042" t="str">
            <v>Internal Audit</v>
          </cell>
          <cell r="X1042">
            <v>106.06214</v>
          </cell>
          <cell r="Y1042">
            <v>121.7017602404642</v>
          </cell>
          <cell r="Z1042">
            <v>12.850775707403642</v>
          </cell>
          <cell r="AA1042">
            <v>88.470160000000007</v>
          </cell>
          <cell r="AB1042">
            <v>39.594249845454542</v>
          </cell>
          <cell r="AC1042">
            <v>-123.44194004260562</v>
          </cell>
          <cell r="AD1042">
            <v>6.0442900000000002</v>
          </cell>
          <cell r="AE1042">
            <v>3.9356367272727266</v>
          </cell>
          <cell r="AF1042">
            <v>-53.578452963277037</v>
          </cell>
          <cell r="AG1042">
            <v>0</v>
          </cell>
          <cell r="AH1042">
            <v>0</v>
          </cell>
          <cell r="AI1042">
            <v>0</v>
          </cell>
          <cell r="AJ1042">
            <v>200.57659000000001</v>
          </cell>
          <cell r="AK1042">
            <v>165.23164681319147</v>
          </cell>
          <cell r="AL1042">
            <v>-21.391146229250516</v>
          </cell>
          <cell r="AM1042">
            <v>0</v>
          </cell>
          <cell r="AN1042">
            <v>0</v>
          </cell>
          <cell r="AO1042">
            <v>0</v>
          </cell>
          <cell r="AP1042">
            <v>0</v>
          </cell>
          <cell r="AQ1042">
            <v>0</v>
          </cell>
          <cell r="AR1042">
            <v>0</v>
          </cell>
        </row>
        <row r="1043">
          <cell r="W1043" t="str">
            <v>Data Processing</v>
          </cell>
          <cell r="X1043">
            <v>181.34058999999999</v>
          </cell>
          <cell r="Y1043">
            <v>268.8964489941319</v>
          </cell>
          <cell r="Z1043">
            <v>32.561180826914757</v>
          </cell>
          <cell r="AA1043">
            <v>211.69564</v>
          </cell>
          <cell r="AB1043">
            <v>102.16689754545455</v>
          </cell>
          <cell r="AC1043">
            <v>-107.20570467143291</v>
          </cell>
          <cell r="AD1043">
            <v>363.17081000000002</v>
          </cell>
          <cell r="AE1043">
            <v>89.465253818181822</v>
          </cell>
          <cell r="AF1043">
            <v>-305.93503567101453</v>
          </cell>
          <cell r="AG1043">
            <v>23.000499999999999</v>
          </cell>
          <cell r="AH1043">
            <v>21.899249999999999</v>
          </cell>
          <cell r="AI1043">
            <v>-5.0287110289165167</v>
          </cell>
          <cell r="AJ1043">
            <v>779.20753999999999</v>
          </cell>
          <cell r="AK1043">
            <v>482.42785035776825</v>
          </cell>
          <cell r="AL1043">
            <v>-61.51794292600232</v>
          </cell>
          <cell r="AM1043">
            <v>106.63883</v>
          </cell>
          <cell r="AN1043">
            <v>86.639785454545446</v>
          </cell>
          <cell r="AO1043">
            <v>-23.082980227307718</v>
          </cell>
          <cell r="AP1043">
            <v>0</v>
          </cell>
          <cell r="AQ1043">
            <v>0</v>
          </cell>
          <cell r="AR1043">
            <v>0</v>
          </cell>
        </row>
        <row r="1044">
          <cell r="W1044" t="str">
            <v>Cash</v>
          </cell>
          <cell r="X1044">
            <v>19.165579999999999</v>
          </cell>
          <cell r="Y1044">
            <v>40.857574984375873</v>
          </cell>
          <cell r="Z1044">
            <v>53.091733889421953</v>
          </cell>
          <cell r="AA1044">
            <v>19.50638</v>
          </cell>
          <cell r="AB1044">
            <v>7.736911254545455</v>
          </cell>
          <cell r="AC1044">
            <v>-152.12102553897014</v>
          </cell>
          <cell r="AD1044">
            <v>0</v>
          </cell>
          <cell r="AE1044">
            <v>7.6363636363636356E-2</v>
          </cell>
          <cell r="AF1044">
            <v>100</v>
          </cell>
          <cell r="AG1044">
            <v>0</v>
          </cell>
          <cell r="AH1044">
            <v>34.567050000000002</v>
          </cell>
          <cell r="AI1044">
            <v>100</v>
          </cell>
          <cell r="AJ1044">
            <v>38.671959999999999</v>
          </cell>
          <cell r="AK1044">
            <v>83.237899875284967</v>
          </cell>
          <cell r="AL1044">
            <v>53.54044244515773</v>
          </cell>
          <cell r="AM1044">
            <v>0.20749999999999999</v>
          </cell>
          <cell r="AN1044">
            <v>0.25900000000000001</v>
          </cell>
          <cell r="AO1044">
            <v>19.884169884169893</v>
          </cell>
          <cell r="AP1044">
            <v>0</v>
          </cell>
          <cell r="AQ1044">
            <v>0</v>
          </cell>
          <cell r="AR1044">
            <v>0</v>
          </cell>
        </row>
        <row r="1045">
          <cell r="W1045" t="str">
            <v>Security</v>
          </cell>
          <cell r="X1045">
            <v>167.82001</v>
          </cell>
          <cell r="Y1045">
            <v>152.87275520762327</v>
          </cell>
          <cell r="Z1045">
            <v>-9.7775792501915681</v>
          </cell>
          <cell r="AA1045">
            <v>2.9346000000000001</v>
          </cell>
          <cell r="AB1045">
            <v>7.8238798818181801</v>
          </cell>
          <cell r="AC1045">
            <v>62.491755441955569</v>
          </cell>
          <cell r="AD1045">
            <v>2.1035300000000001</v>
          </cell>
          <cell r="AE1045">
            <v>3.3630109090909088</v>
          </cell>
          <cell r="AF1045">
            <v>37.450990886954102</v>
          </cell>
          <cell r="AG1045">
            <v>0</v>
          </cell>
          <cell r="AH1045">
            <v>0</v>
          </cell>
          <cell r="AI1045">
            <v>0</v>
          </cell>
          <cell r="AJ1045">
            <v>172.85813999999999</v>
          </cell>
          <cell r="AK1045">
            <v>164.05964599853237</v>
          </cell>
          <cell r="AL1045">
            <v>-5.3629848753582738</v>
          </cell>
          <cell r="AM1045">
            <v>0</v>
          </cell>
          <cell r="AN1045">
            <v>0</v>
          </cell>
          <cell r="AO1045">
            <v>0</v>
          </cell>
          <cell r="AP1045">
            <v>0</v>
          </cell>
          <cell r="AQ1045">
            <v>0</v>
          </cell>
          <cell r="AR1045">
            <v>0</v>
          </cell>
        </row>
        <row r="1046">
          <cell r="W1046" t="str">
            <v>Work Shop</v>
          </cell>
          <cell r="X1046">
            <v>0</v>
          </cell>
          <cell r="Y1046">
            <v>0</v>
          </cell>
          <cell r="Z1046">
            <v>0</v>
          </cell>
          <cell r="AA1046">
            <v>0</v>
          </cell>
          <cell r="AB1046">
            <v>0</v>
          </cell>
          <cell r="AC1046">
            <v>0</v>
          </cell>
          <cell r="AD1046">
            <v>0</v>
          </cell>
          <cell r="AE1046">
            <v>0</v>
          </cell>
          <cell r="AF1046">
            <v>0</v>
          </cell>
          <cell r="AG1046">
            <v>0</v>
          </cell>
          <cell r="AH1046">
            <v>0</v>
          </cell>
          <cell r="AI1046">
            <v>0</v>
          </cell>
          <cell r="AJ1046">
            <v>0</v>
          </cell>
          <cell r="AK1046">
            <v>0</v>
          </cell>
          <cell r="AL1046">
            <v>0</v>
          </cell>
          <cell r="AM1046">
            <v>0</v>
          </cell>
          <cell r="AN1046">
            <v>0</v>
          </cell>
          <cell r="AO1046">
            <v>0</v>
          </cell>
          <cell r="AP1046">
            <v>0</v>
          </cell>
          <cell r="AQ1046">
            <v>0</v>
          </cell>
          <cell r="AR1046">
            <v>0</v>
          </cell>
        </row>
        <row r="1047">
          <cell r="W1047" t="str">
            <v>Refrigeration Unit</v>
          </cell>
          <cell r="X1047">
            <v>211.04683</v>
          </cell>
          <cell r="Y1047">
            <v>135.22716843784784</v>
          </cell>
          <cell r="Z1047">
            <v>-56.068364396019923</v>
          </cell>
          <cell r="AA1047">
            <v>117.64389</v>
          </cell>
          <cell r="AB1047">
            <v>30.768068863636362</v>
          </cell>
          <cell r="AC1047">
            <v>-282.3570810420245</v>
          </cell>
          <cell r="AD1047">
            <v>25.25797</v>
          </cell>
          <cell r="AE1047">
            <v>16.156511999999999</v>
          </cell>
          <cell r="AF1047">
            <v>-56.333062482793331</v>
          </cell>
          <cell r="AG1047">
            <v>59.012500000000003</v>
          </cell>
          <cell r="AH1047">
            <v>1.4124000000000003E-2</v>
          </cell>
          <cell r="AI1047">
            <v>0</v>
          </cell>
          <cell r="AJ1047">
            <v>412.96118999999999</v>
          </cell>
          <cell r="AK1047">
            <v>182.1658733014842</v>
          </cell>
          <cell r="AL1047">
            <v>-126.69514465892848</v>
          </cell>
          <cell r="AM1047">
            <v>0.67349999999999999</v>
          </cell>
          <cell r="AN1047">
            <v>0.66400000000000003</v>
          </cell>
          <cell r="AO1047">
            <v>-1.430722891566258</v>
          </cell>
          <cell r="AP1047">
            <v>0</v>
          </cell>
          <cell r="AQ1047">
            <v>0</v>
          </cell>
          <cell r="AR1047">
            <v>0</v>
          </cell>
        </row>
        <row r="1048">
          <cell r="W1048" t="str">
            <v>General</v>
          </cell>
          <cell r="X1048">
            <v>100.47391</v>
          </cell>
          <cell r="Y1048">
            <v>71.616722545454522</v>
          </cell>
          <cell r="Z1048">
            <v>-40.293923582205359</v>
          </cell>
          <cell r="AA1048">
            <v>187.82025999999999</v>
          </cell>
          <cell r="AB1048">
            <v>491.79960113636366</v>
          </cell>
          <cell r="AC1048">
            <v>61.809594890679442</v>
          </cell>
          <cell r="AD1048">
            <v>2076.5918900000001</v>
          </cell>
          <cell r="AE1048">
            <v>1980.0574402727266</v>
          </cell>
          <cell r="AF1048">
            <v>-4.8753358242969576</v>
          </cell>
          <cell r="AG1048">
            <v>374.25499000000002</v>
          </cell>
          <cell r="AH1048">
            <v>36.102587</v>
          </cell>
          <cell r="AI1048">
            <v>-936.64313585062496</v>
          </cell>
          <cell r="AJ1048">
            <v>2739.1410500000002</v>
          </cell>
          <cell r="AK1048">
            <v>2579.5763509545445</v>
          </cell>
          <cell r="AL1048">
            <v>-6.1856939798044923</v>
          </cell>
          <cell r="AM1048">
            <v>256.09321999999997</v>
          </cell>
          <cell r="AN1048">
            <v>61.339649999999999</v>
          </cell>
          <cell r="AO1048">
            <v>-317.50029548587247</v>
          </cell>
          <cell r="AP1048">
            <v>4252.2134500000002</v>
          </cell>
          <cell r="AQ1048">
            <v>6376.6640083412749</v>
          </cell>
          <cell r="AR1048">
            <v>33.316018462981489</v>
          </cell>
        </row>
        <row r="1049">
          <cell r="W1049" t="str">
            <v>Whouse M'kuliya</v>
          </cell>
          <cell r="X1049">
            <v>140</v>
          </cell>
          <cell r="Y1049">
            <v>0</v>
          </cell>
          <cell r="Z1049">
            <v>0</v>
          </cell>
          <cell r="AA1049">
            <v>130</v>
          </cell>
          <cell r="AB1049">
            <v>0</v>
          </cell>
          <cell r="AC1049">
            <v>0</v>
          </cell>
          <cell r="AD1049">
            <v>689</v>
          </cell>
          <cell r="AE1049">
            <v>0</v>
          </cell>
          <cell r="AF1049">
            <v>0</v>
          </cell>
          <cell r="AG1049">
            <v>0</v>
          </cell>
          <cell r="AH1049">
            <v>0</v>
          </cell>
          <cell r="AI1049">
            <v>0</v>
          </cell>
          <cell r="AJ1049">
            <v>959</v>
          </cell>
          <cell r="AK1049">
            <v>0</v>
          </cell>
          <cell r="AL1049">
            <v>0</v>
          </cell>
          <cell r="AM1049">
            <v>0</v>
          </cell>
          <cell r="AN1049">
            <v>0</v>
          </cell>
          <cell r="AO1049">
            <v>0</v>
          </cell>
          <cell r="AP1049">
            <v>0</v>
          </cell>
          <cell r="AQ1049">
            <v>0</v>
          </cell>
          <cell r="AR1049">
            <v>0</v>
          </cell>
        </row>
        <row r="1050">
          <cell r="W1050" t="str">
            <v>SSUs</v>
          </cell>
          <cell r="X1050">
            <v>1151.6223600000001</v>
          </cell>
          <cell r="Y1050">
            <v>3061.623431781486</v>
          </cell>
          <cell r="Z1050">
            <v>62.385238235196724</v>
          </cell>
          <cell r="AA1050">
            <v>5454.4529000000002</v>
          </cell>
          <cell r="AB1050">
            <v>2591.7834396909093</v>
          </cell>
          <cell r="AC1050">
            <v>-110.45172279712101</v>
          </cell>
          <cell r="AD1050">
            <v>3219.0870500000001</v>
          </cell>
          <cell r="AE1050">
            <v>2292.0975977272719</v>
          </cell>
          <cell r="AF1050">
            <v>-40.442843847133034</v>
          </cell>
          <cell r="AG1050">
            <v>623.37454000000002</v>
          </cell>
          <cell r="AH1050">
            <v>113.80136399999999</v>
          </cell>
          <cell r="AI1050">
            <v>-447.77422527202759</v>
          </cell>
          <cell r="AJ1050">
            <v>10448.53685</v>
          </cell>
          <cell r="AK1050">
            <v>8059.3058331996654</v>
          </cell>
          <cell r="AL1050">
            <v>-29.645617950842478</v>
          </cell>
          <cell r="AM1050">
            <v>591.45204999999987</v>
          </cell>
          <cell r="AN1050">
            <v>434.68443545454551</v>
          </cell>
          <cell r="AO1050">
            <v>-36.064694697780915</v>
          </cell>
          <cell r="AP1050">
            <v>4252.2134500000002</v>
          </cell>
          <cell r="AQ1050">
            <v>6376.6640083412749</v>
          </cell>
          <cell r="AR1050">
            <v>33.316018462981489</v>
          </cell>
        </row>
        <row r="1051">
          <cell r="W1051" t="str">
            <v>Total</v>
          </cell>
          <cell r="X1051">
            <v>2646.1060299999999</v>
          </cell>
          <cell r="Y1051">
            <v>5605.8116395522611</v>
          </cell>
          <cell r="Z1051">
            <v>52.797093442630448</v>
          </cell>
          <cell r="AA1051">
            <v>6018.67227</v>
          </cell>
          <cell r="AB1051">
            <v>3204.2633556000001</v>
          </cell>
          <cell r="AC1051">
            <v>-87.83325844554372</v>
          </cell>
          <cell r="AD1051">
            <v>4154.9975300000006</v>
          </cell>
          <cell r="AE1051">
            <v>2849.3571327272721</v>
          </cell>
          <cell r="AF1051">
            <v>-45.822279779405193</v>
          </cell>
          <cell r="AG1051">
            <v>1353.99433</v>
          </cell>
          <cell r="AH1051">
            <v>256.87469199999998</v>
          </cell>
          <cell r="AI1051">
            <v>-427.10304758243768</v>
          </cell>
          <cell r="AJ1051">
            <v>14173.77016</v>
          </cell>
          <cell r="AK1051">
            <v>11916.306819879534</v>
          </cell>
          <cell r="AL1051">
            <v>-18.944320369079655</v>
          </cell>
          <cell r="AM1051">
            <v>627.1045499999999</v>
          </cell>
          <cell r="AN1051">
            <v>453.00243545454549</v>
          </cell>
          <cell r="AO1051">
            <v>-38.432931242579137</v>
          </cell>
          <cell r="AP1051">
            <v>4297.2238299999999</v>
          </cell>
          <cell r="AQ1051">
            <v>6376.6640083412749</v>
          </cell>
          <cell r="AR1051">
            <v>32.610157530978142</v>
          </cell>
        </row>
      </sheetData>
      <sheetData sheetId="3" refreshError="1">
        <row r="3">
          <cell r="B3">
            <v>21</v>
          </cell>
          <cell r="P3">
            <v>0</v>
          </cell>
          <cell r="T3" t="str">
            <v>Schedule 3</v>
          </cell>
        </row>
        <row r="4">
          <cell r="B4" t="str">
            <v>CARGILLS ( CEYLON ) LTD</v>
          </cell>
        </row>
        <row r="6">
          <cell r="B6" t="str">
            <v xml:space="preserve">Direct Expenses by Profit Centres/Divisions  -Twelve  months ended 31st March 2004 </v>
          </cell>
        </row>
        <row r="7">
          <cell r="C7" t="str">
            <v>YTD V YTD</v>
          </cell>
          <cell r="U7">
            <v>38154.357810300928</v>
          </cell>
        </row>
        <row r="8">
          <cell r="B8" t="str">
            <v>Profit Centre</v>
          </cell>
          <cell r="D8" t="str">
            <v>Staff Related</v>
          </cell>
          <cell r="G8" t="str">
            <v xml:space="preserve">Administration </v>
          </cell>
          <cell r="J8" t="str">
            <v xml:space="preserve">Establishment </v>
          </cell>
          <cell r="M8" t="str">
            <v>Selling &amp; Distribution</v>
          </cell>
          <cell r="P8" t="str">
            <v>Direct Expenses</v>
          </cell>
          <cell r="S8" t="str">
            <v>D&amp;A and Finance</v>
          </cell>
        </row>
        <row r="9">
          <cell r="D9">
            <v>38047</v>
          </cell>
          <cell r="E9">
            <v>37681</v>
          </cell>
          <cell r="F9" t="str">
            <v>Var %</v>
          </cell>
          <cell r="G9">
            <v>38047</v>
          </cell>
          <cell r="H9">
            <v>37681</v>
          </cell>
          <cell r="I9" t="str">
            <v>Var %</v>
          </cell>
          <cell r="J9">
            <v>38047</v>
          </cell>
          <cell r="K9">
            <v>37681</v>
          </cell>
          <cell r="L9" t="str">
            <v>Var %</v>
          </cell>
          <cell r="M9">
            <v>38047</v>
          </cell>
          <cell r="N9">
            <v>37681</v>
          </cell>
          <cell r="O9" t="str">
            <v>Var %</v>
          </cell>
          <cell r="P9">
            <v>38047</v>
          </cell>
          <cell r="Q9">
            <v>37681</v>
          </cell>
          <cell r="R9" t="str">
            <v>Var %</v>
          </cell>
          <cell r="S9">
            <v>38047</v>
          </cell>
          <cell r="T9">
            <v>37681</v>
          </cell>
          <cell r="U9" t="str">
            <v>Var %</v>
          </cell>
        </row>
        <row r="10">
          <cell r="C10" t="str">
            <v>Staples Street</v>
          </cell>
          <cell r="D10">
            <v>13294.020479999999</v>
          </cell>
          <cell r="E10">
            <v>13045.547399999999</v>
          </cell>
          <cell r="F10">
            <v>-1.9046581364611788</v>
          </cell>
          <cell r="G10">
            <v>1908.8318200000001</v>
          </cell>
          <cell r="H10">
            <v>1832.4159400000001</v>
          </cell>
          <cell r="I10">
            <v>-4.1702256748541497</v>
          </cell>
          <cell r="J10">
            <v>21574.000039999999</v>
          </cell>
          <cell r="K10">
            <v>20695.54348</v>
          </cell>
          <cell r="L10">
            <v>-4.2446653350704793</v>
          </cell>
          <cell r="M10">
            <v>15678.120699999999</v>
          </cell>
          <cell r="N10">
            <v>13028.037969999999</v>
          </cell>
          <cell r="O10">
            <v>-20.3413801533463</v>
          </cell>
          <cell r="P10">
            <v>52454.973039999997</v>
          </cell>
          <cell r="Q10">
            <v>48601.54479</v>
          </cell>
          <cell r="R10">
            <v>-7.9286126946171844</v>
          </cell>
          <cell r="S10">
            <v>5759.0972599999996</v>
          </cell>
          <cell r="T10">
            <v>5856.5282699999998</v>
          </cell>
          <cell r="U10">
            <v>1.6636308322643893</v>
          </cell>
        </row>
        <row r="11">
          <cell r="C11" t="str">
            <v>Kandy</v>
          </cell>
          <cell r="D11">
            <v>8116.9699000000001</v>
          </cell>
          <cell r="E11">
            <v>7206.2156999999997</v>
          </cell>
          <cell r="F11">
            <v>-12.63845321754663</v>
          </cell>
          <cell r="G11">
            <v>947.99766</v>
          </cell>
          <cell r="H11">
            <v>1137.1767500000001</v>
          </cell>
          <cell r="I11">
            <v>16.635856299383544</v>
          </cell>
          <cell r="J11">
            <v>10353.797549999999</v>
          </cell>
          <cell r="K11">
            <v>10075.906730000001</v>
          </cell>
          <cell r="L11">
            <v>-2.7579733263370398</v>
          </cell>
          <cell r="M11">
            <v>7758.6067199999998</v>
          </cell>
          <cell r="N11">
            <v>5990.0491899999997</v>
          </cell>
          <cell r="O11">
            <v>-29.524924986467433</v>
          </cell>
          <cell r="P11">
            <v>27177.37183</v>
          </cell>
          <cell r="Q11">
            <v>24409.34837</v>
          </cell>
          <cell r="R11">
            <v>-11.34001374408669</v>
          </cell>
          <cell r="S11">
            <v>4773.0047399999994</v>
          </cell>
          <cell r="T11">
            <v>3818.0907999999999</v>
          </cell>
          <cell r="U11">
            <v>-25.010247006173859</v>
          </cell>
        </row>
        <row r="12">
          <cell r="C12" t="str">
            <v>Mount Lavinia</v>
          </cell>
          <cell r="D12">
            <v>6649.2730600000004</v>
          </cell>
          <cell r="E12">
            <v>6262.8422099999998</v>
          </cell>
          <cell r="F12">
            <v>-6.1702153278423513</v>
          </cell>
          <cell r="G12">
            <v>833.46689000000003</v>
          </cell>
          <cell r="H12">
            <v>825.95174999999995</v>
          </cell>
          <cell r="I12">
            <v>-0.90987639411141008</v>
          </cell>
          <cell r="J12">
            <v>6784.1991799999996</v>
          </cell>
          <cell r="K12">
            <v>6399.4654399999999</v>
          </cell>
          <cell r="L12">
            <v>-6.0119668370300579</v>
          </cell>
          <cell r="M12">
            <v>5000.6980700000004</v>
          </cell>
          <cell r="N12">
            <v>3338.7118700000001</v>
          </cell>
          <cell r="O12">
            <v>-49.779264120805976</v>
          </cell>
          <cell r="P12">
            <v>19267.637199999997</v>
          </cell>
          <cell r="Q12">
            <v>16826.971269999998</v>
          </cell>
          <cell r="R12">
            <v>-14.504487413913553</v>
          </cell>
          <cell r="S12">
            <v>1010.8280999999999</v>
          </cell>
          <cell r="T12">
            <v>1101.6261999999999</v>
          </cell>
          <cell r="U12">
            <v>8.2421877765797493</v>
          </cell>
        </row>
        <row r="13">
          <cell r="C13" t="str">
            <v>Wellawatte</v>
          </cell>
          <cell r="D13">
            <v>4472.8701600000004</v>
          </cell>
          <cell r="E13">
            <v>3145.07456</v>
          </cell>
          <cell r="F13">
            <v>-42.218255073736643</v>
          </cell>
          <cell r="G13">
            <v>724.44018000000005</v>
          </cell>
          <cell r="H13">
            <v>351.70447999999999</v>
          </cell>
          <cell r="I13">
            <v>-105.97979872192703</v>
          </cell>
          <cell r="J13">
            <v>7194.9060499999996</v>
          </cell>
          <cell r="K13">
            <v>3636.1377699999998</v>
          </cell>
          <cell r="L13">
            <v>-97.872206860852799</v>
          </cell>
          <cell r="M13">
            <v>2497.7939900000001</v>
          </cell>
          <cell r="N13">
            <v>1800.9450300000001</v>
          </cell>
          <cell r="O13">
            <v>-38.693516370124861</v>
          </cell>
          <cell r="P13">
            <v>14890.01038</v>
          </cell>
          <cell r="Q13">
            <v>8933.8618399999996</v>
          </cell>
          <cell r="R13">
            <v>-66.669360313277465</v>
          </cell>
          <cell r="S13">
            <v>322.63249999999999</v>
          </cell>
          <cell r="T13">
            <v>359.15969999999999</v>
          </cell>
          <cell r="U13">
            <v>10.17018334740785</v>
          </cell>
        </row>
        <row r="14">
          <cell r="C14" t="str">
            <v>Bambalapitiya</v>
          </cell>
          <cell r="D14">
            <v>6270.5689199999997</v>
          </cell>
          <cell r="E14">
            <v>5998.30537</v>
          </cell>
          <cell r="F14">
            <v>-4.5390078231378821</v>
          </cell>
          <cell r="G14">
            <v>840.78177000000005</v>
          </cell>
          <cell r="H14">
            <v>1003.38171</v>
          </cell>
          <cell r="I14">
            <v>16.205192737667097</v>
          </cell>
          <cell r="J14">
            <v>12433.527050000001</v>
          </cell>
          <cell r="K14">
            <v>12196.52663</v>
          </cell>
          <cell r="L14">
            <v>-1.9431796214591655</v>
          </cell>
          <cell r="M14">
            <v>4271.0537700000004</v>
          </cell>
          <cell r="N14">
            <v>3975.1170099999999</v>
          </cell>
          <cell r="O14">
            <v>-7.4447307904528959</v>
          </cell>
          <cell r="P14">
            <v>23815.931510000002</v>
          </cell>
          <cell r="Q14">
            <v>23173.330719999998</v>
          </cell>
          <cell r="R14">
            <v>-2.7730186815372222</v>
          </cell>
          <cell r="S14">
            <v>795.11073999999996</v>
          </cell>
          <cell r="T14">
            <v>799.12552000000005</v>
          </cell>
          <cell r="U14">
            <v>0.50239666979976894</v>
          </cell>
        </row>
        <row r="15">
          <cell r="C15" t="str">
            <v>Nuwara Eliya</v>
          </cell>
          <cell r="D15">
            <v>3234.3655399999998</v>
          </cell>
          <cell r="E15">
            <v>2867.2118500000001</v>
          </cell>
          <cell r="F15">
            <v>-12.805251554746455</v>
          </cell>
          <cell r="G15">
            <v>642.88905999999997</v>
          </cell>
          <cell r="H15">
            <v>644.97438</v>
          </cell>
          <cell r="I15">
            <v>0.32331826885899317</v>
          </cell>
          <cell r="J15">
            <v>4494.6763600000004</v>
          </cell>
          <cell r="K15">
            <v>4206.4139299999997</v>
          </cell>
          <cell r="L15">
            <v>-6.8529259078409508</v>
          </cell>
          <cell r="M15">
            <v>2481.4772499999999</v>
          </cell>
          <cell r="N15">
            <v>1733.3458900000001</v>
          </cell>
          <cell r="O15">
            <v>-43.161111946329413</v>
          </cell>
          <cell r="P15">
            <v>10853.40821</v>
          </cell>
          <cell r="Q15">
            <v>9451.9460500000005</v>
          </cell>
          <cell r="R15">
            <v>-14.827234017062541</v>
          </cell>
          <cell r="S15">
            <v>2193.20676</v>
          </cell>
          <cell r="T15">
            <v>2234.2334300000002</v>
          </cell>
          <cell r="U15">
            <v>1.8362750037269022</v>
          </cell>
        </row>
        <row r="16">
          <cell r="C16" t="str">
            <v>Bandarawela</v>
          </cell>
          <cell r="D16">
            <v>3425.9648999999999</v>
          </cell>
          <cell r="E16">
            <v>2980.1329300000002</v>
          </cell>
          <cell r="F16">
            <v>-14.960137029860601</v>
          </cell>
          <cell r="G16">
            <v>650.14945999999998</v>
          </cell>
          <cell r="H16">
            <v>611.54484000000002</v>
          </cell>
          <cell r="I16">
            <v>-6.3126393152135751</v>
          </cell>
          <cell r="J16">
            <v>3777.7316900000001</v>
          </cell>
          <cell r="K16">
            <v>3419.5375600000002</v>
          </cell>
          <cell r="L16">
            <v>-10.474928955013432</v>
          </cell>
          <cell r="M16">
            <v>2600.4845399999999</v>
          </cell>
          <cell r="N16">
            <v>1825.6623999999999</v>
          </cell>
          <cell r="O16">
            <v>-42.44060347630537</v>
          </cell>
          <cell r="P16">
            <v>10454.33059</v>
          </cell>
          <cell r="Q16">
            <v>8836.8777300000002</v>
          </cell>
          <cell r="R16">
            <v>-18.303442793023677</v>
          </cell>
          <cell r="S16">
            <v>543.76404000000002</v>
          </cell>
          <cell r="T16">
            <v>595.91904000000011</v>
          </cell>
          <cell r="U16">
            <v>8.7520277922316545</v>
          </cell>
        </row>
        <row r="17">
          <cell r="C17" t="str">
            <v>Maharagama</v>
          </cell>
          <cell r="D17">
            <v>5926.5557399999998</v>
          </cell>
          <cell r="E17">
            <v>4637.6603299999997</v>
          </cell>
          <cell r="F17">
            <v>-27.791932101245546</v>
          </cell>
          <cell r="G17">
            <v>690.14670999999998</v>
          </cell>
          <cell r="H17">
            <v>654.26674000000003</v>
          </cell>
          <cell r="I17">
            <v>-5.4839972455271004</v>
          </cell>
          <cell r="J17">
            <v>8446.6635999999999</v>
          </cell>
          <cell r="K17">
            <v>7510.2689099999998</v>
          </cell>
          <cell r="L17">
            <v>-12.468191235511966</v>
          </cell>
          <cell r="M17">
            <v>4781.0490600000003</v>
          </cell>
          <cell r="N17">
            <v>3409.6428999999998</v>
          </cell>
          <cell r="O17">
            <v>-40.221401484595361</v>
          </cell>
          <cell r="P17">
            <v>19844.415110000002</v>
          </cell>
          <cell r="Q17">
            <v>16211.838879999999</v>
          </cell>
          <cell r="R17">
            <v>-22.406935184147368</v>
          </cell>
          <cell r="S17">
            <v>893.00350000000003</v>
          </cell>
          <cell r="T17">
            <v>1000.4793</v>
          </cell>
          <cell r="U17">
            <v>10.742431152748482</v>
          </cell>
        </row>
        <row r="18">
          <cell r="C18" t="str">
            <v>Kiribathgoda</v>
          </cell>
          <cell r="D18">
            <v>4091.8804100000002</v>
          </cell>
          <cell r="E18">
            <v>4327.0745299999999</v>
          </cell>
          <cell r="F18">
            <v>5.4354071872203145</v>
          </cell>
          <cell r="G18">
            <v>500.27589999999998</v>
          </cell>
          <cell r="H18">
            <v>527.95826</v>
          </cell>
          <cell r="I18">
            <v>5.2432857097453152</v>
          </cell>
          <cell r="J18">
            <v>3549.5466000000001</v>
          </cell>
          <cell r="K18">
            <v>4100.3845199999996</v>
          </cell>
          <cell r="L18">
            <v>13.433811324602296</v>
          </cell>
          <cell r="M18">
            <v>2754.5255400000001</v>
          </cell>
          <cell r="N18">
            <v>2658.70298</v>
          </cell>
          <cell r="O18">
            <v>-3.6041092487886726</v>
          </cell>
          <cell r="P18">
            <v>10896.228450000001</v>
          </cell>
          <cell r="Q18">
            <v>11614.120290000001</v>
          </cell>
          <cell r="R18">
            <v>6.1811985933891176</v>
          </cell>
          <cell r="S18">
            <v>446.81950000000001</v>
          </cell>
          <cell r="T18">
            <v>517.24490000000003</v>
          </cell>
          <cell r="U18">
            <v>13.615484657267771</v>
          </cell>
        </row>
        <row r="19">
          <cell r="C19" t="str">
            <v>Nugegoda</v>
          </cell>
          <cell r="D19">
            <v>7468.9916599999997</v>
          </cell>
          <cell r="E19">
            <v>6081.7799699999996</v>
          </cell>
          <cell r="F19">
            <v>-22.809304132059882</v>
          </cell>
          <cell r="G19">
            <v>766.37004999999999</v>
          </cell>
          <cell r="H19">
            <v>761.24508000000003</v>
          </cell>
          <cell r="I19">
            <v>-0.67323522143485803</v>
          </cell>
          <cell r="J19">
            <v>11109.5936</v>
          </cell>
          <cell r="K19">
            <v>10841.60305</v>
          </cell>
          <cell r="L19">
            <v>-2.4718719986709017</v>
          </cell>
          <cell r="M19">
            <v>5801.1636099999996</v>
          </cell>
          <cell r="N19">
            <v>5045.7115199999998</v>
          </cell>
          <cell r="O19">
            <v>-14.972161745782877</v>
          </cell>
          <cell r="P19">
            <v>25146.118919999997</v>
          </cell>
          <cell r="Q19">
            <v>22730.339619999999</v>
          </cell>
          <cell r="R19">
            <v>-10.627994743529479</v>
          </cell>
          <cell r="S19">
            <v>1571.48486</v>
          </cell>
          <cell r="T19">
            <v>867.64229999999998</v>
          </cell>
          <cell r="U19">
            <v>-81.121282353338472</v>
          </cell>
        </row>
        <row r="20">
          <cell r="C20" t="str">
            <v>Fort</v>
          </cell>
          <cell r="D20">
            <v>4352.0321100000001</v>
          </cell>
          <cell r="E20">
            <v>4210.6955900000003</v>
          </cell>
          <cell r="F20">
            <v>-3.3566074055711979</v>
          </cell>
          <cell r="G20">
            <v>424.02789000000001</v>
          </cell>
          <cell r="H20">
            <v>493.64652999999998</v>
          </cell>
          <cell r="I20">
            <v>14.10293312504394</v>
          </cell>
          <cell r="J20">
            <v>477.95337999999998</v>
          </cell>
          <cell r="K20">
            <v>533.85676000000001</v>
          </cell>
          <cell r="L20">
            <v>10.471606653440151</v>
          </cell>
          <cell r="M20">
            <v>2620.2921900000001</v>
          </cell>
          <cell r="N20">
            <v>1973.00452</v>
          </cell>
          <cell r="O20">
            <v>-32.807206645426248</v>
          </cell>
          <cell r="P20">
            <v>7874.3055700000004</v>
          </cell>
          <cell r="Q20">
            <v>7211.2034000000003</v>
          </cell>
          <cell r="R20">
            <v>-9.1954439948261637</v>
          </cell>
          <cell r="S20">
            <v>428.59350000000001</v>
          </cell>
          <cell r="T20">
            <v>509.34989999999999</v>
          </cell>
          <cell r="U20">
            <v>15.854798440129267</v>
          </cell>
        </row>
        <row r="21">
          <cell r="C21" t="str">
            <v>Malabe</v>
          </cell>
          <cell r="D21">
            <v>4831.9064500000004</v>
          </cell>
          <cell r="E21">
            <v>4703.4234399999996</v>
          </cell>
          <cell r="F21">
            <v>-2.7316913231184823</v>
          </cell>
          <cell r="G21">
            <v>677.49375999999995</v>
          </cell>
          <cell r="H21">
            <v>696.59227999999996</v>
          </cell>
          <cell r="I21">
            <v>2.7417071001705628</v>
          </cell>
          <cell r="J21">
            <v>7108.7154</v>
          </cell>
          <cell r="K21">
            <v>7262.28892</v>
          </cell>
          <cell r="L21">
            <v>2.1146710312924308</v>
          </cell>
          <cell r="M21">
            <v>3779.2656699999998</v>
          </cell>
          <cell r="N21">
            <v>2793.1447899999998</v>
          </cell>
          <cell r="O21">
            <v>-35.305039807836096</v>
          </cell>
          <cell r="P21">
            <v>16397.381280000001</v>
          </cell>
          <cell r="Q21">
            <v>15455.449429999999</v>
          </cell>
          <cell r="R21">
            <v>-6.0944966645334411</v>
          </cell>
          <cell r="S21">
            <v>662.15904999999998</v>
          </cell>
          <cell r="T21">
            <v>1692.2049099999999</v>
          </cell>
          <cell r="U21">
            <v>60.870043214801925</v>
          </cell>
        </row>
        <row r="22">
          <cell r="C22" t="str">
            <v>Negombo</v>
          </cell>
          <cell r="D22">
            <v>6201.1056900000003</v>
          </cell>
          <cell r="E22">
            <v>5096.2993200000001</v>
          </cell>
          <cell r="F22">
            <v>-21.678600502609417</v>
          </cell>
          <cell r="G22">
            <v>809.98752000000002</v>
          </cell>
          <cell r="H22">
            <v>744.38117999999997</v>
          </cell>
          <cell r="I22">
            <v>-8.8135409334233898</v>
          </cell>
          <cell r="J22">
            <v>7047.3352100000002</v>
          </cell>
          <cell r="K22">
            <v>6934.6523900000002</v>
          </cell>
          <cell r="L22">
            <v>-1.6249238413520537</v>
          </cell>
          <cell r="M22">
            <v>4582.13087</v>
          </cell>
          <cell r="N22">
            <v>3418.8987299999999</v>
          </cell>
          <cell r="O22">
            <v>-34.023591567451902</v>
          </cell>
          <cell r="P22">
            <v>18640.559290000001</v>
          </cell>
          <cell r="Q22">
            <v>16194.231620000002</v>
          </cell>
          <cell r="R22">
            <v>-15.106166982191146</v>
          </cell>
          <cell r="S22">
            <v>1184.0274999999999</v>
          </cell>
          <cell r="T22">
            <v>2279.1177699999998</v>
          </cell>
          <cell r="U22">
            <v>48.04886717196716</v>
          </cell>
        </row>
        <row r="23">
          <cell r="C23" t="str">
            <v>Rajagiriya</v>
          </cell>
          <cell r="D23">
            <v>4861.25731</v>
          </cell>
          <cell r="E23">
            <v>4379.0906000000004</v>
          </cell>
          <cell r="F23">
            <v>-11.010658468678393</v>
          </cell>
          <cell r="G23">
            <v>662.70707000000004</v>
          </cell>
          <cell r="H23">
            <v>696.96442999999999</v>
          </cell>
          <cell r="I23">
            <v>4.9152235789134817</v>
          </cell>
          <cell r="J23">
            <v>4143.7451899999996</v>
          </cell>
          <cell r="K23">
            <v>4357.5894600000001</v>
          </cell>
          <cell r="L23">
            <v>4.9073982751922776</v>
          </cell>
          <cell r="M23">
            <v>3688.47928</v>
          </cell>
          <cell r="N23">
            <v>2691.23461</v>
          </cell>
          <cell r="O23">
            <v>-37.05528556650065</v>
          </cell>
          <cell r="P23">
            <v>13356.188849999999</v>
          </cell>
          <cell r="Q23">
            <v>12124.8791</v>
          </cell>
          <cell r="R23">
            <v>-10.155233217954301</v>
          </cell>
          <cell r="S23">
            <v>934.45862</v>
          </cell>
          <cell r="T23">
            <v>1463.5637099999999</v>
          </cell>
          <cell r="U23">
            <v>36.151831750460659</v>
          </cell>
        </row>
        <row r="24">
          <cell r="C24" t="str">
            <v>Boralesgamuwa</v>
          </cell>
          <cell r="D24">
            <v>2815.2618400000001</v>
          </cell>
          <cell r="E24">
            <v>2281.9745899999998</v>
          </cell>
          <cell r="F24">
            <v>-23.369552506717454</v>
          </cell>
          <cell r="G24">
            <v>461.90370000000001</v>
          </cell>
          <cell r="H24">
            <v>450.92061999999999</v>
          </cell>
          <cell r="I24">
            <v>-2.4357014323274968</v>
          </cell>
          <cell r="J24">
            <v>3899.3950399999999</v>
          </cell>
          <cell r="K24">
            <v>3963.0038800000002</v>
          </cell>
          <cell r="L24">
            <v>1.6050663064200765</v>
          </cell>
          <cell r="M24">
            <v>1842.2300700000001</v>
          </cell>
          <cell r="N24">
            <v>1249.7176400000001</v>
          </cell>
          <cell r="O24">
            <v>-47.411704135023648</v>
          </cell>
          <cell r="P24">
            <v>9018.790649999999</v>
          </cell>
          <cell r="Q24">
            <v>7945.6167299999997</v>
          </cell>
          <cell r="R24">
            <v>-13.506489885776297</v>
          </cell>
          <cell r="S24">
            <v>595.89549999999997</v>
          </cell>
          <cell r="T24">
            <v>1116.0669499999999</v>
          </cell>
          <cell r="U24">
            <v>46.607548946772411</v>
          </cell>
        </row>
        <row r="25">
          <cell r="C25" t="str">
            <v>Pitakotte</v>
          </cell>
          <cell r="D25">
            <v>4502.4354300000005</v>
          </cell>
          <cell r="E25">
            <v>4244.0454200000004</v>
          </cell>
          <cell r="F25">
            <v>-6.0882951153713156</v>
          </cell>
          <cell r="G25">
            <v>610.97304999999994</v>
          </cell>
          <cell r="H25">
            <v>609.33348000000001</v>
          </cell>
          <cell r="I25">
            <v>-0.26907597462065191</v>
          </cell>
          <cell r="J25">
            <v>5178.3881300000003</v>
          </cell>
          <cell r="K25">
            <v>5137.8877000000002</v>
          </cell>
          <cell r="L25">
            <v>-0.78827005113404969</v>
          </cell>
          <cell r="M25">
            <v>3412.91824</v>
          </cell>
          <cell r="N25">
            <v>2766.4604899999999</v>
          </cell>
          <cell r="O25">
            <v>-23.367684170324083</v>
          </cell>
          <cell r="P25">
            <v>13704.71485</v>
          </cell>
          <cell r="Q25">
            <v>12757.72709</v>
          </cell>
          <cell r="R25">
            <v>-7.4228563859332404</v>
          </cell>
          <cell r="S25">
            <v>2126.6543000000001</v>
          </cell>
          <cell r="T25">
            <v>2299.1644999999999</v>
          </cell>
          <cell r="U25">
            <v>7.503169085987528</v>
          </cell>
        </row>
        <row r="26">
          <cell r="C26" t="str">
            <v>Panadura</v>
          </cell>
          <cell r="D26">
            <v>4808.4133400000001</v>
          </cell>
          <cell r="E26">
            <v>4458.0029400000003</v>
          </cell>
          <cell r="F26">
            <v>-7.8602550226222974</v>
          </cell>
          <cell r="G26">
            <v>442.18248</v>
          </cell>
          <cell r="H26">
            <v>539.17673000000002</v>
          </cell>
          <cell r="I26">
            <v>17.989324205441882</v>
          </cell>
          <cell r="J26">
            <v>7404.6273300000003</v>
          </cell>
          <cell r="K26">
            <v>6925.7057500000001</v>
          </cell>
          <cell r="L26">
            <v>-6.9151303461022744</v>
          </cell>
          <cell r="M26">
            <v>3951.9370100000001</v>
          </cell>
          <cell r="N26">
            <v>2550.1744699999999</v>
          </cell>
          <cell r="O26">
            <v>-54.967319157579055</v>
          </cell>
          <cell r="P26">
            <v>16607.160160000003</v>
          </cell>
          <cell r="Q26">
            <v>14473.05989</v>
          </cell>
          <cell r="R26">
            <v>-14.74532881242712</v>
          </cell>
          <cell r="S26">
            <v>3122.1183799999999</v>
          </cell>
          <cell r="T26">
            <v>2961.18712</v>
          </cell>
          <cell r="U26">
            <v>-5.4346872885223085</v>
          </cell>
        </row>
        <row r="27">
          <cell r="C27" t="str">
            <v>Kurunagala</v>
          </cell>
          <cell r="D27">
            <v>4215.7479199999998</v>
          </cell>
          <cell r="E27">
            <v>4064.5518499999998</v>
          </cell>
          <cell r="F27">
            <v>-3.7198706174704097</v>
          </cell>
          <cell r="G27">
            <v>569.02838999999994</v>
          </cell>
          <cell r="H27">
            <v>604.82956000000001</v>
          </cell>
          <cell r="I27">
            <v>5.9192163160808589</v>
          </cell>
          <cell r="J27">
            <v>6997.5769099999998</v>
          </cell>
          <cell r="K27">
            <v>6226.4544400000004</v>
          </cell>
          <cell r="L27">
            <v>-12.384615954886828</v>
          </cell>
          <cell r="M27">
            <v>2627.18345</v>
          </cell>
          <cell r="N27">
            <v>1691.3792800000001</v>
          </cell>
          <cell r="O27">
            <v>-55.327872409552036</v>
          </cell>
          <cell r="P27">
            <v>14409.53667</v>
          </cell>
          <cell r="Q27">
            <v>12587.21513</v>
          </cell>
          <cell r="R27">
            <v>-14.477559342389654</v>
          </cell>
          <cell r="S27">
            <v>3261.9754899999998</v>
          </cell>
          <cell r="T27">
            <v>3461.2928999999999</v>
          </cell>
          <cell r="U27">
            <v>5.7584670167612835</v>
          </cell>
        </row>
        <row r="28">
          <cell r="C28" t="str">
            <v>Matara</v>
          </cell>
          <cell r="D28">
            <v>5162.0847599999997</v>
          </cell>
          <cell r="E28">
            <v>4184.7485500000003</v>
          </cell>
          <cell r="F28">
            <v>-23.354717692655619</v>
          </cell>
          <cell r="G28">
            <v>549.62795000000006</v>
          </cell>
          <cell r="H28">
            <v>617.40417000000002</v>
          </cell>
          <cell r="I28">
            <v>10.977609691233534</v>
          </cell>
          <cell r="J28">
            <v>5824.43995</v>
          </cell>
          <cell r="K28">
            <v>5712.7770499999997</v>
          </cell>
          <cell r="L28">
            <v>-1.9546168005978855</v>
          </cell>
          <cell r="M28">
            <v>2592.18183</v>
          </cell>
          <cell r="N28">
            <v>1586.87724</v>
          </cell>
          <cell r="O28">
            <v>-63.351125383838756</v>
          </cell>
          <cell r="P28">
            <v>14128.334489999999</v>
          </cell>
          <cell r="Q28">
            <v>12101.807009999999</v>
          </cell>
          <cell r="R28">
            <v>-16.745660200376975</v>
          </cell>
          <cell r="S28">
            <v>2962.8164800000004</v>
          </cell>
          <cell r="T28">
            <v>2779.0669899999998</v>
          </cell>
          <cell r="U28">
            <v>-6.6119129427679111</v>
          </cell>
        </row>
        <row r="29">
          <cell r="C29" t="str">
            <v>Wattala</v>
          </cell>
          <cell r="D29">
            <v>5324.2208700000001</v>
          </cell>
          <cell r="E29">
            <v>4406.2115800000001</v>
          </cell>
          <cell r="F29">
            <v>-20.834435054523638</v>
          </cell>
          <cell r="G29">
            <v>614.40351999999996</v>
          </cell>
          <cell r="H29">
            <v>561.89014999999995</v>
          </cell>
          <cell r="I29">
            <v>-9.3458427772759514</v>
          </cell>
          <cell r="J29">
            <v>7324.2851199999996</v>
          </cell>
          <cell r="K29">
            <v>6636.6735500000004</v>
          </cell>
          <cell r="L29">
            <v>-10.360786391248658</v>
          </cell>
          <cell r="M29">
            <v>3245.9044199999998</v>
          </cell>
          <cell r="N29">
            <v>2057.3953000000001</v>
          </cell>
          <cell r="O29">
            <v>-57.767659914455891</v>
          </cell>
          <cell r="P29">
            <v>16508.81393</v>
          </cell>
          <cell r="Q29">
            <v>13662.170580000002</v>
          </cell>
          <cell r="R29">
            <v>-20.83595233518156</v>
          </cell>
          <cell r="S29">
            <v>4538.56538</v>
          </cell>
          <cell r="T29">
            <v>4577.3981800000001</v>
          </cell>
          <cell r="U29">
            <v>0.84835966793695305</v>
          </cell>
        </row>
        <row r="30">
          <cell r="C30" t="str">
            <v>Pelawatte</v>
          </cell>
          <cell r="D30">
            <v>5240.1126700000004</v>
          </cell>
          <cell r="E30">
            <v>4445.6691899999996</v>
          </cell>
          <cell r="F30">
            <v>-17.870053889457324</v>
          </cell>
          <cell r="G30">
            <v>636.17350999999996</v>
          </cell>
          <cell r="H30">
            <v>611.82547</v>
          </cell>
          <cell r="I30">
            <v>-3.9795728020279983</v>
          </cell>
          <cell r="J30">
            <v>6548.86589</v>
          </cell>
          <cell r="K30">
            <v>6250.0497100000002</v>
          </cell>
          <cell r="L30">
            <v>-4.7810208536725352</v>
          </cell>
          <cell r="M30">
            <v>4027.96074</v>
          </cell>
          <cell r="N30">
            <v>2760.5839999999998</v>
          </cell>
          <cell r="O30">
            <v>-45.909732868117771</v>
          </cell>
          <cell r="P30">
            <v>16453.112809999999</v>
          </cell>
          <cell r="Q30">
            <v>14068.128369999999</v>
          </cell>
          <cell r="R30">
            <v>-16.953104046775202</v>
          </cell>
          <cell r="S30">
            <v>3291.03746</v>
          </cell>
          <cell r="T30">
            <v>3448.2344600000001</v>
          </cell>
          <cell r="U30">
            <v>4.5587677353006937</v>
          </cell>
        </row>
        <row r="31">
          <cell r="C31" t="str">
            <v>Gampaha</v>
          </cell>
          <cell r="D31">
            <v>5372.3290999999999</v>
          </cell>
          <cell r="E31">
            <v>5042.9008599999997</v>
          </cell>
          <cell r="F31">
            <v>-6.5325147002790809</v>
          </cell>
          <cell r="G31">
            <v>589.62729000000002</v>
          </cell>
          <cell r="H31">
            <v>557.36341000000004</v>
          </cell>
          <cell r="I31">
            <v>-5.7886612973033102</v>
          </cell>
          <cell r="J31">
            <v>5849.6166999999996</v>
          </cell>
          <cell r="K31">
            <v>5226.3742700000003</v>
          </cell>
          <cell r="L31">
            <v>-11.92494830646714</v>
          </cell>
          <cell r="M31">
            <v>3208.6330800000001</v>
          </cell>
          <cell r="N31">
            <v>1960.8463899999999</v>
          </cell>
          <cell r="O31">
            <v>-63.635106572524535</v>
          </cell>
          <cell r="P31">
            <v>15020.206169999999</v>
          </cell>
          <cell r="Q31">
            <v>12787.484930000001</v>
          </cell>
          <cell r="R31">
            <v>-17.460206226808033</v>
          </cell>
          <cell r="S31">
            <v>5182.24802</v>
          </cell>
          <cell r="T31">
            <v>5199.7910400000001</v>
          </cell>
          <cell r="U31">
            <v>0.3373793266892523</v>
          </cell>
        </row>
        <row r="32">
          <cell r="C32" t="str">
            <v>Ja-ela</v>
          </cell>
          <cell r="D32">
            <v>5038.2197900000001</v>
          </cell>
          <cell r="E32">
            <v>4232.9439400000001</v>
          </cell>
          <cell r="F32">
            <v>-19.024014052971371</v>
          </cell>
          <cell r="G32">
            <v>587.54584</v>
          </cell>
          <cell r="H32">
            <v>499.11083000000002</v>
          </cell>
          <cell r="I32">
            <v>-17.718511537808141</v>
          </cell>
          <cell r="J32">
            <v>6979.0238200000003</v>
          </cell>
          <cell r="K32">
            <v>5803.2095399999998</v>
          </cell>
          <cell r="L32">
            <v>-20.261447943511627</v>
          </cell>
          <cell r="M32">
            <v>3404.2119200000002</v>
          </cell>
          <cell r="N32">
            <v>2121.7350799999999</v>
          </cell>
          <cell r="O32">
            <v>-60.444720553896879</v>
          </cell>
          <cell r="P32">
            <v>16009.00137</v>
          </cell>
          <cell r="Q32">
            <v>12656.999389999999</v>
          </cell>
          <cell r="R32">
            <v>-26.483385806657616</v>
          </cell>
          <cell r="S32">
            <v>6933.4626200000002</v>
          </cell>
          <cell r="T32">
            <v>3000.0005000000001</v>
          </cell>
          <cell r="U32">
            <v>-131.11538214743629</v>
          </cell>
        </row>
        <row r="33">
          <cell r="C33" t="str">
            <v>Piliyandala</v>
          </cell>
          <cell r="D33">
            <v>4507.3317399999996</v>
          </cell>
          <cell r="E33">
            <v>3126.6190099999999</v>
          </cell>
          <cell r="F33">
            <v>-44.159928842753366</v>
          </cell>
          <cell r="G33">
            <v>436.71543000000003</v>
          </cell>
          <cell r="H33">
            <v>436.43938000000003</v>
          </cell>
          <cell r="I33">
            <v>-6.3250479367832915E-2</v>
          </cell>
          <cell r="J33">
            <v>5917.7017500000002</v>
          </cell>
          <cell r="K33">
            <v>4438.7463200000002</v>
          </cell>
          <cell r="L33">
            <v>-33.319215007538432</v>
          </cell>
          <cell r="M33">
            <v>2490.1252500000001</v>
          </cell>
          <cell r="N33">
            <v>1120.4413099999999</v>
          </cell>
          <cell r="O33">
            <v>-122.24504110795418</v>
          </cell>
          <cell r="P33">
            <v>13351.874169999999</v>
          </cell>
          <cell r="Q33">
            <v>9122.2460200000005</v>
          </cell>
          <cell r="R33">
            <v>-46.366082878347967</v>
          </cell>
          <cell r="S33">
            <v>6240.0029400000003</v>
          </cell>
          <cell r="T33">
            <v>0</v>
          </cell>
          <cell r="U33">
            <v>0</v>
          </cell>
        </row>
        <row r="34">
          <cell r="C34" t="str">
            <v>Chilaw</v>
          </cell>
          <cell r="D34">
            <v>3865.3698300000001</v>
          </cell>
          <cell r="E34">
            <v>3655.3124200000002</v>
          </cell>
          <cell r="F34">
            <v>-5.7466335531450925</v>
          </cell>
          <cell r="G34">
            <v>612.75455999999997</v>
          </cell>
          <cell r="H34">
            <v>740.58059000000003</v>
          </cell>
          <cell r="I34">
            <v>17.260245775547542</v>
          </cell>
          <cell r="J34">
            <v>6228.1204600000001</v>
          </cell>
          <cell r="K34">
            <v>5313.1306400000003</v>
          </cell>
          <cell r="L34">
            <v>-17.221293470773752</v>
          </cell>
          <cell r="M34">
            <v>2244.4367099999999</v>
          </cell>
          <cell r="N34">
            <v>1545.37066</v>
          </cell>
          <cell r="O34">
            <v>-45.236140952747213</v>
          </cell>
          <cell r="P34">
            <v>12950.681559999999</v>
          </cell>
          <cell r="Q34">
            <v>11254.39431</v>
          </cell>
          <cell r="R34">
            <v>-15.072221598747232</v>
          </cell>
          <cell r="S34">
            <v>4593.12086</v>
          </cell>
          <cell r="T34">
            <v>0</v>
          </cell>
          <cell r="U34">
            <v>0</v>
          </cell>
        </row>
        <row r="35">
          <cell r="C35" t="str">
            <v>Ratnapura</v>
          </cell>
          <cell r="D35">
            <v>5138.1743699999997</v>
          </cell>
          <cell r="E35">
            <v>3056.8849399999999</v>
          </cell>
          <cell r="F35">
            <v>-68.085304839769336</v>
          </cell>
          <cell r="G35">
            <v>755.06308999999999</v>
          </cell>
          <cell r="H35">
            <v>547.38469999999995</v>
          </cell>
          <cell r="I35">
            <v>-37.940115973281692</v>
          </cell>
          <cell r="J35">
            <v>6368.4850399999996</v>
          </cell>
          <cell r="K35">
            <v>3976.60725</v>
          </cell>
          <cell r="L35">
            <v>-60.14870565857364</v>
          </cell>
          <cell r="M35">
            <v>3187.0018799999998</v>
          </cell>
          <cell r="N35">
            <v>1415.0893100000001</v>
          </cell>
          <cell r="O35">
            <v>-125.21559999629986</v>
          </cell>
          <cell r="P35">
            <v>15448.72438</v>
          </cell>
          <cell r="Q35">
            <v>8995.9661999999989</v>
          </cell>
          <cell r="R35">
            <v>-71.729462256094308</v>
          </cell>
          <cell r="S35">
            <v>7285.3597399999999</v>
          </cell>
          <cell r="T35">
            <v>0</v>
          </cell>
          <cell r="U35">
            <v>0</v>
          </cell>
        </row>
        <row r="36">
          <cell r="C36" t="str">
            <v>Nawala</v>
          </cell>
          <cell r="D36">
            <v>6368.42922</v>
          </cell>
          <cell r="E36">
            <v>1153.48587</v>
          </cell>
          <cell r="F36">
            <v>-452.10292432971022</v>
          </cell>
          <cell r="G36">
            <v>867.66540999999995</v>
          </cell>
          <cell r="H36">
            <v>251.94395</v>
          </cell>
          <cell r="I36">
            <v>-244.38826969252486</v>
          </cell>
          <cell r="J36">
            <v>7148.6301599999997</v>
          </cell>
          <cell r="K36">
            <v>1377.2765099999999</v>
          </cell>
          <cell r="L36">
            <v>-419.04102829721541</v>
          </cell>
          <cell r="M36">
            <v>6037.10419</v>
          </cell>
          <cell r="N36">
            <v>763.85323000000005</v>
          </cell>
          <cell r="O36">
            <v>-690.34871528919246</v>
          </cell>
          <cell r="P36">
            <v>20421.828979999998</v>
          </cell>
          <cell r="Q36">
            <v>3546.5595600000001</v>
          </cell>
          <cell r="R36">
            <v>-475.82083804057118</v>
          </cell>
          <cell r="S36">
            <v>7582.5934999999999</v>
          </cell>
          <cell r="T36">
            <v>0</v>
          </cell>
          <cell r="U36">
            <v>0</v>
          </cell>
        </row>
        <row r="37">
          <cell r="C37" t="str">
            <v>Collupitiya</v>
          </cell>
          <cell r="D37">
            <v>5393.6265999999996</v>
          </cell>
          <cell r="E37">
            <v>2237.4576699999998</v>
          </cell>
          <cell r="F37">
            <v>-141.06049791771034</v>
          </cell>
          <cell r="G37">
            <v>712.73862999999994</v>
          </cell>
          <cell r="H37">
            <v>443.67039999999997</v>
          </cell>
          <cell r="I37">
            <v>-60.645972776187008</v>
          </cell>
          <cell r="J37">
            <v>7264.2598500000004</v>
          </cell>
          <cell r="K37">
            <v>3585.7740600000002</v>
          </cell>
          <cell r="L37">
            <v>-102.58554299430678</v>
          </cell>
          <cell r="M37">
            <v>3224.3308900000002</v>
          </cell>
          <cell r="N37">
            <v>1427.24362</v>
          </cell>
          <cell r="O37">
            <v>-125.91314088340435</v>
          </cell>
          <cell r="P37">
            <v>16594.955969999999</v>
          </cell>
          <cell r="Q37">
            <v>7694.1457500000006</v>
          </cell>
          <cell r="R37">
            <v>-115.68289072246907</v>
          </cell>
          <cell r="S37">
            <v>3099.8158199999998</v>
          </cell>
          <cell r="T37">
            <v>0</v>
          </cell>
          <cell r="U37">
            <v>0</v>
          </cell>
        </row>
        <row r="38">
          <cell r="C38" t="str">
            <v>Dehiwala</v>
          </cell>
          <cell r="D38">
            <v>5958.89786</v>
          </cell>
          <cell r="E38">
            <v>2622.8604099999998</v>
          </cell>
          <cell r="F38">
            <v>-127.19081188159764</v>
          </cell>
          <cell r="G38">
            <v>833.97510999999997</v>
          </cell>
          <cell r="H38">
            <v>426.05268000000001</v>
          </cell>
          <cell r="I38">
            <v>-95.744599001231478</v>
          </cell>
          <cell r="J38">
            <v>7986.6153100000001</v>
          </cell>
          <cell r="K38">
            <v>3729.0861300000001</v>
          </cell>
          <cell r="L38">
            <v>-114.17084592787347</v>
          </cell>
          <cell r="M38">
            <v>3992.3566900000001</v>
          </cell>
          <cell r="N38">
            <v>1590.8150499999999</v>
          </cell>
          <cell r="O38">
            <v>-150.96296957965041</v>
          </cell>
          <cell r="P38">
            <v>18771.844970000002</v>
          </cell>
          <cell r="Q38">
            <v>8368.8142699999989</v>
          </cell>
          <cell r="R38">
            <v>-124.30710449976333</v>
          </cell>
          <cell r="S38">
            <v>1994.8715199999999</v>
          </cell>
          <cell r="T38">
            <v>0</v>
          </cell>
          <cell r="U38">
            <v>0</v>
          </cell>
        </row>
        <row r="39">
          <cell r="C39" t="str">
            <v>Thimbirigasyaya</v>
          </cell>
          <cell r="D39">
            <v>3913.4905899999999</v>
          </cell>
          <cell r="E39">
            <v>1704.9276</v>
          </cell>
          <cell r="F39">
            <v>-129.53998691791958</v>
          </cell>
          <cell r="G39">
            <v>549.63798999999995</v>
          </cell>
          <cell r="H39">
            <v>331.75009</v>
          </cell>
          <cell r="I39">
            <v>-65.678324307312153</v>
          </cell>
          <cell r="J39">
            <v>4844.2120800000002</v>
          </cell>
          <cell r="K39">
            <v>2602.8985899999998</v>
          </cell>
          <cell r="L39">
            <v>-86.108367748587568</v>
          </cell>
          <cell r="M39">
            <v>2656.3431500000002</v>
          </cell>
          <cell r="N39">
            <v>995.62630000000001</v>
          </cell>
          <cell r="O39">
            <v>-166.80122351127127</v>
          </cell>
          <cell r="P39">
            <v>11963.68381</v>
          </cell>
          <cell r="Q39">
            <v>5635.2025799999992</v>
          </cell>
          <cell r="R39">
            <v>-112.30263934894782</v>
          </cell>
          <cell r="S39">
            <v>2008.89014</v>
          </cell>
          <cell r="T39">
            <v>0</v>
          </cell>
          <cell r="U39">
            <v>0</v>
          </cell>
        </row>
        <row r="40">
          <cell r="C40" t="str">
            <v>Moratuwa</v>
          </cell>
          <cell r="D40">
            <v>5238.7761300000002</v>
          </cell>
          <cell r="E40">
            <v>1503.0371</v>
          </cell>
          <cell r="F40">
            <v>-248.54602923640408</v>
          </cell>
          <cell r="G40">
            <v>601.47136</v>
          </cell>
          <cell r="H40">
            <v>241.85848999999999</v>
          </cell>
          <cell r="I40">
            <v>-148.68730471276822</v>
          </cell>
          <cell r="J40">
            <v>6493.5027499999997</v>
          </cell>
          <cell r="K40">
            <v>1887.95903</v>
          </cell>
          <cell r="L40">
            <v>-243.9429906484782</v>
          </cell>
          <cell r="M40">
            <v>4136.2013100000004</v>
          </cell>
          <cell r="N40">
            <v>830.65441999999996</v>
          </cell>
          <cell r="O40">
            <v>-397.94489867398772</v>
          </cell>
          <cell r="P40">
            <v>16469.951549999998</v>
          </cell>
          <cell r="Q40">
            <v>4463.5090399999999</v>
          </cell>
          <cell r="R40">
            <v>-268.99110996311543</v>
          </cell>
          <cell r="S40">
            <v>3610.44346</v>
          </cell>
          <cell r="T40">
            <v>0</v>
          </cell>
          <cell r="U40">
            <v>0</v>
          </cell>
        </row>
        <row r="41">
          <cell r="C41" t="str">
            <v>Kegalle</v>
          </cell>
          <cell r="D41">
            <v>3609.0426900000002</v>
          </cell>
          <cell r="E41">
            <v>75.3994</v>
          </cell>
          <cell r="F41">
            <v>-4686.5668559696769</v>
          </cell>
          <cell r="G41">
            <v>601.92606000000001</v>
          </cell>
          <cell r="H41">
            <v>0</v>
          </cell>
          <cell r="I41">
            <v>0</v>
          </cell>
          <cell r="J41">
            <v>4599.9874799999998</v>
          </cell>
          <cell r="K41">
            <v>0</v>
          </cell>
          <cell r="L41">
            <v>0</v>
          </cell>
          <cell r="M41">
            <v>1688.52007</v>
          </cell>
          <cell r="N41">
            <v>0</v>
          </cell>
          <cell r="O41">
            <v>0</v>
          </cell>
          <cell r="P41">
            <v>10499.4763</v>
          </cell>
          <cell r="Q41">
            <v>75.3994</v>
          </cell>
          <cell r="R41">
            <v>-13825.145690814514</v>
          </cell>
          <cell r="S41">
            <v>4.4074999999999998</v>
          </cell>
          <cell r="T41">
            <v>0</v>
          </cell>
          <cell r="U41">
            <v>0</v>
          </cell>
        </row>
        <row r="42">
          <cell r="C42" t="str">
            <v>Kadawatha</v>
          </cell>
          <cell r="D42">
            <v>4739.8428899999999</v>
          </cell>
          <cell r="E42">
            <v>144.51281</v>
          </cell>
          <cell r="F42">
            <v>-3179.8773271379882</v>
          </cell>
          <cell r="G42">
            <v>592.65578000000005</v>
          </cell>
          <cell r="H42">
            <v>25.56175</v>
          </cell>
          <cell r="I42">
            <v>-2218.52584427905</v>
          </cell>
          <cell r="J42">
            <v>4709.1255700000002</v>
          </cell>
          <cell r="K42">
            <v>0</v>
          </cell>
          <cell r="L42">
            <v>0</v>
          </cell>
          <cell r="M42">
            <v>1856.5082</v>
          </cell>
          <cell r="N42">
            <v>7.2004999999999999</v>
          </cell>
          <cell r="O42">
            <v>-25683.045621831821</v>
          </cell>
          <cell r="P42">
            <v>11898.132440000001</v>
          </cell>
          <cell r="Q42">
            <v>177.27506</v>
          </cell>
          <cell r="R42">
            <v>-6611.6786986279976</v>
          </cell>
          <cell r="S42">
            <v>0</v>
          </cell>
          <cell r="T42">
            <v>0</v>
          </cell>
          <cell r="U42">
            <v>0</v>
          </cell>
        </row>
        <row r="43">
          <cell r="C43" t="str">
            <v>Aluthgama</v>
          </cell>
          <cell r="D43">
            <v>3305.3875600000001</v>
          </cell>
          <cell r="E43">
            <v>0</v>
          </cell>
          <cell r="F43">
            <v>0</v>
          </cell>
          <cell r="G43">
            <v>459.31698999999998</v>
          </cell>
          <cell r="H43">
            <v>0</v>
          </cell>
          <cell r="I43">
            <v>0</v>
          </cell>
          <cell r="J43">
            <v>4344.3158599999997</v>
          </cell>
          <cell r="K43">
            <v>0</v>
          </cell>
          <cell r="L43">
            <v>0</v>
          </cell>
          <cell r="M43">
            <v>1662.56396</v>
          </cell>
          <cell r="N43">
            <v>0</v>
          </cell>
          <cell r="O43">
            <v>0</v>
          </cell>
          <cell r="P43">
            <v>9771.5843699999987</v>
          </cell>
          <cell r="Q43">
            <v>0</v>
          </cell>
          <cell r="R43">
            <v>0</v>
          </cell>
          <cell r="S43">
            <v>0</v>
          </cell>
          <cell r="T43">
            <v>0</v>
          </cell>
          <cell r="U43">
            <v>0</v>
          </cell>
        </row>
        <row r="44">
          <cell r="C44" t="str">
            <v>Park Road</v>
          </cell>
          <cell r="D44">
            <v>2602.7312499999998</v>
          </cell>
          <cell r="E44">
            <v>0</v>
          </cell>
          <cell r="F44">
            <v>0</v>
          </cell>
          <cell r="G44">
            <v>443.05570999999998</v>
          </cell>
          <cell r="H44">
            <v>0</v>
          </cell>
          <cell r="I44">
            <v>0</v>
          </cell>
          <cell r="J44">
            <v>2853.3287399999999</v>
          </cell>
          <cell r="K44">
            <v>0</v>
          </cell>
          <cell r="L44">
            <v>0</v>
          </cell>
          <cell r="M44">
            <v>1918.34115</v>
          </cell>
          <cell r="N44">
            <v>0</v>
          </cell>
          <cell r="O44">
            <v>0</v>
          </cell>
          <cell r="P44">
            <v>7817.4568500000005</v>
          </cell>
          <cell r="Q44">
            <v>0</v>
          </cell>
          <cell r="R44">
            <v>0</v>
          </cell>
          <cell r="S44">
            <v>0</v>
          </cell>
          <cell r="T44">
            <v>0</v>
          </cell>
          <cell r="U44">
            <v>0</v>
          </cell>
        </row>
        <row r="45">
          <cell r="C45" t="str">
            <v>Kotahena</v>
          </cell>
          <cell r="D45">
            <v>3324.5014000000001</v>
          </cell>
          <cell r="E45">
            <v>0</v>
          </cell>
          <cell r="F45">
            <v>0</v>
          </cell>
          <cell r="G45">
            <v>431.01461</v>
          </cell>
          <cell r="H45">
            <v>0</v>
          </cell>
          <cell r="I45">
            <v>0</v>
          </cell>
          <cell r="J45">
            <v>6460.2458999999999</v>
          </cell>
          <cell r="K45">
            <v>0</v>
          </cell>
          <cell r="L45">
            <v>0</v>
          </cell>
          <cell r="M45">
            <v>2347.33716</v>
          </cell>
          <cell r="N45">
            <v>0</v>
          </cell>
          <cell r="O45">
            <v>0</v>
          </cell>
          <cell r="P45">
            <v>12563.09907</v>
          </cell>
          <cell r="Q45">
            <v>0</v>
          </cell>
          <cell r="R45">
            <v>0</v>
          </cell>
          <cell r="S45">
            <v>0</v>
          </cell>
          <cell r="T45">
            <v>0</v>
          </cell>
          <cell r="U45">
            <v>0</v>
          </cell>
        </row>
        <row r="46">
          <cell r="C46" t="str">
            <v>Ambalangoda</v>
          </cell>
          <cell r="D46">
            <v>2040.04919</v>
          </cell>
          <cell r="E46">
            <v>0</v>
          </cell>
          <cell r="F46">
            <v>0</v>
          </cell>
          <cell r="G46">
            <v>449.83573999999999</v>
          </cell>
          <cell r="H46">
            <v>0</v>
          </cell>
          <cell r="I46">
            <v>0</v>
          </cell>
          <cell r="J46">
            <v>3230.6145099999999</v>
          </cell>
          <cell r="K46">
            <v>0</v>
          </cell>
          <cell r="L46">
            <v>0</v>
          </cell>
          <cell r="M46">
            <v>1317.0840499999999</v>
          </cell>
          <cell r="N46">
            <v>0</v>
          </cell>
          <cell r="O46">
            <v>0</v>
          </cell>
          <cell r="P46">
            <v>7037.5834899999991</v>
          </cell>
          <cell r="Q46">
            <v>0</v>
          </cell>
          <cell r="R46">
            <v>0</v>
          </cell>
          <cell r="S46">
            <v>32.370800000000003</v>
          </cell>
          <cell r="T46">
            <v>0</v>
          </cell>
          <cell r="U46">
            <v>0</v>
          </cell>
        </row>
        <row r="47">
          <cell r="C47" t="str">
            <v>Katugastota</v>
          </cell>
          <cell r="D47">
            <v>2366.1230999999998</v>
          </cell>
          <cell r="E47">
            <v>0</v>
          </cell>
          <cell r="F47">
            <v>0</v>
          </cell>
          <cell r="G47">
            <v>410.79597999999999</v>
          </cell>
          <cell r="H47">
            <v>0</v>
          </cell>
          <cell r="I47">
            <v>0</v>
          </cell>
          <cell r="J47">
            <v>3135.8314599999999</v>
          </cell>
          <cell r="K47">
            <v>0</v>
          </cell>
          <cell r="L47">
            <v>0</v>
          </cell>
          <cell r="M47">
            <v>1503.3484800000001</v>
          </cell>
          <cell r="N47">
            <v>0</v>
          </cell>
          <cell r="O47">
            <v>0</v>
          </cell>
          <cell r="P47">
            <v>7416.0990199999997</v>
          </cell>
          <cell r="Q47">
            <v>0</v>
          </cell>
          <cell r="R47">
            <v>0</v>
          </cell>
          <cell r="S47">
            <v>21.9008</v>
          </cell>
          <cell r="T47">
            <v>0</v>
          </cell>
          <cell r="U47">
            <v>0</v>
          </cell>
        </row>
        <row r="48">
          <cell r="C48" t="str">
            <v>Beruwela</v>
          </cell>
          <cell r="D48">
            <v>1625.3308300000001</v>
          </cell>
          <cell r="E48">
            <v>0</v>
          </cell>
          <cell r="F48">
            <v>0</v>
          </cell>
          <cell r="G48">
            <v>330.17289</v>
          </cell>
          <cell r="H48">
            <v>0</v>
          </cell>
          <cell r="I48">
            <v>0</v>
          </cell>
          <cell r="J48">
            <v>2659.2761599999999</v>
          </cell>
          <cell r="K48">
            <v>0</v>
          </cell>
          <cell r="L48">
            <v>0</v>
          </cell>
          <cell r="M48">
            <v>948.93781999999999</v>
          </cell>
          <cell r="N48">
            <v>0</v>
          </cell>
          <cell r="O48">
            <v>0</v>
          </cell>
          <cell r="P48">
            <v>5563.7177000000001</v>
          </cell>
          <cell r="Q48">
            <v>0</v>
          </cell>
          <cell r="R48">
            <v>0</v>
          </cell>
          <cell r="S48">
            <v>1.4677500000000001</v>
          </cell>
          <cell r="T48">
            <v>0</v>
          </cell>
          <cell r="U48">
            <v>0</v>
          </cell>
        </row>
        <row r="49">
          <cell r="C49" t="str">
            <v>Warakapola</v>
          </cell>
          <cell r="D49">
            <v>1642.1037699999999</v>
          </cell>
          <cell r="E49">
            <v>0</v>
          </cell>
          <cell r="F49">
            <v>0</v>
          </cell>
          <cell r="G49">
            <v>275.00684999999999</v>
          </cell>
          <cell r="H49">
            <v>0</v>
          </cell>
          <cell r="I49">
            <v>0</v>
          </cell>
          <cell r="J49">
            <v>2251.66948</v>
          </cell>
          <cell r="K49">
            <v>0</v>
          </cell>
          <cell r="L49">
            <v>0</v>
          </cell>
          <cell r="M49">
            <v>629.51955999999996</v>
          </cell>
          <cell r="N49">
            <v>0</v>
          </cell>
          <cell r="O49">
            <v>0</v>
          </cell>
          <cell r="P49">
            <v>4798.2996599999997</v>
          </cell>
          <cell r="Q49">
            <v>0</v>
          </cell>
          <cell r="R49">
            <v>0</v>
          </cell>
          <cell r="S49">
            <v>0.30049999999999999</v>
          </cell>
          <cell r="T49">
            <v>0</v>
          </cell>
          <cell r="U49">
            <v>0</v>
          </cell>
        </row>
        <row r="50">
          <cell r="C50" t="str">
            <v>Karagampitiya</v>
          </cell>
          <cell r="D50">
            <v>1382.2981600000001</v>
          </cell>
          <cell r="E50">
            <v>0</v>
          </cell>
          <cell r="F50">
            <v>0</v>
          </cell>
          <cell r="G50">
            <v>196.2841</v>
          </cell>
          <cell r="H50">
            <v>0</v>
          </cell>
          <cell r="I50">
            <v>0</v>
          </cell>
          <cell r="J50">
            <v>2351.9948199999999</v>
          </cell>
          <cell r="K50">
            <v>0</v>
          </cell>
          <cell r="L50">
            <v>0</v>
          </cell>
          <cell r="M50">
            <v>696.58591000000001</v>
          </cell>
          <cell r="N50">
            <v>0</v>
          </cell>
          <cell r="O50">
            <v>0</v>
          </cell>
          <cell r="P50">
            <v>4627.1629899999998</v>
          </cell>
          <cell r="Q50">
            <v>0</v>
          </cell>
          <cell r="R50">
            <v>0</v>
          </cell>
          <cell r="S50">
            <v>0</v>
          </cell>
          <cell r="T50">
            <v>0</v>
          </cell>
          <cell r="U50">
            <v>0</v>
          </cell>
        </row>
        <row r="51">
          <cell r="C51" t="str">
            <v>Mathale</v>
          </cell>
          <cell r="D51">
            <v>1249.4606799999999</v>
          </cell>
          <cell r="E51">
            <v>0</v>
          </cell>
          <cell r="F51">
            <v>0</v>
          </cell>
          <cell r="G51">
            <v>235.22739999999999</v>
          </cell>
          <cell r="H51">
            <v>0</v>
          </cell>
          <cell r="I51">
            <v>0</v>
          </cell>
          <cell r="J51">
            <v>1528.8003699999999</v>
          </cell>
          <cell r="K51">
            <v>0</v>
          </cell>
          <cell r="L51">
            <v>0</v>
          </cell>
          <cell r="M51">
            <v>914.03585999999996</v>
          </cell>
          <cell r="N51">
            <v>0</v>
          </cell>
          <cell r="O51">
            <v>0</v>
          </cell>
          <cell r="P51">
            <v>3927.5243099999998</v>
          </cell>
          <cell r="Q51">
            <v>0</v>
          </cell>
          <cell r="R51">
            <v>0</v>
          </cell>
          <cell r="S51">
            <v>0.30049999999999999</v>
          </cell>
          <cell r="T51">
            <v>0</v>
          </cell>
          <cell r="U51">
            <v>0</v>
          </cell>
        </row>
        <row r="52">
          <cell r="C52" t="str">
            <v>Peliyagoda</v>
          </cell>
          <cell r="D52">
            <v>1105.9320299999999</v>
          </cell>
          <cell r="E52">
            <v>0</v>
          </cell>
          <cell r="F52">
            <v>0</v>
          </cell>
          <cell r="G52">
            <v>236.03433000000001</v>
          </cell>
          <cell r="H52">
            <v>0</v>
          </cell>
          <cell r="I52">
            <v>0</v>
          </cell>
          <cell r="J52">
            <v>1745.7283299999999</v>
          </cell>
          <cell r="K52">
            <v>0</v>
          </cell>
          <cell r="L52">
            <v>0</v>
          </cell>
          <cell r="M52">
            <v>445.36685</v>
          </cell>
          <cell r="N52">
            <v>0</v>
          </cell>
          <cell r="O52">
            <v>0</v>
          </cell>
          <cell r="P52">
            <v>3533.0615399999997</v>
          </cell>
          <cell r="Q52">
            <v>0</v>
          </cell>
          <cell r="R52">
            <v>0</v>
          </cell>
          <cell r="S52">
            <v>0</v>
          </cell>
          <cell r="T52">
            <v>0</v>
          </cell>
          <cell r="U52">
            <v>0</v>
          </cell>
        </row>
        <row r="53">
          <cell r="C53" t="str">
            <v>Kelaniya</v>
          </cell>
          <cell r="D53">
            <v>920.93295000000001</v>
          </cell>
          <cell r="E53">
            <v>0</v>
          </cell>
          <cell r="F53">
            <v>0</v>
          </cell>
          <cell r="G53">
            <v>181.52144000000001</v>
          </cell>
          <cell r="H53">
            <v>0</v>
          </cell>
          <cell r="I53">
            <v>0</v>
          </cell>
          <cell r="J53">
            <v>1241.7083700000001</v>
          </cell>
          <cell r="K53">
            <v>0</v>
          </cell>
          <cell r="L53">
            <v>0</v>
          </cell>
          <cell r="M53">
            <v>467.59472</v>
          </cell>
          <cell r="N53">
            <v>0</v>
          </cell>
          <cell r="O53">
            <v>0</v>
          </cell>
          <cell r="P53">
            <v>2811.7574800000002</v>
          </cell>
          <cell r="Q53">
            <v>0</v>
          </cell>
          <cell r="R53">
            <v>0</v>
          </cell>
          <cell r="S53">
            <v>0</v>
          </cell>
          <cell r="T53">
            <v>0</v>
          </cell>
          <cell r="U53">
            <v>0</v>
          </cell>
        </row>
        <row r="54">
          <cell r="C54" t="str">
            <v>Demategoda</v>
          </cell>
          <cell r="D54">
            <v>626.84518000000003</v>
          </cell>
          <cell r="E54">
            <v>0</v>
          </cell>
          <cell r="F54">
            <v>0</v>
          </cell>
          <cell r="G54">
            <v>99.292900000000003</v>
          </cell>
          <cell r="H54">
            <v>0</v>
          </cell>
          <cell r="I54">
            <v>0</v>
          </cell>
          <cell r="J54">
            <v>1153.19911</v>
          </cell>
          <cell r="K54">
            <v>0</v>
          </cell>
          <cell r="L54">
            <v>0</v>
          </cell>
          <cell r="M54">
            <v>354.15235000000001</v>
          </cell>
          <cell r="N54">
            <v>0</v>
          </cell>
          <cell r="O54">
            <v>0</v>
          </cell>
          <cell r="P54">
            <v>2233.48954</v>
          </cell>
          <cell r="Q54">
            <v>0</v>
          </cell>
          <cell r="R54">
            <v>0</v>
          </cell>
          <cell r="S54">
            <v>0</v>
          </cell>
          <cell r="T54">
            <v>0</v>
          </cell>
          <cell r="U54">
            <v>0</v>
          </cell>
        </row>
        <row r="55">
          <cell r="C55" t="str">
            <v>Kolannawa</v>
          </cell>
          <cell r="D55">
            <v>551.29534999999998</v>
          </cell>
          <cell r="E55">
            <v>0</v>
          </cell>
          <cell r="F55">
            <v>0</v>
          </cell>
          <cell r="G55">
            <v>133.60650999999999</v>
          </cell>
          <cell r="H55">
            <v>0</v>
          </cell>
          <cell r="I55">
            <v>0</v>
          </cell>
          <cell r="J55">
            <v>826.47019</v>
          </cell>
          <cell r="K55">
            <v>0</v>
          </cell>
          <cell r="L55">
            <v>0</v>
          </cell>
          <cell r="M55">
            <v>433.17989</v>
          </cell>
          <cell r="N55">
            <v>0</v>
          </cell>
          <cell r="O55">
            <v>0</v>
          </cell>
          <cell r="P55">
            <v>1944.5519399999998</v>
          </cell>
          <cell r="Q55">
            <v>0</v>
          </cell>
          <cell r="R55">
            <v>0</v>
          </cell>
          <cell r="S55">
            <v>0</v>
          </cell>
          <cell r="T55">
            <v>0</v>
          </cell>
          <cell r="U55">
            <v>0</v>
          </cell>
        </row>
        <row r="56">
          <cell r="C56" t="str">
            <v>Avissawella</v>
          </cell>
          <cell r="D56">
            <v>671.18736999999999</v>
          </cell>
          <cell r="E56">
            <v>0</v>
          </cell>
          <cell r="F56">
            <v>0</v>
          </cell>
          <cell r="G56">
            <v>101.31225999999999</v>
          </cell>
          <cell r="H56">
            <v>0</v>
          </cell>
          <cell r="I56">
            <v>0</v>
          </cell>
          <cell r="J56">
            <v>741.08588999999995</v>
          </cell>
          <cell r="K56">
            <v>0</v>
          </cell>
          <cell r="L56">
            <v>0</v>
          </cell>
          <cell r="M56">
            <v>289.83587999999997</v>
          </cell>
          <cell r="N56">
            <v>0</v>
          </cell>
          <cell r="O56">
            <v>0</v>
          </cell>
          <cell r="P56">
            <v>1803.4214000000002</v>
          </cell>
          <cell r="Q56">
            <v>0</v>
          </cell>
          <cell r="R56">
            <v>0</v>
          </cell>
          <cell r="S56">
            <v>0</v>
          </cell>
          <cell r="T56">
            <v>0</v>
          </cell>
          <cell r="U56">
            <v>0</v>
          </cell>
        </row>
        <row r="57">
          <cell r="C57" t="str">
            <v>Homagama</v>
          </cell>
          <cell r="D57">
            <v>605.24395000000004</v>
          </cell>
          <cell r="E57">
            <v>0</v>
          </cell>
          <cell r="F57">
            <v>0</v>
          </cell>
          <cell r="G57">
            <v>125.80401000000001</v>
          </cell>
          <cell r="H57">
            <v>0</v>
          </cell>
          <cell r="I57">
            <v>0</v>
          </cell>
          <cell r="J57">
            <v>1015.5778299999999</v>
          </cell>
          <cell r="K57">
            <v>0</v>
          </cell>
          <cell r="L57">
            <v>0</v>
          </cell>
          <cell r="M57">
            <v>413.56558000000001</v>
          </cell>
          <cell r="N57">
            <v>0</v>
          </cell>
          <cell r="O57">
            <v>0</v>
          </cell>
          <cell r="P57">
            <v>2160.19137</v>
          </cell>
          <cell r="Q57">
            <v>0</v>
          </cell>
          <cell r="R57">
            <v>0</v>
          </cell>
          <cell r="S57">
            <v>0</v>
          </cell>
          <cell r="T57">
            <v>0</v>
          </cell>
          <cell r="U57">
            <v>0</v>
          </cell>
        </row>
        <row r="58">
          <cell r="C58" t="str">
            <v>Galle</v>
          </cell>
          <cell r="D58">
            <v>625.80660999999998</v>
          </cell>
          <cell r="E58">
            <v>0</v>
          </cell>
          <cell r="F58">
            <v>0</v>
          </cell>
          <cell r="G58">
            <v>128.95715000000001</v>
          </cell>
          <cell r="H58">
            <v>0</v>
          </cell>
          <cell r="I58">
            <v>0</v>
          </cell>
          <cell r="J58">
            <v>697.15827000000002</v>
          </cell>
          <cell r="K58">
            <v>0</v>
          </cell>
          <cell r="L58">
            <v>0</v>
          </cell>
          <cell r="M58">
            <v>530.17016999999998</v>
          </cell>
          <cell r="N58">
            <v>0</v>
          </cell>
          <cell r="O58">
            <v>0</v>
          </cell>
          <cell r="P58">
            <v>1982.0922</v>
          </cell>
          <cell r="Q58">
            <v>0</v>
          </cell>
          <cell r="R58">
            <v>0</v>
          </cell>
          <cell r="S58">
            <v>0</v>
          </cell>
          <cell r="T58">
            <v>0</v>
          </cell>
          <cell r="U58">
            <v>0</v>
          </cell>
        </row>
        <row r="59">
          <cell r="C59" t="str">
            <v>Kohuwela</v>
          </cell>
          <cell r="D59">
            <v>663.36956999999995</v>
          </cell>
          <cell r="E59">
            <v>0</v>
          </cell>
          <cell r="F59">
            <v>0</v>
          </cell>
          <cell r="G59">
            <v>93.200659999999999</v>
          </cell>
          <cell r="H59">
            <v>0</v>
          </cell>
          <cell r="I59">
            <v>0</v>
          </cell>
          <cell r="J59">
            <v>853.62531999999999</v>
          </cell>
          <cell r="K59">
            <v>0</v>
          </cell>
          <cell r="L59">
            <v>0</v>
          </cell>
          <cell r="M59">
            <v>414.10876000000002</v>
          </cell>
          <cell r="N59">
            <v>0</v>
          </cell>
          <cell r="O59">
            <v>0</v>
          </cell>
          <cell r="P59">
            <v>2024.30431</v>
          </cell>
          <cell r="Q59">
            <v>0</v>
          </cell>
          <cell r="R59">
            <v>0</v>
          </cell>
          <cell r="S59">
            <v>0</v>
          </cell>
          <cell r="T59">
            <v>0</v>
          </cell>
          <cell r="U59">
            <v>0</v>
          </cell>
        </row>
        <row r="60">
          <cell r="C60" t="str">
            <v>Mt lavinia-STC</v>
          </cell>
          <cell r="D60">
            <v>257.03228999999999</v>
          </cell>
          <cell r="E60">
            <v>0</v>
          </cell>
          <cell r="F60">
            <v>0</v>
          </cell>
          <cell r="G60">
            <v>102.56440000000001</v>
          </cell>
          <cell r="H60">
            <v>0</v>
          </cell>
          <cell r="I60">
            <v>0</v>
          </cell>
          <cell r="J60">
            <v>603.42277000000001</v>
          </cell>
          <cell r="K60">
            <v>0</v>
          </cell>
          <cell r="L60">
            <v>0</v>
          </cell>
          <cell r="M60">
            <v>309.77672999999999</v>
          </cell>
          <cell r="N60">
            <v>0</v>
          </cell>
          <cell r="O60">
            <v>0</v>
          </cell>
          <cell r="P60">
            <v>1272.79619</v>
          </cell>
          <cell r="Q60">
            <v>0</v>
          </cell>
          <cell r="R60">
            <v>0</v>
          </cell>
          <cell r="S60">
            <v>0</v>
          </cell>
          <cell r="T60">
            <v>0</v>
          </cell>
          <cell r="U60">
            <v>0</v>
          </cell>
        </row>
        <row r="61">
          <cell r="C61" t="str">
            <v>Express Matara</v>
          </cell>
          <cell r="D61">
            <v>39.242640000000002</v>
          </cell>
          <cell r="E61">
            <v>6.9555499999999997</v>
          </cell>
          <cell r="F61">
            <v>-464.19176053654996</v>
          </cell>
          <cell r="G61">
            <v>157.41933</v>
          </cell>
          <cell r="H61">
            <v>41.467930000000003</v>
          </cell>
          <cell r="I61">
            <v>-279.6170438215749</v>
          </cell>
          <cell r="J61">
            <v>1836.76521</v>
          </cell>
          <cell r="K61">
            <v>282.19137999999998</v>
          </cell>
          <cell r="L61">
            <v>-550.89345039526017</v>
          </cell>
          <cell r="M61">
            <v>319.41543999999999</v>
          </cell>
          <cell r="N61">
            <v>64.847470000000001</v>
          </cell>
          <cell r="O61">
            <v>-392.56422802616663</v>
          </cell>
          <cell r="P61">
            <v>2352.8426200000004</v>
          </cell>
          <cell r="Q61">
            <v>395.46232999999995</v>
          </cell>
          <cell r="R61">
            <v>-494.95998518999284</v>
          </cell>
          <cell r="S61">
            <v>-1.5E-3</v>
          </cell>
          <cell r="T61">
            <v>0</v>
          </cell>
          <cell r="U61">
            <v>0</v>
          </cell>
        </row>
        <row r="62">
          <cell r="C62" t="str">
            <v>Express Maligawatte</v>
          </cell>
          <cell r="D62">
            <v>601.42493999999999</v>
          </cell>
          <cell r="E62">
            <v>0</v>
          </cell>
          <cell r="F62">
            <v>0</v>
          </cell>
          <cell r="G62">
            <v>237.46870999999999</v>
          </cell>
          <cell r="H62">
            <v>0</v>
          </cell>
          <cell r="I62">
            <v>0</v>
          </cell>
          <cell r="J62">
            <v>861.39739999999995</v>
          </cell>
          <cell r="K62">
            <v>0</v>
          </cell>
          <cell r="L62">
            <v>0</v>
          </cell>
          <cell r="M62">
            <v>194.36474999999999</v>
          </cell>
          <cell r="N62">
            <v>0</v>
          </cell>
          <cell r="O62">
            <v>0</v>
          </cell>
          <cell r="P62">
            <v>1894.6557999999998</v>
          </cell>
          <cell r="Q62">
            <v>0</v>
          </cell>
          <cell r="R62">
            <v>0</v>
          </cell>
          <cell r="S62">
            <v>0</v>
          </cell>
          <cell r="T62">
            <v>0</v>
          </cell>
          <cell r="U62">
            <v>0</v>
          </cell>
        </row>
        <row r="63">
          <cell r="C63" t="str">
            <v>Express Peradeniya</v>
          </cell>
          <cell r="D63">
            <v>352.68301000000002</v>
          </cell>
          <cell r="E63">
            <v>0</v>
          </cell>
          <cell r="F63">
            <v>0</v>
          </cell>
          <cell r="G63">
            <v>114.92903</v>
          </cell>
          <cell r="H63">
            <v>0</v>
          </cell>
          <cell r="I63">
            <v>0</v>
          </cell>
          <cell r="J63">
            <v>517.55345999999997</v>
          </cell>
          <cell r="K63">
            <v>0</v>
          </cell>
          <cell r="L63">
            <v>0</v>
          </cell>
          <cell r="M63">
            <v>97.269930000000002</v>
          </cell>
          <cell r="N63">
            <v>0</v>
          </cell>
          <cell r="O63">
            <v>0</v>
          </cell>
          <cell r="P63">
            <v>1082.43543</v>
          </cell>
          <cell r="Q63">
            <v>0</v>
          </cell>
          <cell r="R63">
            <v>0</v>
          </cell>
          <cell r="S63">
            <v>0</v>
          </cell>
          <cell r="T63">
            <v>0</v>
          </cell>
          <cell r="U63">
            <v>0</v>
          </cell>
        </row>
        <row r="64">
          <cell r="C64" t="str">
            <v>Express Alexandra Place</v>
          </cell>
          <cell r="D64">
            <v>628.58123000000001</v>
          </cell>
          <cell r="E64">
            <v>0</v>
          </cell>
          <cell r="F64">
            <v>0</v>
          </cell>
          <cell r="G64">
            <v>157.268</v>
          </cell>
          <cell r="H64">
            <v>0</v>
          </cell>
          <cell r="I64">
            <v>0</v>
          </cell>
          <cell r="J64">
            <v>611.48548000000005</v>
          </cell>
          <cell r="K64">
            <v>0</v>
          </cell>
          <cell r="L64">
            <v>0</v>
          </cell>
          <cell r="M64">
            <v>134.18436</v>
          </cell>
          <cell r="N64">
            <v>0</v>
          </cell>
          <cell r="O64">
            <v>0</v>
          </cell>
          <cell r="P64">
            <v>1531.5190700000001</v>
          </cell>
          <cell r="Q64">
            <v>0</v>
          </cell>
          <cell r="R64">
            <v>0</v>
          </cell>
          <cell r="S64">
            <v>0</v>
          </cell>
          <cell r="T64">
            <v>0</v>
          </cell>
          <cell r="U64">
            <v>0</v>
          </cell>
        </row>
        <row r="65">
          <cell r="C65" t="str">
            <v>Express Boralla</v>
          </cell>
          <cell r="D65">
            <v>185.73527999999999</v>
          </cell>
          <cell r="E65">
            <v>0</v>
          </cell>
          <cell r="F65">
            <v>0</v>
          </cell>
          <cell r="G65">
            <v>73.65446</v>
          </cell>
          <cell r="H65">
            <v>0</v>
          </cell>
          <cell r="I65">
            <v>0</v>
          </cell>
          <cell r="J65">
            <v>215.06681</v>
          </cell>
          <cell r="K65">
            <v>0</v>
          </cell>
          <cell r="L65">
            <v>0</v>
          </cell>
          <cell r="M65">
            <v>34.799939999999999</v>
          </cell>
          <cell r="N65">
            <v>0</v>
          </cell>
          <cell r="O65">
            <v>0</v>
          </cell>
          <cell r="P65">
            <v>509.25648999999999</v>
          </cell>
          <cell r="Q65">
            <v>0</v>
          </cell>
          <cell r="R65">
            <v>0</v>
          </cell>
          <cell r="S65">
            <v>0</v>
          </cell>
          <cell r="T65">
            <v>0</v>
          </cell>
          <cell r="U65">
            <v>0</v>
          </cell>
        </row>
        <row r="66">
          <cell r="C66" t="str">
            <v>Express Havelock Road</v>
          </cell>
          <cell r="D66">
            <v>240.10856000000001</v>
          </cell>
          <cell r="E66">
            <v>0</v>
          </cell>
          <cell r="F66">
            <v>0</v>
          </cell>
          <cell r="G66">
            <v>74.389960000000002</v>
          </cell>
          <cell r="H66">
            <v>0</v>
          </cell>
          <cell r="I66">
            <v>0</v>
          </cell>
          <cell r="J66">
            <v>247.06306000000001</v>
          </cell>
          <cell r="K66">
            <v>0</v>
          </cell>
          <cell r="L66">
            <v>0</v>
          </cell>
          <cell r="M66">
            <v>37.412019999999998</v>
          </cell>
          <cell r="N66">
            <v>0</v>
          </cell>
          <cell r="O66">
            <v>0</v>
          </cell>
          <cell r="P66">
            <v>598.97360000000003</v>
          </cell>
          <cell r="Q66">
            <v>0</v>
          </cell>
          <cell r="R66">
            <v>0</v>
          </cell>
          <cell r="S66">
            <v>0</v>
          </cell>
          <cell r="T66">
            <v>0</v>
          </cell>
          <cell r="U66">
            <v>0</v>
          </cell>
        </row>
        <row r="67">
          <cell r="C67" t="str">
            <v>Express Maradana</v>
          </cell>
          <cell r="D67">
            <v>14.133699999999999</v>
          </cell>
          <cell r="E67">
            <v>0</v>
          </cell>
          <cell r="F67">
            <v>0</v>
          </cell>
          <cell r="G67">
            <v>24.403300000000002</v>
          </cell>
          <cell r="H67">
            <v>0</v>
          </cell>
          <cell r="I67">
            <v>0</v>
          </cell>
          <cell r="J67">
            <v>16.640059999999998</v>
          </cell>
          <cell r="K67">
            <v>0</v>
          </cell>
          <cell r="L67">
            <v>0</v>
          </cell>
          <cell r="M67">
            <v>15.03125</v>
          </cell>
          <cell r="N67">
            <v>0</v>
          </cell>
          <cell r="O67">
            <v>0</v>
          </cell>
          <cell r="P67">
            <v>70.208309999999997</v>
          </cell>
          <cell r="Q67">
            <v>0</v>
          </cell>
          <cell r="R67">
            <v>0</v>
          </cell>
          <cell r="S67">
            <v>0</v>
          </cell>
          <cell r="T67">
            <v>0</v>
          </cell>
          <cell r="U67">
            <v>0</v>
          </cell>
        </row>
        <row r="68">
          <cell r="C68" t="str">
            <v>Food City</v>
          </cell>
          <cell r="D68">
            <v>202037.11056999999</v>
          </cell>
          <cell r="E68">
            <v>131589.85549999998</v>
          </cell>
          <cell r="F68">
            <v>-53.535475665903462</v>
          </cell>
          <cell r="G68">
            <v>27978.171610000005</v>
          </cell>
          <cell r="H68">
            <v>19520.76873</v>
          </cell>
          <cell r="I68">
            <v>-43.325152799963554</v>
          </cell>
          <cell r="J68">
            <v>268063.27510000003</v>
          </cell>
          <cell r="K68">
            <v>181245.98135000002</v>
          </cell>
          <cell r="L68">
            <v>-47.900258589650655</v>
          </cell>
          <cell r="M68">
            <v>144549.21292999995</v>
          </cell>
          <cell r="N68">
            <v>82188.521170000007</v>
          </cell>
          <cell r="O68">
            <v>-75.875184116054513</v>
          </cell>
          <cell r="P68">
            <v>642627.7702100001</v>
          </cell>
          <cell r="Q68">
            <v>414545.12675000005</v>
          </cell>
          <cell r="R68">
            <v>-55.019979428572555</v>
          </cell>
          <cell r="S68">
            <v>90008.80863</v>
          </cell>
          <cell r="T68">
            <v>51936.488390000006</v>
          </cell>
          <cell r="U68">
            <v>-73.305534163396658</v>
          </cell>
        </row>
        <row r="69">
          <cell r="B69">
            <v>21</v>
          </cell>
          <cell r="P69">
            <v>0</v>
          </cell>
          <cell r="T69" t="str">
            <v>Schedule 3</v>
          </cell>
        </row>
        <row r="70">
          <cell r="B70" t="str">
            <v>CARGILLS ( CEYLON ) LTD</v>
          </cell>
        </row>
        <row r="72">
          <cell r="B72" t="str">
            <v xml:space="preserve"> Direct Expenses by Profit Centres/Divisions  -Twelve  months ended 31st March 2004 </v>
          </cell>
        </row>
        <row r="73">
          <cell r="C73" t="str">
            <v>YTD V YTD</v>
          </cell>
          <cell r="U73">
            <v>38154.357810300928</v>
          </cell>
        </row>
        <row r="74">
          <cell r="B74" t="str">
            <v>Profit Centre</v>
          </cell>
          <cell r="D74" t="str">
            <v>Staff Related</v>
          </cell>
          <cell r="G74" t="str">
            <v xml:space="preserve">Administration </v>
          </cell>
          <cell r="J74" t="str">
            <v xml:space="preserve">Establishment </v>
          </cell>
          <cell r="M74" t="str">
            <v>Selling &amp; Distribution</v>
          </cell>
          <cell r="P74" t="str">
            <v>Direct Expenses</v>
          </cell>
          <cell r="S74" t="str">
            <v>D&amp;A and Finance</v>
          </cell>
        </row>
        <row r="75">
          <cell r="D75">
            <v>38047</v>
          </cell>
          <cell r="E75">
            <v>37681</v>
          </cell>
          <cell r="F75" t="str">
            <v>Var %</v>
          </cell>
          <cell r="G75">
            <v>38047</v>
          </cell>
          <cell r="H75">
            <v>37681</v>
          </cell>
          <cell r="I75" t="str">
            <v>Var %</v>
          </cell>
          <cell r="J75">
            <v>38047</v>
          </cell>
          <cell r="K75">
            <v>37681</v>
          </cell>
          <cell r="L75" t="str">
            <v>Var %</v>
          </cell>
          <cell r="M75">
            <v>38047</v>
          </cell>
          <cell r="N75">
            <v>37681</v>
          </cell>
          <cell r="O75" t="str">
            <v>Var %</v>
          </cell>
          <cell r="P75">
            <v>38047</v>
          </cell>
          <cell r="Q75">
            <v>37681</v>
          </cell>
          <cell r="R75" t="str">
            <v>Var %</v>
          </cell>
          <cell r="S75">
            <v>38047</v>
          </cell>
          <cell r="T75">
            <v>37681</v>
          </cell>
          <cell r="U75" t="str">
            <v>Var %</v>
          </cell>
        </row>
        <row r="76">
          <cell r="C76" t="str">
            <v>Department Store</v>
          </cell>
          <cell r="D76">
            <v>565.24842000000001</v>
          </cell>
          <cell r="E76">
            <v>563.80307000000005</v>
          </cell>
          <cell r="F76">
            <v>-0.2563572419000773</v>
          </cell>
          <cell r="G76">
            <v>5.4908900000000003</v>
          </cell>
          <cell r="H76">
            <v>3.9721199999999999</v>
          </cell>
          <cell r="I76">
            <v>-38.235753199802637</v>
          </cell>
          <cell r="J76">
            <v>1.3688100000000001</v>
          </cell>
          <cell r="K76">
            <v>6.5322500000000003</v>
          </cell>
          <cell r="L76">
            <v>79.045351907841862</v>
          </cell>
          <cell r="M76">
            <v>19.120640000000002</v>
          </cell>
          <cell r="N76">
            <v>7.7951199999999998</v>
          </cell>
          <cell r="O76">
            <v>-145.28987366454911</v>
          </cell>
          <cell r="P76">
            <v>591.22876000000008</v>
          </cell>
          <cell r="Q76">
            <v>582.10256000000004</v>
          </cell>
          <cell r="R76">
            <v>-1.5677993238854746</v>
          </cell>
          <cell r="S76">
            <v>6.0999999999999999E-2</v>
          </cell>
          <cell r="T76">
            <v>0.1346</v>
          </cell>
          <cell r="U76">
            <v>54.680534918276379</v>
          </cell>
        </row>
        <row r="77">
          <cell r="C77" t="str">
            <v>Books &amp; Stationery</v>
          </cell>
          <cell r="D77">
            <v>2785.0916999999999</v>
          </cell>
          <cell r="E77">
            <v>2451.4354699999999</v>
          </cell>
          <cell r="F77">
            <v>-13.610647071203552</v>
          </cell>
          <cell r="G77">
            <v>299.24065999999999</v>
          </cell>
          <cell r="H77">
            <v>324.62248</v>
          </cell>
          <cell r="I77">
            <v>7.8188731723077236</v>
          </cell>
          <cell r="J77">
            <v>1738.7114199999999</v>
          </cell>
          <cell r="K77">
            <v>1761.7051100000003</v>
          </cell>
          <cell r="L77">
            <v>1.3051951696955948</v>
          </cell>
          <cell r="M77">
            <v>141.53237000000001</v>
          </cell>
          <cell r="N77">
            <v>113.60468999999999</v>
          </cell>
          <cell r="O77">
            <v>-24.583210429076498</v>
          </cell>
          <cell r="P77">
            <v>4964.5761499999999</v>
          </cell>
          <cell r="Q77">
            <v>4651.3677500000003</v>
          </cell>
          <cell r="R77">
            <v>-6.7336838718030743</v>
          </cell>
          <cell r="S77">
            <v>-7.3631699999999984</v>
          </cell>
          <cell r="T77">
            <v>157.82689999999999</v>
          </cell>
          <cell r="U77">
            <v>104.66534538789014</v>
          </cell>
        </row>
        <row r="78">
          <cell r="C78" t="str">
            <v>Hatton Liquor</v>
          </cell>
          <cell r="D78">
            <v>247.61833999999999</v>
          </cell>
          <cell r="E78">
            <v>246.00289000000001</v>
          </cell>
          <cell r="F78">
            <v>-0.65667927722311781</v>
          </cell>
          <cell r="G78">
            <v>63.831150000000001</v>
          </cell>
          <cell r="H78">
            <v>62.164110000000001</v>
          </cell>
          <cell r="I78">
            <v>-2.6816759702664452</v>
          </cell>
          <cell r="J78">
            <v>61.77778</v>
          </cell>
          <cell r="K78">
            <v>57.696530000000003</v>
          </cell>
          <cell r="L78">
            <v>-7.0736489698773859</v>
          </cell>
          <cell r="M78">
            <v>1091.5509099999999</v>
          </cell>
          <cell r="N78">
            <v>999.45039999999995</v>
          </cell>
          <cell r="O78">
            <v>-9.2151156275489008</v>
          </cell>
          <cell r="P78">
            <v>1464.7781799999998</v>
          </cell>
          <cell r="Q78">
            <v>1365.31393</v>
          </cell>
          <cell r="R78">
            <v>-7.2850827794600876</v>
          </cell>
          <cell r="S78">
            <v>0</v>
          </cell>
          <cell r="T78">
            <v>0</v>
          </cell>
          <cell r="U78">
            <v>0</v>
          </cell>
        </row>
        <row r="79">
          <cell r="C79" t="str">
            <v>Retail Division</v>
          </cell>
          <cell r="D79">
            <v>205635.06902999998</v>
          </cell>
          <cell r="E79">
            <v>134851.09692999997</v>
          </cell>
          <cell r="F79">
            <v>-52.490468161889225</v>
          </cell>
          <cell r="G79">
            <v>28346.734310000003</v>
          </cell>
          <cell r="H79">
            <v>19911.527439999998</v>
          </cell>
          <cell r="I79">
            <v>-42.363434424697289</v>
          </cell>
          <cell r="J79">
            <v>269865.13311000005</v>
          </cell>
          <cell r="K79">
            <v>183071.91524</v>
          </cell>
          <cell r="L79">
            <v>-47.409357003895217</v>
          </cell>
          <cell r="M79">
            <v>145801.41684999995</v>
          </cell>
          <cell r="N79">
            <v>83309.371380000011</v>
          </cell>
          <cell r="O79">
            <v>-75.012023779358799</v>
          </cell>
          <cell r="P79">
            <v>649648.35330000008</v>
          </cell>
          <cell r="Q79">
            <v>421143.91099000006</v>
          </cell>
          <cell r="R79">
            <v>-54.258042523479766</v>
          </cell>
          <cell r="S79">
            <v>90001.506460000004</v>
          </cell>
          <cell r="T79">
            <v>52094.449890000004</v>
          </cell>
          <cell r="U79">
            <v>-72.766017589287571</v>
          </cell>
        </row>
        <row r="80">
          <cell r="C80" t="str">
            <v>Commercial Division</v>
          </cell>
          <cell r="D80">
            <v>12981.192849999999</v>
          </cell>
          <cell r="E80">
            <v>7723.57726</v>
          </cell>
          <cell r="F80">
            <v>-68.072285846467977</v>
          </cell>
          <cell r="G80">
            <v>5130.3340100000005</v>
          </cell>
          <cell r="H80">
            <v>3779.9016700000002</v>
          </cell>
          <cell r="I80">
            <v>-35.726652645966851</v>
          </cell>
          <cell r="J80">
            <v>2274.2089900000001</v>
          </cell>
          <cell r="K80">
            <v>2040.4364600000001</v>
          </cell>
          <cell r="L80">
            <v>-11.45698651160154</v>
          </cell>
          <cell r="M80">
            <v>7587.8666800000001</v>
          </cell>
          <cell r="N80">
            <v>2755.57033</v>
          </cell>
          <cell r="O80">
            <v>-175.3646530952451</v>
          </cell>
          <cell r="P80">
            <v>27973.602529999996</v>
          </cell>
          <cell r="Q80">
            <v>16299.485720000002</v>
          </cell>
          <cell r="R80">
            <v>-71.62260828680914</v>
          </cell>
          <cell r="S80">
            <v>1008.1410100000001</v>
          </cell>
          <cell r="T80">
            <v>998.20771999999988</v>
          </cell>
          <cell r="U80">
            <v>-0.9951125202678428</v>
          </cell>
        </row>
        <row r="81">
          <cell r="C81" t="str">
            <v>Hampers</v>
          </cell>
          <cell r="D81">
            <v>313.72415000000001</v>
          </cell>
          <cell r="E81">
            <v>15.025729999999999</v>
          </cell>
          <cell r="F81">
            <v>-1987.912866795823</v>
          </cell>
          <cell r="G81">
            <v>112.55311</v>
          </cell>
          <cell r="H81">
            <v>65.349599999999995</v>
          </cell>
          <cell r="I81">
            <v>-72.23228604306685</v>
          </cell>
          <cell r="J81">
            <v>6.3937299999999997</v>
          </cell>
          <cell r="K81">
            <v>4.7214200000000002</v>
          </cell>
          <cell r="L81">
            <v>-35.419640701314428</v>
          </cell>
          <cell r="M81">
            <v>1407.94884</v>
          </cell>
          <cell r="N81">
            <v>1510.3316400000001</v>
          </cell>
          <cell r="O81">
            <v>6.7788290524060058</v>
          </cell>
          <cell r="P81">
            <v>1840.6198300000001</v>
          </cell>
          <cell r="Q81">
            <v>1595.42839</v>
          </cell>
          <cell r="R81">
            <v>-15.368376389491228</v>
          </cell>
          <cell r="S81">
            <v>0</v>
          </cell>
          <cell r="T81">
            <v>0</v>
          </cell>
          <cell r="U81">
            <v>0</v>
          </cell>
        </row>
        <row r="82">
          <cell r="C82" t="str">
            <v xml:space="preserve">Wines &amp; Spirits </v>
          </cell>
          <cell r="D82">
            <v>3360.9110900000001</v>
          </cell>
          <cell r="E82">
            <v>2111.6544899999999</v>
          </cell>
          <cell r="F82">
            <v>-59.160085417193429</v>
          </cell>
          <cell r="G82">
            <v>1212.35077</v>
          </cell>
          <cell r="H82">
            <v>1366.8156799999999</v>
          </cell>
          <cell r="I82">
            <v>11.301078284381397</v>
          </cell>
          <cell r="J82">
            <v>80.552279999999996</v>
          </cell>
          <cell r="K82">
            <v>32.391199999999998</v>
          </cell>
          <cell r="L82">
            <v>-148.68569241028428</v>
          </cell>
          <cell r="M82">
            <v>3644.1385300000002</v>
          </cell>
          <cell r="N82">
            <v>2757.3680399999998</v>
          </cell>
          <cell r="O82">
            <v>-32.160033667467921</v>
          </cell>
          <cell r="P82">
            <v>8297.9526700000006</v>
          </cell>
          <cell r="Q82">
            <v>6268.2294099999999</v>
          </cell>
          <cell r="R82">
            <v>-32.381125948611391</v>
          </cell>
          <cell r="S82">
            <v>-1764.7998</v>
          </cell>
          <cell r="T82">
            <v>-982.31430999999998</v>
          </cell>
          <cell r="U82">
            <v>79.657344093867479</v>
          </cell>
        </row>
        <row r="83">
          <cell r="C83" t="str">
            <v>Total</v>
          </cell>
          <cell r="D83">
            <v>222290.89711999998</v>
          </cell>
          <cell r="E83">
            <v>144701.35440999994</v>
          </cell>
          <cell r="F83">
            <v>-53.620467497599336</v>
          </cell>
          <cell r="G83">
            <v>34801.972200000004</v>
          </cell>
          <cell r="H83">
            <v>25123.594389999998</v>
          </cell>
          <cell r="I83">
            <v>-38.523061866706108</v>
          </cell>
          <cell r="J83">
            <v>272226.28811000008</v>
          </cell>
          <cell r="K83">
            <v>185149.46432</v>
          </cell>
          <cell r="L83">
            <v>-47.030556696346849</v>
          </cell>
          <cell r="M83">
            <v>158441.37089999995</v>
          </cell>
          <cell r="N83">
            <v>90332.641390000019</v>
          </cell>
          <cell r="O83">
            <v>-75.397695076742977</v>
          </cell>
          <cell r="P83">
            <v>687760.52833000012</v>
          </cell>
          <cell r="Q83">
            <v>445307.05451000005</v>
          </cell>
          <cell r="R83">
            <v>-54.446358162187039</v>
          </cell>
          <cell r="S83">
            <v>89244.847670000017</v>
          </cell>
          <cell r="T83">
            <v>52110.3433</v>
          </cell>
          <cell r="U83">
            <v>-71.261292899599866</v>
          </cell>
        </row>
        <row r="87">
          <cell r="C87" t="str">
            <v>JAIC</v>
          </cell>
          <cell r="D87">
            <v>0</v>
          </cell>
          <cell r="E87">
            <v>0</v>
          </cell>
          <cell r="F87">
            <v>0</v>
          </cell>
          <cell r="G87">
            <v>0</v>
          </cell>
          <cell r="H87">
            <v>0</v>
          </cell>
          <cell r="I87">
            <v>0</v>
          </cell>
          <cell r="J87">
            <v>0</v>
          </cell>
          <cell r="K87">
            <v>0</v>
          </cell>
          <cell r="L87">
            <v>0</v>
          </cell>
          <cell r="M87">
            <v>0</v>
          </cell>
          <cell r="N87">
            <v>0</v>
          </cell>
          <cell r="O87">
            <v>0</v>
          </cell>
          <cell r="P87">
            <v>0</v>
          </cell>
          <cell r="Q87">
            <v>0</v>
          </cell>
          <cell r="R87">
            <v>0</v>
          </cell>
          <cell r="S87">
            <v>-1.7725</v>
          </cell>
          <cell r="T87">
            <v>0</v>
          </cell>
          <cell r="U87">
            <v>0</v>
          </cell>
        </row>
        <row r="88">
          <cell r="D88">
            <v>0</v>
          </cell>
          <cell r="E88">
            <v>0</v>
          </cell>
          <cell r="F88">
            <v>0</v>
          </cell>
          <cell r="G88">
            <v>0</v>
          </cell>
          <cell r="H88">
            <v>0</v>
          </cell>
          <cell r="I88">
            <v>0</v>
          </cell>
          <cell r="J88">
            <v>0</v>
          </cell>
          <cell r="K88">
            <v>0</v>
          </cell>
          <cell r="L88">
            <v>0</v>
          </cell>
          <cell r="M88">
            <v>0</v>
          </cell>
          <cell r="N88">
            <v>0</v>
          </cell>
          <cell r="O88">
            <v>0</v>
          </cell>
          <cell r="P88">
            <v>0</v>
          </cell>
          <cell r="Q88">
            <v>0</v>
          </cell>
          <cell r="R88">
            <v>0</v>
          </cell>
          <cell r="S88">
            <v>-1.5805</v>
          </cell>
          <cell r="T88">
            <v>0</v>
          </cell>
          <cell r="U88">
            <v>0</v>
          </cell>
        </row>
        <row r="89">
          <cell r="D89">
            <v>0</v>
          </cell>
          <cell r="E89">
            <v>-23.54006</v>
          </cell>
          <cell r="F89">
            <v>100</v>
          </cell>
          <cell r="G89">
            <v>0</v>
          </cell>
          <cell r="H89">
            <v>0</v>
          </cell>
          <cell r="I89">
            <v>0</v>
          </cell>
          <cell r="J89">
            <v>0</v>
          </cell>
          <cell r="K89">
            <v>0</v>
          </cell>
          <cell r="L89">
            <v>0</v>
          </cell>
          <cell r="M89">
            <v>0</v>
          </cell>
          <cell r="N89">
            <v>0</v>
          </cell>
          <cell r="O89">
            <v>0</v>
          </cell>
          <cell r="P89">
            <v>0</v>
          </cell>
          <cell r="Q89">
            <v>-23.54006</v>
          </cell>
          <cell r="R89">
            <v>100</v>
          </cell>
          <cell r="S89">
            <v>-3.4055</v>
          </cell>
          <cell r="T89">
            <v>0</v>
          </cell>
          <cell r="U89">
            <v>0</v>
          </cell>
        </row>
        <row r="90">
          <cell r="D90">
            <v>0</v>
          </cell>
          <cell r="E90">
            <v>-23.54006</v>
          </cell>
          <cell r="F90">
            <v>100</v>
          </cell>
          <cell r="G90">
            <v>0</v>
          </cell>
          <cell r="H90">
            <v>0</v>
          </cell>
          <cell r="I90">
            <v>0</v>
          </cell>
          <cell r="J90">
            <v>0</v>
          </cell>
          <cell r="K90">
            <v>0</v>
          </cell>
          <cell r="L90">
            <v>0</v>
          </cell>
          <cell r="M90">
            <v>0</v>
          </cell>
          <cell r="N90">
            <v>0</v>
          </cell>
          <cell r="O90">
            <v>0</v>
          </cell>
          <cell r="P90">
            <v>0</v>
          </cell>
          <cell r="Q90">
            <v>-23.54006</v>
          </cell>
          <cell r="R90">
            <v>100</v>
          </cell>
          <cell r="S90">
            <v>-6.7584999999999997</v>
          </cell>
          <cell r="T90">
            <v>0</v>
          </cell>
          <cell r="U90">
            <v>0</v>
          </cell>
        </row>
        <row r="96">
          <cell r="B96">
            <v>20</v>
          </cell>
          <cell r="T96" t="str">
            <v>Schedule 2</v>
          </cell>
        </row>
        <row r="97">
          <cell r="B97" t="str">
            <v>CARGILLS ( CEYLON ) LTD</v>
          </cell>
        </row>
        <row r="99">
          <cell r="B99" t="str">
            <v xml:space="preserve"> Contribution by Profit Centres/Divisions  -Twelve  months ended 31st March 2004</v>
          </cell>
        </row>
        <row r="100">
          <cell r="C100" t="str">
            <v>YTD V YTD</v>
          </cell>
          <cell r="U100">
            <v>38154.357810300928</v>
          </cell>
        </row>
        <row r="101">
          <cell r="B101" t="str">
            <v>Profit Centre</v>
          </cell>
          <cell r="D101" t="str">
            <v>Gross Turnover</v>
          </cell>
          <cell r="G101" t="str">
            <v>Achieved Gross Profit</v>
          </cell>
          <cell r="J101" t="str">
            <v>Other Income</v>
          </cell>
          <cell r="M101" t="str">
            <v>Direct Expenses</v>
          </cell>
          <cell r="P101" t="str">
            <v>D&amp;A and Finance</v>
          </cell>
          <cell r="S101" t="str">
            <v>Contribution</v>
          </cell>
        </row>
        <row r="102">
          <cell r="D102">
            <v>38047</v>
          </cell>
          <cell r="E102">
            <v>37681</v>
          </cell>
          <cell r="F102" t="str">
            <v>Var %</v>
          </cell>
          <cell r="G102">
            <v>38047</v>
          </cell>
          <cell r="H102">
            <v>37681</v>
          </cell>
          <cell r="I102" t="str">
            <v>Var %</v>
          </cell>
          <cell r="J102">
            <v>38047</v>
          </cell>
          <cell r="K102">
            <v>37681</v>
          </cell>
          <cell r="L102" t="str">
            <v>Var %</v>
          </cell>
          <cell r="M102">
            <v>38047</v>
          </cell>
          <cell r="N102">
            <v>37681</v>
          </cell>
          <cell r="O102" t="str">
            <v>Var %</v>
          </cell>
          <cell r="P102">
            <v>38047</v>
          </cell>
          <cell r="Q102">
            <v>37681</v>
          </cell>
          <cell r="R102" t="str">
            <v>Var %</v>
          </cell>
          <cell r="S102">
            <v>38047</v>
          </cell>
          <cell r="T102">
            <v>37681</v>
          </cell>
          <cell r="U102" t="str">
            <v>Var %</v>
          </cell>
        </row>
        <row r="103">
          <cell r="C103" t="str">
            <v>Staples Street</v>
          </cell>
          <cell r="D103">
            <v>629990.96895000001</v>
          </cell>
          <cell r="E103">
            <v>586363.12155000004</v>
          </cell>
          <cell r="F103">
            <v>7.4404146162319247</v>
          </cell>
          <cell r="G103">
            <v>94470.605429999996</v>
          </cell>
          <cell r="H103">
            <v>93789.360629999996</v>
          </cell>
          <cell r="I103">
            <v>0.72635616174793882</v>
          </cell>
          <cell r="J103">
            <v>8363.9793499999996</v>
          </cell>
          <cell r="K103">
            <v>5788.7269399999996</v>
          </cell>
          <cell r="L103">
            <v>44.487370654937131</v>
          </cell>
          <cell r="M103">
            <v>52454.973039999997</v>
          </cell>
          <cell r="N103">
            <v>48601.54479</v>
          </cell>
          <cell r="O103">
            <v>-7.9286126946171844</v>
          </cell>
          <cell r="P103">
            <v>5759.0972599999996</v>
          </cell>
          <cell r="Q103">
            <v>5856.5282699999998</v>
          </cell>
          <cell r="R103">
            <v>1.6636308322643893</v>
          </cell>
          <cell r="S103">
            <v>44620.514479999991</v>
          </cell>
          <cell r="T103">
            <v>45120.014509999986</v>
          </cell>
          <cell r="U103">
            <v>-1.1070475828178004</v>
          </cell>
        </row>
        <row r="104">
          <cell r="C104" t="str">
            <v>Kandy</v>
          </cell>
          <cell r="D104">
            <v>478411.08270000003</v>
          </cell>
          <cell r="E104">
            <v>391060.77614999999</v>
          </cell>
          <cell r="F104">
            <v>22.336759879107614</v>
          </cell>
          <cell r="G104">
            <v>60871.662859999997</v>
          </cell>
          <cell r="H104">
            <v>51207.819280000003</v>
          </cell>
          <cell r="I104">
            <v>18.871812383102899</v>
          </cell>
          <cell r="J104">
            <v>5710.34836</v>
          </cell>
          <cell r="K104">
            <v>4178.2427200000002</v>
          </cell>
          <cell r="L104">
            <v>36.668660551151504</v>
          </cell>
          <cell r="M104">
            <v>27177.37183</v>
          </cell>
          <cell r="N104">
            <v>24409.34837</v>
          </cell>
          <cell r="O104">
            <v>-11.34001374408669</v>
          </cell>
          <cell r="P104">
            <v>4773.0047399999994</v>
          </cell>
          <cell r="Q104">
            <v>3818.0907999999999</v>
          </cell>
          <cell r="R104">
            <v>-25.010247006173859</v>
          </cell>
          <cell r="S104">
            <v>34631.63465</v>
          </cell>
          <cell r="T104">
            <v>27158.622830000008</v>
          </cell>
          <cell r="U104">
            <v>27.516166290085742</v>
          </cell>
        </row>
        <row r="105">
          <cell r="C105" t="str">
            <v>Mount Lavinia</v>
          </cell>
          <cell r="D105">
            <v>306186.10834999999</v>
          </cell>
          <cell r="E105">
            <v>251814.30105000001</v>
          </cell>
          <cell r="F105">
            <v>21.592025184147097</v>
          </cell>
          <cell r="G105">
            <v>34003.28628</v>
          </cell>
          <cell r="H105">
            <v>27629.128250000002</v>
          </cell>
          <cell r="I105">
            <v>23.070427602072456</v>
          </cell>
          <cell r="J105">
            <v>2109.31124</v>
          </cell>
          <cell r="K105">
            <v>2397.3786500000001</v>
          </cell>
          <cell r="L105">
            <v>-12.015932902380694</v>
          </cell>
          <cell r="M105">
            <v>19267.637199999997</v>
          </cell>
          <cell r="N105">
            <v>16826.971269999998</v>
          </cell>
          <cell r="O105">
            <v>-14.504487413913553</v>
          </cell>
          <cell r="P105">
            <v>1010.8280999999999</v>
          </cell>
          <cell r="Q105">
            <v>1101.6261999999999</v>
          </cell>
          <cell r="R105">
            <v>8.2421877765797493</v>
          </cell>
          <cell r="S105">
            <v>15834.132220000005</v>
          </cell>
          <cell r="T105">
            <v>12097.909430000002</v>
          </cell>
          <cell r="U105">
            <v>30.883210125007547</v>
          </cell>
        </row>
        <row r="106">
          <cell r="C106" t="str">
            <v>Wellawatte</v>
          </cell>
          <cell r="D106">
            <v>104176.2411</v>
          </cell>
          <cell r="E106">
            <v>94091.372900000002</v>
          </cell>
          <cell r="F106">
            <v>10.718164576807867</v>
          </cell>
          <cell r="G106">
            <v>15330.736339999999</v>
          </cell>
          <cell r="H106">
            <v>15180.22005</v>
          </cell>
          <cell r="I106">
            <v>0.99152903913273349</v>
          </cell>
          <cell r="J106">
            <v>903.32757000000004</v>
          </cell>
          <cell r="K106">
            <v>826.03335000000004</v>
          </cell>
          <cell r="L106">
            <v>9.3572759501780407</v>
          </cell>
          <cell r="M106">
            <v>14890.01038</v>
          </cell>
          <cell r="N106">
            <v>8933.8618399999996</v>
          </cell>
          <cell r="O106">
            <v>-66.669360313277465</v>
          </cell>
          <cell r="P106">
            <v>322.63249999999999</v>
          </cell>
          <cell r="Q106">
            <v>359.15969999999999</v>
          </cell>
          <cell r="R106">
            <v>10.17018334740785</v>
          </cell>
          <cell r="S106">
            <v>1021.4210299999993</v>
          </cell>
          <cell r="T106">
            <v>6713.2318599999999</v>
          </cell>
          <cell r="U106">
            <v>-84.7849582540711</v>
          </cell>
        </row>
        <row r="107">
          <cell r="C107" t="str">
            <v>Bambalapitiya</v>
          </cell>
          <cell r="D107">
            <v>213429.84414999999</v>
          </cell>
          <cell r="E107">
            <v>206781.27854999999</v>
          </cell>
          <cell r="F107">
            <v>3.2152647699159909</v>
          </cell>
          <cell r="G107">
            <v>32128.037329999999</v>
          </cell>
          <cell r="H107">
            <v>32715.182830000002</v>
          </cell>
          <cell r="I107">
            <v>-1.7947186878062829</v>
          </cell>
          <cell r="J107">
            <v>4331.3216599999996</v>
          </cell>
          <cell r="K107">
            <v>3319.6047199999998</v>
          </cell>
          <cell r="L107">
            <v>30.477030409813366</v>
          </cell>
          <cell r="M107">
            <v>23815.931510000002</v>
          </cell>
          <cell r="N107">
            <v>23173.330719999998</v>
          </cell>
          <cell r="O107">
            <v>-2.7730186815372222</v>
          </cell>
          <cell r="P107">
            <v>795.11073999999996</v>
          </cell>
          <cell r="Q107">
            <v>799.12552000000005</v>
          </cell>
          <cell r="R107">
            <v>0.50239666979976894</v>
          </cell>
          <cell r="S107">
            <v>11848.316739999998</v>
          </cell>
          <cell r="T107">
            <v>12062.331310000003</v>
          </cell>
          <cell r="U107">
            <v>-1.7742388639464817</v>
          </cell>
        </row>
        <row r="108">
          <cell r="C108" t="str">
            <v>Nuwara Eliya</v>
          </cell>
          <cell r="D108">
            <v>118060.76665000001</v>
          </cell>
          <cell r="E108">
            <v>89516.127800000002</v>
          </cell>
          <cell r="F108">
            <v>31.887705100219943</v>
          </cell>
          <cell r="G108">
            <v>15075.541279999999</v>
          </cell>
          <cell r="H108">
            <v>11285.986989999999</v>
          </cell>
          <cell r="I108">
            <v>33.577517795809548</v>
          </cell>
          <cell r="J108">
            <v>1761.7925</v>
          </cell>
          <cell r="K108">
            <v>1732.9757099999999</v>
          </cell>
          <cell r="L108">
            <v>1.6628501965558471</v>
          </cell>
          <cell r="M108">
            <v>10853.40821</v>
          </cell>
          <cell r="N108">
            <v>9451.9460500000005</v>
          </cell>
          <cell r="O108">
            <v>-14.827234017062541</v>
          </cell>
          <cell r="P108">
            <v>2193.20676</v>
          </cell>
          <cell r="Q108">
            <v>2234.2334300000002</v>
          </cell>
          <cell r="R108">
            <v>1.8362750037269022</v>
          </cell>
          <cell r="S108">
            <v>3790.7188100000012</v>
          </cell>
          <cell r="T108">
            <v>1332.7832199999993</v>
          </cell>
          <cell r="U108">
            <v>184.42125869501891</v>
          </cell>
        </row>
        <row r="109">
          <cell r="C109" t="str">
            <v>Bandarawela</v>
          </cell>
          <cell r="D109">
            <v>248038.63045</v>
          </cell>
          <cell r="E109">
            <v>204801.49145</v>
          </cell>
          <cell r="F109">
            <v>21.111730531784659</v>
          </cell>
          <cell r="G109">
            <v>19413.527730000002</v>
          </cell>
          <cell r="H109">
            <v>16116.628580000001</v>
          </cell>
          <cell r="I109">
            <v>20.456506356988967</v>
          </cell>
          <cell r="J109">
            <v>1102.9184499999999</v>
          </cell>
          <cell r="K109">
            <v>1375.10016</v>
          </cell>
          <cell r="L109">
            <v>-19.793591617355354</v>
          </cell>
          <cell r="M109">
            <v>10454.33059</v>
          </cell>
          <cell r="N109">
            <v>8836.8777300000002</v>
          </cell>
          <cell r="O109">
            <v>-18.303442793023677</v>
          </cell>
          <cell r="P109">
            <v>543.76404000000002</v>
          </cell>
          <cell r="Q109">
            <v>595.91904000000011</v>
          </cell>
          <cell r="R109">
            <v>8.7520277922316545</v>
          </cell>
          <cell r="S109">
            <v>9518.351550000003</v>
          </cell>
          <cell r="T109">
            <v>8058.9319699999987</v>
          </cell>
          <cell r="U109">
            <v>18.10934234750718</v>
          </cell>
        </row>
        <row r="110">
          <cell r="C110" t="str">
            <v>Maharagama</v>
          </cell>
          <cell r="D110">
            <v>213451.07399999999</v>
          </cell>
          <cell r="E110">
            <v>162909.2224</v>
          </cell>
          <cell r="F110">
            <v>31.024549043578268</v>
          </cell>
          <cell r="G110">
            <v>33532.947249999997</v>
          </cell>
          <cell r="H110">
            <v>26437.575629999999</v>
          </cell>
          <cell r="I110">
            <v>26.838208311160482</v>
          </cell>
          <cell r="J110">
            <v>2323.2995599999999</v>
          </cell>
          <cell r="K110">
            <v>2163.8807299999999</v>
          </cell>
          <cell r="L110">
            <v>7.3672651079988158</v>
          </cell>
          <cell r="M110">
            <v>19844.415110000002</v>
          </cell>
          <cell r="N110">
            <v>16211.838879999999</v>
          </cell>
          <cell r="O110">
            <v>-22.406935184147368</v>
          </cell>
          <cell r="P110">
            <v>893.00350000000003</v>
          </cell>
          <cell r="Q110">
            <v>1000.4793</v>
          </cell>
          <cell r="R110">
            <v>10.742431152748482</v>
          </cell>
          <cell r="S110">
            <v>15118.828199999994</v>
          </cell>
          <cell r="T110">
            <v>11389.138180000002</v>
          </cell>
          <cell r="U110">
            <v>32.747780921207436</v>
          </cell>
        </row>
        <row r="111">
          <cell r="C111" t="str">
            <v>Kiribathgoda</v>
          </cell>
          <cell r="D111">
            <v>116133.4103</v>
          </cell>
          <cell r="E111">
            <v>133701.0019</v>
          </cell>
          <cell r="F111">
            <v>-13.139461447820308</v>
          </cell>
          <cell r="G111">
            <v>18073.90668</v>
          </cell>
          <cell r="H111">
            <v>21994.314439999998</v>
          </cell>
          <cell r="I111">
            <v>-17.824641775922519</v>
          </cell>
          <cell r="J111">
            <v>940.42989999999998</v>
          </cell>
          <cell r="K111">
            <v>1431.91256</v>
          </cell>
          <cell r="L111">
            <v>-34.323510647884817</v>
          </cell>
          <cell r="M111">
            <v>10896.228450000001</v>
          </cell>
          <cell r="N111">
            <v>11614.120290000001</v>
          </cell>
          <cell r="O111">
            <v>6.1811985933891176</v>
          </cell>
          <cell r="P111">
            <v>446.81950000000001</v>
          </cell>
          <cell r="Q111">
            <v>517.24490000000003</v>
          </cell>
          <cell r="R111">
            <v>13.615484657267771</v>
          </cell>
          <cell r="S111">
            <v>7671.2886299999991</v>
          </cell>
          <cell r="T111">
            <v>11294.861809999999</v>
          </cell>
          <cell r="U111">
            <v>-32.081607025876487</v>
          </cell>
        </row>
        <row r="112">
          <cell r="C112" t="str">
            <v>Nugegoda</v>
          </cell>
          <cell r="D112">
            <v>229663.02309999999</v>
          </cell>
          <cell r="E112">
            <v>209284.9915</v>
          </cell>
          <cell r="F112">
            <v>9.736977054085596</v>
          </cell>
          <cell r="G112">
            <v>36322.17</v>
          </cell>
          <cell r="H112">
            <v>34615.623480000002</v>
          </cell>
          <cell r="I112">
            <v>4.9299892604447644</v>
          </cell>
          <cell r="J112">
            <v>4449.0418900000004</v>
          </cell>
          <cell r="K112">
            <v>3748.26476</v>
          </cell>
          <cell r="L112">
            <v>18.696041365018207</v>
          </cell>
          <cell r="M112">
            <v>25146.118919999997</v>
          </cell>
          <cell r="N112">
            <v>22730.339619999999</v>
          </cell>
          <cell r="O112">
            <v>-10.627994743529479</v>
          </cell>
          <cell r="P112">
            <v>1571.48486</v>
          </cell>
          <cell r="Q112">
            <v>867.64229999999998</v>
          </cell>
          <cell r="R112">
            <v>-81.121282353338472</v>
          </cell>
          <cell r="S112">
            <v>14053.608110000001</v>
          </cell>
          <cell r="T112">
            <v>14765.906320000002</v>
          </cell>
          <cell r="U112">
            <v>-4.8239382978829619</v>
          </cell>
        </row>
        <row r="113">
          <cell r="C113" t="str">
            <v>Fort</v>
          </cell>
          <cell r="D113">
            <v>164551.77575</v>
          </cell>
          <cell r="E113">
            <v>144111.6286</v>
          </cell>
          <cell r="F113">
            <v>14.183551562472596</v>
          </cell>
          <cell r="G113">
            <v>17873.995470000002</v>
          </cell>
          <cell r="H113">
            <v>16468.563539999999</v>
          </cell>
          <cell r="I113">
            <v>8.5340286454637724</v>
          </cell>
          <cell r="J113">
            <v>1701.8141000000001</v>
          </cell>
          <cell r="K113">
            <v>1684.7327</v>
          </cell>
          <cell r="L113">
            <v>1.0138937767397778</v>
          </cell>
          <cell r="M113">
            <v>7874.3055700000004</v>
          </cell>
          <cell r="N113">
            <v>7211.2034000000003</v>
          </cell>
          <cell r="O113">
            <v>-9.1954439948261637</v>
          </cell>
          <cell r="P113">
            <v>428.59350000000001</v>
          </cell>
          <cell r="Q113">
            <v>509.34989999999999</v>
          </cell>
          <cell r="R113">
            <v>15.854798440129267</v>
          </cell>
          <cell r="S113">
            <v>11272.9105</v>
          </cell>
          <cell r="T113">
            <v>10432.74294</v>
          </cell>
          <cell r="U113">
            <v>8.053179924320073</v>
          </cell>
        </row>
        <row r="114">
          <cell r="C114" t="str">
            <v>Malabe</v>
          </cell>
          <cell r="D114">
            <v>163847.60699999999</v>
          </cell>
          <cell r="E114">
            <v>131039.6829</v>
          </cell>
          <cell r="F114">
            <v>25.036632700825916</v>
          </cell>
          <cell r="G114">
            <v>24716.350279999999</v>
          </cell>
          <cell r="H114">
            <v>21225.048849999999</v>
          </cell>
          <cell r="I114">
            <v>16.448967701669151</v>
          </cell>
          <cell r="J114">
            <v>1893.75117</v>
          </cell>
          <cell r="K114">
            <v>1738.2683500000001</v>
          </cell>
          <cell r="L114">
            <v>8.9446960246385405</v>
          </cell>
          <cell r="M114">
            <v>16397.381280000001</v>
          </cell>
          <cell r="N114">
            <v>15455.449429999999</v>
          </cell>
          <cell r="O114">
            <v>-6.0944966645334411</v>
          </cell>
          <cell r="P114">
            <v>662.15904999999998</v>
          </cell>
          <cell r="Q114">
            <v>1692.2049099999999</v>
          </cell>
          <cell r="R114">
            <v>60.870043214801925</v>
          </cell>
          <cell r="S114">
            <v>9550.5611199999967</v>
          </cell>
          <cell r="T114">
            <v>5815.6628599999985</v>
          </cell>
          <cell r="U114">
            <v>64.221368224223355</v>
          </cell>
        </row>
        <row r="115">
          <cell r="C115" t="str">
            <v>Negombo</v>
          </cell>
          <cell r="D115">
            <v>278342.3653</v>
          </cell>
          <cell r="E115">
            <v>178419.53750000001</v>
          </cell>
          <cell r="F115">
            <v>56.004420367920751</v>
          </cell>
          <cell r="G115">
            <v>29210.640189999998</v>
          </cell>
          <cell r="H115">
            <v>26810.691910000001</v>
          </cell>
          <cell r="I115">
            <v>8.9514596939769788</v>
          </cell>
          <cell r="J115">
            <v>7228.3975499999997</v>
          </cell>
          <cell r="K115">
            <v>3692.2185399999998</v>
          </cell>
          <cell r="L115">
            <v>95.773827353133868</v>
          </cell>
          <cell r="M115">
            <v>18640.559290000001</v>
          </cell>
          <cell r="N115">
            <v>16194.231620000002</v>
          </cell>
          <cell r="O115">
            <v>-15.106166982191146</v>
          </cell>
          <cell r="P115">
            <v>1184.0274999999999</v>
          </cell>
          <cell r="Q115">
            <v>2279.1177699999998</v>
          </cell>
          <cell r="R115">
            <v>48.04886717196716</v>
          </cell>
          <cell r="S115">
            <v>16614.450949999999</v>
          </cell>
          <cell r="T115">
            <v>12029.56106</v>
          </cell>
          <cell r="U115">
            <v>38.113526064100618</v>
          </cell>
        </row>
        <row r="116">
          <cell r="C116" t="str">
            <v>Rajagiriya</v>
          </cell>
          <cell r="D116">
            <v>147202.46239999999</v>
          </cell>
          <cell r="E116">
            <v>125588.156</v>
          </cell>
          <cell r="F116">
            <v>17.210465611104272</v>
          </cell>
          <cell r="G116">
            <v>23039.273440000001</v>
          </cell>
          <cell r="H116">
            <v>20457.666440000001</v>
          </cell>
          <cell r="I116">
            <v>12.619264311360039</v>
          </cell>
          <cell r="J116">
            <v>1448.36617</v>
          </cell>
          <cell r="K116">
            <v>1384.5881400000001</v>
          </cell>
          <cell r="L116">
            <v>4.6062816918249743</v>
          </cell>
          <cell r="M116">
            <v>13356.188849999999</v>
          </cell>
          <cell r="N116">
            <v>12124.8791</v>
          </cell>
          <cell r="O116">
            <v>-10.155233217954301</v>
          </cell>
          <cell r="P116">
            <v>934.45862</v>
          </cell>
          <cell r="Q116">
            <v>1463.5637099999999</v>
          </cell>
          <cell r="R116">
            <v>36.151831750460659</v>
          </cell>
          <cell r="S116">
            <v>10196.992140000004</v>
          </cell>
          <cell r="T116">
            <v>8253.8117700000003</v>
          </cell>
          <cell r="U116">
            <v>23.542823899411552</v>
          </cell>
        </row>
        <row r="117">
          <cell r="C117" t="str">
            <v>Boralesgamuwa</v>
          </cell>
          <cell r="D117">
            <v>68889.298899999994</v>
          </cell>
          <cell r="E117">
            <v>52088.312250000003</v>
          </cell>
          <cell r="F117">
            <v>32.254810962895021</v>
          </cell>
          <cell r="G117">
            <v>9959.9445500000002</v>
          </cell>
          <cell r="H117">
            <v>8363.1438500000004</v>
          </cell>
          <cell r="I117">
            <v>19.093306639703439</v>
          </cell>
          <cell r="J117">
            <v>624.44965999999999</v>
          </cell>
          <cell r="K117">
            <v>886.27871000000005</v>
          </cell>
          <cell r="L117">
            <v>-29.542518289760118</v>
          </cell>
          <cell r="M117">
            <v>9018.790649999999</v>
          </cell>
          <cell r="N117">
            <v>7945.6167299999997</v>
          </cell>
          <cell r="O117">
            <v>-13.506489885776297</v>
          </cell>
          <cell r="P117">
            <v>595.89549999999997</v>
          </cell>
          <cell r="Q117">
            <v>1116.0669499999999</v>
          </cell>
          <cell r="R117">
            <v>46.607548946772411</v>
          </cell>
          <cell r="S117">
            <v>969.70806000000141</v>
          </cell>
          <cell r="T117">
            <v>187.73888000000125</v>
          </cell>
          <cell r="U117">
            <v>416.51957229104323</v>
          </cell>
        </row>
        <row r="118">
          <cell r="C118" t="str">
            <v>Pitakotte</v>
          </cell>
          <cell r="D118">
            <v>140578.18100000001</v>
          </cell>
          <cell r="E118">
            <v>121576.3208</v>
          </cell>
          <cell r="F118">
            <v>15.629573320662629</v>
          </cell>
          <cell r="G118">
            <v>22075.610980000001</v>
          </cell>
          <cell r="H118">
            <v>19919.432219999999</v>
          </cell>
          <cell r="I118">
            <v>10.824499093077074</v>
          </cell>
          <cell r="J118">
            <v>1777.8120899999999</v>
          </cell>
          <cell r="K118">
            <v>1851.77152</v>
          </cell>
          <cell r="L118">
            <v>-3.9939824757646187</v>
          </cell>
          <cell r="M118">
            <v>13704.71485</v>
          </cell>
          <cell r="N118">
            <v>12757.72709</v>
          </cell>
          <cell r="O118">
            <v>-7.4228563859332404</v>
          </cell>
          <cell r="P118">
            <v>2126.6543000000001</v>
          </cell>
          <cell r="Q118">
            <v>2299.1644999999999</v>
          </cell>
          <cell r="R118">
            <v>7.503169085987528</v>
          </cell>
          <cell r="S118">
            <v>8022.0539200000003</v>
          </cell>
          <cell r="T118">
            <v>6714.312149999997</v>
          </cell>
          <cell r="U118">
            <v>19.476928399880901</v>
          </cell>
        </row>
        <row r="119">
          <cell r="C119" t="str">
            <v>Panadura</v>
          </cell>
          <cell r="D119">
            <v>165679.33609999999</v>
          </cell>
          <cell r="E119">
            <v>116345.39</v>
          </cell>
          <cell r="F119">
            <v>42.403008920250294</v>
          </cell>
          <cell r="G119">
            <v>25352.142400000001</v>
          </cell>
          <cell r="H119">
            <v>19091.42785</v>
          </cell>
          <cell r="I119">
            <v>32.793327975204328</v>
          </cell>
          <cell r="J119">
            <v>1648.0009700000001</v>
          </cell>
          <cell r="K119">
            <v>1423.1222</v>
          </cell>
          <cell r="L119">
            <v>15.801789192804385</v>
          </cell>
          <cell r="M119">
            <v>16607.160160000003</v>
          </cell>
          <cell r="N119">
            <v>14473.05989</v>
          </cell>
          <cell r="O119">
            <v>-14.74532881242712</v>
          </cell>
          <cell r="P119">
            <v>3122.1183799999999</v>
          </cell>
          <cell r="Q119">
            <v>2961.18712</v>
          </cell>
          <cell r="R119">
            <v>-5.4346872885223085</v>
          </cell>
          <cell r="S119">
            <v>7270.8648299999986</v>
          </cell>
          <cell r="T119">
            <v>3080.3030400000011</v>
          </cell>
          <cell r="U119">
            <v>136.04381567600558</v>
          </cell>
        </row>
        <row r="120">
          <cell r="C120" t="str">
            <v>Kurunagala</v>
          </cell>
          <cell r="D120">
            <v>125612.47055</v>
          </cell>
          <cell r="E120">
            <v>82869.799549999996</v>
          </cell>
          <cell r="F120">
            <v>51.578103521550034</v>
          </cell>
          <cell r="G120">
            <v>18834.5736</v>
          </cell>
          <cell r="H120">
            <v>13851.36809</v>
          </cell>
          <cell r="I120">
            <v>35.976269474764926</v>
          </cell>
          <cell r="J120">
            <v>1856.05384</v>
          </cell>
          <cell r="K120">
            <v>1883.92686</v>
          </cell>
          <cell r="L120">
            <v>-1.4795170976011243</v>
          </cell>
          <cell r="M120">
            <v>14409.53667</v>
          </cell>
          <cell r="N120">
            <v>12587.21513</v>
          </cell>
          <cell r="O120">
            <v>-14.477559342389654</v>
          </cell>
          <cell r="P120">
            <v>3261.9754899999998</v>
          </cell>
          <cell r="Q120">
            <v>3461.2928999999999</v>
          </cell>
          <cell r="R120">
            <v>5.7584670167612835</v>
          </cell>
          <cell r="S120">
            <v>3019.1152800000009</v>
          </cell>
          <cell r="T120">
            <v>-313.2130800000009</v>
          </cell>
          <cell r="U120">
            <v>1063.9173689681136</v>
          </cell>
        </row>
        <row r="121">
          <cell r="C121" t="str">
            <v>Matara</v>
          </cell>
          <cell r="D121">
            <v>116381.05564999999</v>
          </cell>
          <cell r="E121">
            <v>79447.873349999994</v>
          </cell>
          <cell r="F121">
            <v>46.487313936389967</v>
          </cell>
          <cell r="G121">
            <v>17859.47033</v>
          </cell>
          <cell r="H121">
            <v>13084.775589999999</v>
          </cell>
          <cell r="I121">
            <v>36.490459520368439</v>
          </cell>
          <cell r="J121">
            <v>1057.5800999999999</v>
          </cell>
          <cell r="K121">
            <v>1072.45722</v>
          </cell>
          <cell r="L121">
            <v>-1.3871993887084937</v>
          </cell>
          <cell r="M121">
            <v>14128.334489999999</v>
          </cell>
          <cell r="N121">
            <v>12101.807009999999</v>
          </cell>
          <cell r="O121">
            <v>-16.745660200376975</v>
          </cell>
          <cell r="P121">
            <v>2962.8164800000004</v>
          </cell>
          <cell r="Q121">
            <v>2779.0669899999998</v>
          </cell>
          <cell r="R121">
            <v>-6.6119129427679111</v>
          </cell>
          <cell r="S121">
            <v>1825.8994599999996</v>
          </cell>
          <cell r="T121">
            <v>-723.64118999999891</v>
          </cell>
          <cell r="U121">
            <v>352.32110681814595</v>
          </cell>
        </row>
        <row r="122">
          <cell r="C122" t="str">
            <v>Wattala</v>
          </cell>
          <cell r="D122">
            <v>182396.27625</v>
          </cell>
          <cell r="E122">
            <v>88667.537949999998</v>
          </cell>
          <cell r="F122">
            <v>105.70806460517042</v>
          </cell>
          <cell r="G122">
            <v>17745.88926</v>
          </cell>
          <cell r="H122">
            <v>13296.858829999999</v>
          </cell>
          <cell r="I122">
            <v>33.459258963945857</v>
          </cell>
          <cell r="J122">
            <v>4794.41626</v>
          </cell>
          <cell r="K122">
            <v>2211.3424</v>
          </cell>
          <cell r="L122">
            <v>116.8102171784885</v>
          </cell>
          <cell r="M122">
            <v>16508.81393</v>
          </cell>
          <cell r="N122">
            <v>13662.170580000002</v>
          </cell>
          <cell r="O122">
            <v>-20.83595233518156</v>
          </cell>
          <cell r="P122">
            <v>4538.56538</v>
          </cell>
          <cell r="Q122">
            <v>4577.3981800000001</v>
          </cell>
          <cell r="R122">
            <v>0.84835966793695305</v>
          </cell>
          <cell r="S122">
            <v>1492.9262100000014</v>
          </cell>
          <cell r="T122">
            <v>-2731.3675300000032</v>
          </cell>
          <cell r="U122">
            <v>154.65856182305865</v>
          </cell>
        </row>
        <row r="123">
          <cell r="C123" t="str">
            <v>Pelawatte</v>
          </cell>
          <cell r="D123">
            <v>171213.32740000001</v>
          </cell>
          <cell r="E123">
            <v>129377.46975</v>
          </cell>
          <cell r="F123">
            <v>32.336277507081178</v>
          </cell>
          <cell r="G123">
            <v>27492.816760000002</v>
          </cell>
          <cell r="H123">
            <v>21581.62775</v>
          </cell>
          <cell r="I123">
            <v>27.389912746502642</v>
          </cell>
          <cell r="J123">
            <v>2058.1618400000002</v>
          </cell>
          <cell r="K123">
            <v>1837.0987299999999</v>
          </cell>
          <cell r="L123">
            <v>12.033273247105249</v>
          </cell>
          <cell r="M123">
            <v>16453.112809999999</v>
          </cell>
          <cell r="N123">
            <v>14068.128369999999</v>
          </cell>
          <cell r="O123">
            <v>-16.953104046775202</v>
          </cell>
          <cell r="P123">
            <v>3291.03746</v>
          </cell>
          <cell r="Q123">
            <v>3448.2344600000001</v>
          </cell>
          <cell r="R123">
            <v>4.5587677353006937</v>
          </cell>
          <cell r="S123">
            <v>9806.8283300000039</v>
          </cell>
          <cell r="T123">
            <v>5902.363650000003</v>
          </cell>
          <cell r="U123">
            <v>66.150866187311237</v>
          </cell>
        </row>
        <row r="124">
          <cell r="C124" t="str">
            <v>Gampaha</v>
          </cell>
          <cell r="D124">
            <v>148263.6802</v>
          </cell>
          <cell r="E124">
            <v>80905.739249999999</v>
          </cell>
          <cell r="F124">
            <v>83.254836522614198</v>
          </cell>
          <cell r="G124">
            <v>18177.006730000001</v>
          </cell>
          <cell r="H124">
            <v>13210.466539999999</v>
          </cell>
          <cell r="I124">
            <v>37.595494261779507</v>
          </cell>
          <cell r="J124">
            <v>2404.1907500000002</v>
          </cell>
          <cell r="K124">
            <v>1851.1992299999999</v>
          </cell>
          <cell r="L124">
            <v>29.872069469259682</v>
          </cell>
          <cell r="M124">
            <v>15020.206169999999</v>
          </cell>
          <cell r="N124">
            <v>12787.484930000001</v>
          </cell>
          <cell r="O124">
            <v>-17.460206226808033</v>
          </cell>
          <cell r="P124">
            <v>5182.24802</v>
          </cell>
          <cell r="Q124">
            <v>5199.7910400000001</v>
          </cell>
          <cell r="R124">
            <v>0.3373793266892523</v>
          </cell>
          <cell r="S124">
            <v>378.74329000000307</v>
          </cell>
          <cell r="T124">
            <v>-2925.610200000001</v>
          </cell>
          <cell r="U124">
            <v>112.9457878564958</v>
          </cell>
        </row>
        <row r="125">
          <cell r="C125" t="str">
            <v>Ja-ela</v>
          </cell>
          <cell r="D125">
            <v>145967.65044999999</v>
          </cell>
          <cell r="E125">
            <v>90570.528250000003</v>
          </cell>
          <cell r="F125">
            <v>61.164623051649237</v>
          </cell>
          <cell r="G125">
            <v>22988.032480000002</v>
          </cell>
          <cell r="H125">
            <v>14934.654490000001</v>
          </cell>
          <cell r="I125">
            <v>53.924099786790578</v>
          </cell>
          <cell r="J125">
            <v>5192.6817099999998</v>
          </cell>
          <cell r="K125">
            <v>3781.0468300000002</v>
          </cell>
          <cell r="L125">
            <v>37.334498710771044</v>
          </cell>
          <cell r="M125">
            <v>16009.00137</v>
          </cell>
          <cell r="N125">
            <v>12656.999389999999</v>
          </cell>
          <cell r="O125">
            <v>-26.483385806657616</v>
          </cell>
          <cell r="P125">
            <v>6933.4626200000002</v>
          </cell>
          <cell r="Q125">
            <v>3000.0005000000001</v>
          </cell>
          <cell r="R125">
            <v>-131.11538214743629</v>
          </cell>
          <cell r="S125">
            <v>5238.2502000000022</v>
          </cell>
          <cell r="T125">
            <v>3058.701430000001</v>
          </cell>
          <cell r="U125">
            <v>71.257323406031176</v>
          </cell>
        </row>
        <row r="126">
          <cell r="C126" t="str">
            <v>Piliyandala</v>
          </cell>
          <cell r="D126">
            <v>107450.732</v>
          </cell>
          <cell r="E126">
            <v>47963.892350000002</v>
          </cell>
          <cell r="F126">
            <v>124.02421224681946</v>
          </cell>
          <cell r="G126">
            <v>15412.420630000001</v>
          </cell>
          <cell r="H126">
            <v>7650.6242099999999</v>
          </cell>
          <cell r="I126">
            <v>101.45311293495097</v>
          </cell>
          <cell r="J126">
            <v>1359.8318899999999</v>
          </cell>
          <cell r="K126">
            <v>992.29813000000001</v>
          </cell>
          <cell r="L126">
            <v>37.038642811913789</v>
          </cell>
          <cell r="M126">
            <v>13351.874169999999</v>
          </cell>
          <cell r="N126">
            <v>9122.2460200000005</v>
          </cell>
          <cell r="O126">
            <v>-46.366082878347967</v>
          </cell>
          <cell r="P126">
            <v>6240.0029400000003</v>
          </cell>
          <cell r="Q126">
            <v>0</v>
          </cell>
          <cell r="R126">
            <v>0</v>
          </cell>
          <cell r="S126">
            <v>-2819.6245899999976</v>
          </cell>
          <cell r="T126">
            <v>-479.32368000000133</v>
          </cell>
          <cell r="U126">
            <v>-488.25063472766249</v>
          </cell>
        </row>
        <row r="127">
          <cell r="C127" t="str">
            <v>Chilaw</v>
          </cell>
          <cell r="D127">
            <v>90958.090200000006</v>
          </cell>
          <cell r="E127">
            <v>52666.879050000003</v>
          </cell>
          <cell r="F127">
            <v>72.704538109516108</v>
          </cell>
          <cell r="G127">
            <v>12920.477080000001</v>
          </cell>
          <cell r="H127">
            <v>8342.8980699999993</v>
          </cell>
          <cell r="I127">
            <v>54.867972395112844</v>
          </cell>
          <cell r="J127">
            <v>1571.03801</v>
          </cell>
          <cell r="K127">
            <v>1108.56546</v>
          </cell>
          <cell r="L127">
            <v>41.718109276108954</v>
          </cell>
          <cell r="M127">
            <v>12950.681559999999</v>
          </cell>
          <cell r="N127">
            <v>11254.39431</v>
          </cell>
          <cell r="O127">
            <v>-15.072221598747232</v>
          </cell>
          <cell r="P127">
            <v>4593.12086</v>
          </cell>
          <cell r="Q127">
            <v>0</v>
          </cell>
          <cell r="R127">
            <v>0</v>
          </cell>
          <cell r="S127">
            <v>-3052.2873299999983</v>
          </cell>
          <cell r="T127">
            <v>-1802.9307800000006</v>
          </cell>
          <cell r="U127">
            <v>-69.295868918494875</v>
          </cell>
        </row>
        <row r="128">
          <cell r="C128" t="str">
            <v>Ratnapura</v>
          </cell>
          <cell r="D128">
            <v>168063.29759999999</v>
          </cell>
          <cell r="E128">
            <v>57403.365100000003</v>
          </cell>
          <cell r="F128">
            <v>192.77603727102749</v>
          </cell>
          <cell r="G128">
            <v>18995.623080000001</v>
          </cell>
          <cell r="H128">
            <v>9308.6248699999996</v>
          </cell>
          <cell r="I128">
            <v>104.06476085656251</v>
          </cell>
          <cell r="J128">
            <v>3962.1482599999999</v>
          </cell>
          <cell r="K128">
            <v>1147.5105799999999</v>
          </cell>
          <cell r="L128">
            <v>245.28206790041099</v>
          </cell>
          <cell r="M128">
            <v>15448.72438</v>
          </cell>
          <cell r="N128">
            <v>8995.9661999999989</v>
          </cell>
          <cell r="O128">
            <v>-71.729462256094308</v>
          </cell>
          <cell r="P128">
            <v>7285.3597399999999</v>
          </cell>
          <cell r="Q128">
            <v>0</v>
          </cell>
          <cell r="R128">
            <v>0</v>
          </cell>
          <cell r="S128">
            <v>223.6872199999998</v>
          </cell>
          <cell r="T128">
            <v>1460.1692500000008</v>
          </cell>
          <cell r="U128">
            <v>-84.68073341497913</v>
          </cell>
        </row>
        <row r="129">
          <cell r="C129" t="str">
            <v>Nawala</v>
          </cell>
          <cell r="D129">
            <v>263411.40389999998</v>
          </cell>
          <cell r="E129">
            <v>30755.600350000001</v>
          </cell>
          <cell r="F129">
            <v>0</v>
          </cell>
          <cell r="G129">
            <v>35348.096460000001</v>
          </cell>
          <cell r="H129">
            <v>4931.7884899999999</v>
          </cell>
          <cell r="I129">
            <v>0</v>
          </cell>
          <cell r="J129">
            <v>5151.4275699999998</v>
          </cell>
          <cell r="K129">
            <v>389.8845</v>
          </cell>
          <cell r="L129">
            <v>0</v>
          </cell>
          <cell r="M129">
            <v>20421.828979999998</v>
          </cell>
          <cell r="N129">
            <v>3546.5595600000001</v>
          </cell>
          <cell r="O129">
            <v>-475.82083804057118</v>
          </cell>
          <cell r="P129">
            <v>7582.5934999999999</v>
          </cell>
          <cell r="Q129">
            <v>0</v>
          </cell>
          <cell r="R129">
            <v>0</v>
          </cell>
          <cell r="S129">
            <v>12495.101550000003</v>
          </cell>
          <cell r="T129">
            <v>1775.1134299999999</v>
          </cell>
          <cell r="U129">
            <v>0</v>
          </cell>
        </row>
        <row r="130">
          <cell r="C130" t="str">
            <v>Collupitiya</v>
          </cell>
          <cell r="D130">
            <v>148343.584</v>
          </cell>
          <cell r="E130">
            <v>60721.063300000002</v>
          </cell>
          <cell r="F130">
            <v>144.30333715845848</v>
          </cell>
          <cell r="G130">
            <v>23085.22409</v>
          </cell>
          <cell r="H130">
            <v>9624.4529000000002</v>
          </cell>
          <cell r="I130">
            <v>139.86011807486739</v>
          </cell>
          <cell r="J130">
            <v>1468.99953</v>
          </cell>
          <cell r="K130">
            <v>549.69518000000005</v>
          </cell>
          <cell r="L130">
            <v>167.23893231154034</v>
          </cell>
          <cell r="M130">
            <v>16594.955969999999</v>
          </cell>
          <cell r="N130">
            <v>7694.1457500000006</v>
          </cell>
          <cell r="O130">
            <v>-115.68289072246907</v>
          </cell>
          <cell r="P130">
            <v>3099.8158199999998</v>
          </cell>
          <cell r="Q130">
            <v>0</v>
          </cell>
          <cell r="R130">
            <v>0</v>
          </cell>
          <cell r="S130">
            <v>4859.4518300000018</v>
          </cell>
          <cell r="T130">
            <v>2480.0023300000003</v>
          </cell>
          <cell r="U130">
            <v>95.945454212537015</v>
          </cell>
        </row>
        <row r="131">
          <cell r="C131" t="str">
            <v>Dehiwala</v>
          </cell>
          <cell r="D131">
            <v>148549.44954999999</v>
          </cell>
          <cell r="E131">
            <v>66778.562999999995</v>
          </cell>
          <cell r="F131">
            <v>122.45080288714809</v>
          </cell>
          <cell r="G131">
            <v>22511.832279999999</v>
          </cell>
          <cell r="H131">
            <v>10586.17496</v>
          </cell>
          <cell r="I131">
            <v>112.65312886912649</v>
          </cell>
          <cell r="J131">
            <v>1635.9264700000001</v>
          </cell>
          <cell r="K131">
            <v>646.34861999999998</v>
          </cell>
          <cell r="L131">
            <v>0</v>
          </cell>
          <cell r="M131">
            <v>18771.844970000002</v>
          </cell>
          <cell r="N131">
            <v>8368.8142699999989</v>
          </cell>
          <cell r="O131">
            <v>-124.30710449976333</v>
          </cell>
          <cell r="P131">
            <v>1994.8715199999999</v>
          </cell>
          <cell r="Q131">
            <v>0</v>
          </cell>
          <cell r="R131">
            <v>0</v>
          </cell>
          <cell r="S131">
            <v>3381.0422599999956</v>
          </cell>
          <cell r="T131">
            <v>2863.709310000002</v>
          </cell>
          <cell r="U131">
            <v>18.065134900161819</v>
          </cell>
        </row>
        <row r="132">
          <cell r="C132" t="str">
            <v>Thimbirigasyaya</v>
          </cell>
          <cell r="D132">
            <v>103197.25659999999</v>
          </cell>
          <cell r="E132">
            <v>42322.7235</v>
          </cell>
          <cell r="F132">
            <v>143.83415826252295</v>
          </cell>
          <cell r="G132">
            <v>16143.95897</v>
          </cell>
          <cell r="H132">
            <v>6909.6215000000002</v>
          </cell>
          <cell r="I132">
            <v>133.64462105485805</v>
          </cell>
          <cell r="J132">
            <v>376.15321999999998</v>
          </cell>
          <cell r="K132">
            <v>166.20317</v>
          </cell>
          <cell r="L132">
            <v>0</v>
          </cell>
          <cell r="M132">
            <v>11963.68381</v>
          </cell>
          <cell r="N132">
            <v>5635.2025799999992</v>
          </cell>
          <cell r="O132">
            <v>-112.30263934894782</v>
          </cell>
          <cell r="P132">
            <v>2008.89014</v>
          </cell>
          <cell r="Q132">
            <v>0</v>
          </cell>
          <cell r="R132">
            <v>0</v>
          </cell>
          <cell r="S132">
            <v>2547.5382399999994</v>
          </cell>
          <cell r="T132">
            <v>1440.6220900000008</v>
          </cell>
          <cell r="U132">
            <v>76.835983404919062</v>
          </cell>
        </row>
        <row r="133">
          <cell r="C133" t="str">
            <v>Moratuwa</v>
          </cell>
          <cell r="D133">
            <v>167075.05040000001</v>
          </cell>
          <cell r="E133">
            <v>31020.361649999999</v>
          </cell>
          <cell r="F133">
            <v>0</v>
          </cell>
          <cell r="G133">
            <v>26231.922449999998</v>
          </cell>
          <cell r="H133">
            <v>5168.1529700000001</v>
          </cell>
          <cell r="I133">
            <v>0</v>
          </cell>
          <cell r="J133">
            <v>1670.29207</v>
          </cell>
          <cell r="K133">
            <v>261.67768000000001</v>
          </cell>
          <cell r="L133">
            <v>0</v>
          </cell>
          <cell r="M133">
            <v>16469.951549999998</v>
          </cell>
          <cell r="N133">
            <v>4463.5090399999999</v>
          </cell>
          <cell r="O133">
            <v>-268.99110996311543</v>
          </cell>
          <cell r="P133">
            <v>3610.44346</v>
          </cell>
          <cell r="Q133">
            <v>0</v>
          </cell>
          <cell r="R133">
            <v>0</v>
          </cell>
          <cell r="S133">
            <v>7821.8195099999994</v>
          </cell>
          <cell r="T133">
            <v>966.32160999999996</v>
          </cell>
          <cell r="U133">
            <v>0</v>
          </cell>
        </row>
        <row r="134">
          <cell r="C134" t="str">
            <v>Kegalle</v>
          </cell>
          <cell r="D134">
            <v>69181.092749999996</v>
          </cell>
          <cell r="E134">
            <v>5.0000000000000001E-4</v>
          </cell>
          <cell r="F134">
            <v>0</v>
          </cell>
          <cell r="G134">
            <v>9862.8091499999991</v>
          </cell>
          <cell r="H134">
            <v>6.5119800000000003</v>
          </cell>
          <cell r="I134">
            <v>0</v>
          </cell>
          <cell r="J134">
            <v>849.94169999999997</v>
          </cell>
          <cell r="K134">
            <v>5.0000000000000001E-4</v>
          </cell>
          <cell r="L134">
            <v>0</v>
          </cell>
          <cell r="M134">
            <v>10499.4763</v>
          </cell>
          <cell r="N134">
            <v>75.3994</v>
          </cell>
          <cell r="O134">
            <v>-13825.145690814514</v>
          </cell>
          <cell r="P134">
            <v>4.4074999999999998</v>
          </cell>
          <cell r="Q134">
            <v>0</v>
          </cell>
          <cell r="R134">
            <v>0</v>
          </cell>
          <cell r="S134">
            <v>208.86704999999827</v>
          </cell>
          <cell r="T134">
            <v>-68.886920000000003</v>
          </cell>
          <cell r="U134">
            <v>0</v>
          </cell>
        </row>
        <row r="135">
          <cell r="C135" t="str">
            <v>Kadawatha</v>
          </cell>
          <cell r="D135">
            <v>76461.881349999996</v>
          </cell>
          <cell r="E135">
            <v>5.0000000000000001E-4</v>
          </cell>
          <cell r="F135">
            <v>0</v>
          </cell>
          <cell r="G135">
            <v>11561.58041</v>
          </cell>
          <cell r="H135">
            <v>-2.2936899999999998</v>
          </cell>
          <cell r="I135">
            <v>0</v>
          </cell>
          <cell r="J135">
            <v>984.56844000000001</v>
          </cell>
          <cell r="K135">
            <v>5.0000000000000001E-4</v>
          </cell>
          <cell r="L135">
            <v>0</v>
          </cell>
          <cell r="M135">
            <v>11898.132440000001</v>
          </cell>
          <cell r="N135">
            <v>177.27506</v>
          </cell>
          <cell r="O135">
            <v>-6611.6786986279976</v>
          </cell>
          <cell r="P135">
            <v>0</v>
          </cell>
          <cell r="Q135">
            <v>0</v>
          </cell>
          <cell r="R135">
            <v>0</v>
          </cell>
          <cell r="S135">
            <v>648.01641000000018</v>
          </cell>
          <cell r="T135">
            <v>-179.56825000000001</v>
          </cell>
          <cell r="U135">
            <v>0</v>
          </cell>
        </row>
        <row r="136">
          <cell r="C136" t="str">
            <v>Aluthgama</v>
          </cell>
          <cell r="D136">
            <v>67816.184200000003</v>
          </cell>
          <cell r="E136">
            <v>5.0000000000000001E-4</v>
          </cell>
          <cell r="F136">
            <v>0</v>
          </cell>
          <cell r="G136">
            <v>10774.210370000001</v>
          </cell>
          <cell r="H136">
            <v>5.0000000000000001E-4</v>
          </cell>
          <cell r="I136">
            <v>0</v>
          </cell>
          <cell r="J136">
            <v>487.41316</v>
          </cell>
          <cell r="K136">
            <v>5.0000000000000001E-4</v>
          </cell>
          <cell r="L136">
            <v>0</v>
          </cell>
          <cell r="M136">
            <v>9771.5843699999987</v>
          </cell>
          <cell r="N136">
            <v>0</v>
          </cell>
          <cell r="O136">
            <v>0</v>
          </cell>
          <cell r="P136">
            <v>0</v>
          </cell>
          <cell r="Q136">
            <v>0</v>
          </cell>
          <cell r="R136">
            <v>0</v>
          </cell>
          <cell r="S136">
            <v>1490.0391600000021</v>
          </cell>
          <cell r="T136">
            <v>1E-3</v>
          </cell>
          <cell r="U136">
            <v>0</v>
          </cell>
        </row>
        <row r="137">
          <cell r="C137" t="str">
            <v>Park Road</v>
          </cell>
          <cell r="D137">
            <v>75186.957999999999</v>
          </cell>
          <cell r="E137">
            <v>5.0000000000000001E-4</v>
          </cell>
          <cell r="F137">
            <v>0</v>
          </cell>
          <cell r="G137">
            <v>11633.83812</v>
          </cell>
          <cell r="H137">
            <v>5.0000000000000001E-4</v>
          </cell>
          <cell r="I137">
            <v>0</v>
          </cell>
          <cell r="J137">
            <v>496.89710000000002</v>
          </cell>
          <cell r="K137">
            <v>5.0000000000000001E-4</v>
          </cell>
          <cell r="L137">
            <v>0</v>
          </cell>
          <cell r="M137">
            <v>7817.4568500000005</v>
          </cell>
          <cell r="N137">
            <v>0</v>
          </cell>
          <cell r="O137">
            <v>0</v>
          </cell>
          <cell r="P137">
            <v>0</v>
          </cell>
          <cell r="Q137">
            <v>0</v>
          </cell>
          <cell r="R137">
            <v>0</v>
          </cell>
          <cell r="S137">
            <v>4313.27837</v>
          </cell>
          <cell r="T137">
            <v>1E-3</v>
          </cell>
          <cell r="U137">
            <v>0</v>
          </cell>
        </row>
        <row r="138">
          <cell r="C138" t="str">
            <v>Kotahena</v>
          </cell>
          <cell r="D138">
            <v>96771.303249999997</v>
          </cell>
          <cell r="E138">
            <v>5.0000000000000001E-4</v>
          </cell>
          <cell r="F138">
            <v>0</v>
          </cell>
          <cell r="G138">
            <v>15026.15796</v>
          </cell>
          <cell r="H138">
            <v>5.0000000000000001E-4</v>
          </cell>
          <cell r="I138">
            <v>0</v>
          </cell>
          <cell r="J138">
            <v>1818.98045</v>
          </cell>
          <cell r="K138">
            <v>5.0000000000000001E-4</v>
          </cell>
          <cell r="L138">
            <v>0</v>
          </cell>
          <cell r="M138">
            <v>12563.09907</v>
          </cell>
          <cell r="N138">
            <v>0</v>
          </cell>
          <cell r="O138">
            <v>0</v>
          </cell>
          <cell r="P138">
            <v>0</v>
          </cell>
          <cell r="Q138">
            <v>0</v>
          </cell>
          <cell r="R138">
            <v>0</v>
          </cell>
          <cell r="S138">
            <v>4282.0393399999994</v>
          </cell>
          <cell r="T138">
            <v>1E-3</v>
          </cell>
          <cell r="U138">
            <v>0</v>
          </cell>
        </row>
        <row r="139">
          <cell r="C139" t="str">
            <v>Ambalangoda</v>
          </cell>
          <cell r="D139">
            <v>43506.051399999997</v>
          </cell>
          <cell r="E139">
            <v>5.0000000000000001E-4</v>
          </cell>
          <cell r="F139">
            <v>0</v>
          </cell>
          <cell r="G139">
            <v>6468.9128600000004</v>
          </cell>
          <cell r="H139">
            <v>5.0000000000000001E-4</v>
          </cell>
          <cell r="I139">
            <v>0</v>
          </cell>
          <cell r="J139">
            <v>440.97505999999998</v>
          </cell>
          <cell r="K139">
            <v>5.0000000000000001E-4</v>
          </cell>
          <cell r="L139">
            <v>0</v>
          </cell>
          <cell r="M139">
            <v>7037.5834899999991</v>
          </cell>
          <cell r="N139">
            <v>0</v>
          </cell>
          <cell r="O139">
            <v>0</v>
          </cell>
          <cell r="P139">
            <v>32.370800000000003</v>
          </cell>
          <cell r="Q139">
            <v>0</v>
          </cell>
          <cell r="R139">
            <v>0</v>
          </cell>
          <cell r="S139">
            <v>-160.06636999999895</v>
          </cell>
          <cell r="T139">
            <v>1E-3</v>
          </cell>
          <cell r="U139">
            <v>0</v>
          </cell>
        </row>
        <row r="140">
          <cell r="C140" t="str">
            <v>Katugastota</v>
          </cell>
          <cell r="D140">
            <v>58062.0605</v>
          </cell>
          <cell r="E140">
            <v>5.0000000000000001E-4</v>
          </cell>
          <cell r="F140">
            <v>0</v>
          </cell>
          <cell r="G140">
            <v>8107.2684600000002</v>
          </cell>
          <cell r="H140">
            <v>5.0000000000000001E-4</v>
          </cell>
          <cell r="I140">
            <v>0</v>
          </cell>
          <cell r="J140">
            <v>800.03129999999999</v>
          </cell>
          <cell r="K140">
            <v>5.0000000000000001E-4</v>
          </cell>
          <cell r="L140">
            <v>0</v>
          </cell>
          <cell r="M140">
            <v>7416.0990199999997</v>
          </cell>
          <cell r="N140">
            <v>0</v>
          </cell>
          <cell r="O140">
            <v>0</v>
          </cell>
          <cell r="P140">
            <v>21.9008</v>
          </cell>
          <cell r="Q140">
            <v>0</v>
          </cell>
          <cell r="R140">
            <v>0</v>
          </cell>
          <cell r="S140">
            <v>1469.2999400000003</v>
          </cell>
          <cell r="T140">
            <v>1E-3</v>
          </cell>
          <cell r="U140">
            <v>0</v>
          </cell>
        </row>
        <row r="141">
          <cell r="C141" t="str">
            <v>Beruwela</v>
          </cell>
          <cell r="D141">
            <v>34126.244149999999</v>
          </cell>
          <cell r="E141">
            <v>5.0000000000000001E-4</v>
          </cell>
          <cell r="F141">
            <v>0</v>
          </cell>
          <cell r="G141">
            <v>5006.6394399999999</v>
          </cell>
          <cell r="H141">
            <v>5.0000000000000001E-4</v>
          </cell>
          <cell r="I141">
            <v>0</v>
          </cell>
          <cell r="J141">
            <v>387.97831000000002</v>
          </cell>
          <cell r="K141">
            <v>5.0000000000000001E-4</v>
          </cell>
          <cell r="L141">
            <v>0</v>
          </cell>
          <cell r="M141">
            <v>5563.7177000000001</v>
          </cell>
          <cell r="N141">
            <v>0</v>
          </cell>
          <cell r="O141">
            <v>0</v>
          </cell>
          <cell r="P141">
            <v>1.4677500000000001</v>
          </cell>
          <cell r="Q141">
            <v>0</v>
          </cell>
          <cell r="R141">
            <v>0</v>
          </cell>
          <cell r="S141">
            <v>-170.5676999999998</v>
          </cell>
          <cell r="T141">
            <v>1E-3</v>
          </cell>
          <cell r="U141">
            <v>0</v>
          </cell>
        </row>
        <row r="142">
          <cell r="C142" t="str">
            <v>Warakapola</v>
          </cell>
          <cell r="D142">
            <v>24879.337500000001</v>
          </cell>
          <cell r="E142">
            <v>5.0000000000000001E-4</v>
          </cell>
          <cell r="F142">
            <v>0</v>
          </cell>
          <cell r="G142">
            <v>3202.6542899999999</v>
          </cell>
          <cell r="H142">
            <v>5.0000000000000001E-4</v>
          </cell>
          <cell r="I142">
            <v>0</v>
          </cell>
          <cell r="J142">
            <v>335.50099999999998</v>
          </cell>
          <cell r="K142">
            <v>5.0000000000000001E-4</v>
          </cell>
          <cell r="L142">
            <v>0</v>
          </cell>
          <cell r="M142">
            <v>4798.2996599999997</v>
          </cell>
          <cell r="N142">
            <v>0</v>
          </cell>
          <cell r="O142">
            <v>0</v>
          </cell>
          <cell r="P142">
            <v>0.30049999999999999</v>
          </cell>
          <cell r="Q142">
            <v>0</v>
          </cell>
          <cell r="R142">
            <v>0</v>
          </cell>
          <cell r="S142">
            <v>-1260.44487</v>
          </cell>
          <cell r="T142">
            <v>1E-3</v>
          </cell>
          <cell r="U142">
            <v>0</v>
          </cell>
        </row>
        <row r="143">
          <cell r="C143" t="str">
            <v>Karagampitiya</v>
          </cell>
          <cell r="D143">
            <v>25226.481</v>
          </cell>
          <cell r="E143">
            <v>5.0000000000000001E-4</v>
          </cell>
          <cell r="F143">
            <v>0</v>
          </cell>
          <cell r="G143">
            <v>3750.8632499999999</v>
          </cell>
          <cell r="H143">
            <v>5.0000000000000001E-4</v>
          </cell>
          <cell r="I143">
            <v>0</v>
          </cell>
          <cell r="J143">
            <v>227.6857</v>
          </cell>
          <cell r="K143">
            <v>5.0000000000000001E-4</v>
          </cell>
          <cell r="L143">
            <v>0</v>
          </cell>
          <cell r="M143">
            <v>4627.1629899999998</v>
          </cell>
          <cell r="N143">
            <v>0</v>
          </cell>
          <cell r="O143">
            <v>0</v>
          </cell>
          <cell r="P143">
            <v>0</v>
          </cell>
          <cell r="Q143">
            <v>0</v>
          </cell>
          <cell r="R143">
            <v>0</v>
          </cell>
          <cell r="S143">
            <v>-648.61403999999993</v>
          </cell>
          <cell r="T143">
            <v>1E-3</v>
          </cell>
          <cell r="U143">
            <v>0</v>
          </cell>
        </row>
        <row r="144">
          <cell r="C144" t="str">
            <v>Mathale</v>
          </cell>
          <cell r="D144">
            <v>35367.205600000001</v>
          </cell>
          <cell r="E144">
            <v>5.0000000000000001E-4</v>
          </cell>
          <cell r="F144">
            <v>0</v>
          </cell>
          <cell r="G144">
            <v>3777.84103</v>
          </cell>
          <cell r="H144">
            <v>5.0000000000000001E-4</v>
          </cell>
          <cell r="I144">
            <v>0</v>
          </cell>
          <cell r="J144">
            <v>191.76205999999999</v>
          </cell>
          <cell r="K144">
            <v>5.0000000000000001E-4</v>
          </cell>
          <cell r="L144">
            <v>0</v>
          </cell>
          <cell r="M144">
            <v>3927.5243099999998</v>
          </cell>
          <cell r="N144">
            <v>0</v>
          </cell>
          <cell r="O144">
            <v>0</v>
          </cell>
          <cell r="P144">
            <v>0.30049999999999999</v>
          </cell>
          <cell r="Q144">
            <v>0</v>
          </cell>
          <cell r="R144">
            <v>0</v>
          </cell>
          <cell r="S144">
            <v>41.778280000000279</v>
          </cell>
          <cell r="T144">
            <v>1E-3</v>
          </cell>
          <cell r="U144">
            <v>0</v>
          </cell>
        </row>
        <row r="145">
          <cell r="C145" t="str">
            <v>Peliyagoda</v>
          </cell>
          <cell r="D145">
            <v>15173.188200000001</v>
          </cell>
          <cell r="E145">
            <v>5.0000000000000001E-4</v>
          </cell>
          <cell r="F145">
            <v>0</v>
          </cell>
          <cell r="G145">
            <v>2199.7318399999999</v>
          </cell>
          <cell r="H145">
            <v>5.0000000000000001E-4</v>
          </cell>
          <cell r="I145">
            <v>0</v>
          </cell>
          <cell r="J145">
            <v>150.58304000000001</v>
          </cell>
          <cell r="K145">
            <v>5.0000000000000001E-4</v>
          </cell>
          <cell r="L145">
            <v>0</v>
          </cell>
          <cell r="M145">
            <v>3533.0615399999997</v>
          </cell>
          <cell r="N145">
            <v>0</v>
          </cell>
          <cell r="O145">
            <v>0</v>
          </cell>
          <cell r="P145">
            <v>0</v>
          </cell>
          <cell r="Q145">
            <v>0</v>
          </cell>
          <cell r="R145">
            <v>0</v>
          </cell>
          <cell r="S145">
            <v>-1182.7466599999998</v>
          </cell>
          <cell r="T145">
            <v>1E-3</v>
          </cell>
          <cell r="U145">
            <v>0</v>
          </cell>
        </row>
        <row r="146">
          <cell r="C146" t="str">
            <v>Kelaniya</v>
          </cell>
          <cell r="D146">
            <v>15290.482599999999</v>
          </cell>
          <cell r="E146">
            <v>5.0000000000000001E-4</v>
          </cell>
          <cell r="F146">
            <v>0</v>
          </cell>
          <cell r="G146">
            <v>2326.2275399999999</v>
          </cell>
          <cell r="H146">
            <v>5.0000000000000001E-4</v>
          </cell>
          <cell r="I146">
            <v>0</v>
          </cell>
          <cell r="J146">
            <v>165.98069000000001</v>
          </cell>
          <cell r="K146">
            <v>5.0000000000000001E-4</v>
          </cell>
          <cell r="L146">
            <v>0</v>
          </cell>
          <cell r="M146">
            <v>2811.7574800000002</v>
          </cell>
          <cell r="N146">
            <v>0</v>
          </cell>
          <cell r="O146">
            <v>0</v>
          </cell>
          <cell r="P146">
            <v>0</v>
          </cell>
          <cell r="Q146">
            <v>0</v>
          </cell>
          <cell r="R146">
            <v>0</v>
          </cell>
          <cell r="S146">
            <v>-319.54925000000048</v>
          </cell>
          <cell r="T146">
            <v>1E-3</v>
          </cell>
          <cell r="U146">
            <v>0</v>
          </cell>
        </row>
        <row r="147">
          <cell r="C147" t="str">
            <v>Demategoda</v>
          </cell>
          <cell r="D147">
            <v>13009.984</v>
          </cell>
          <cell r="E147">
            <v>5.0000000000000001E-4</v>
          </cell>
          <cell r="F147">
            <v>0</v>
          </cell>
          <cell r="G147">
            <v>1960.22793</v>
          </cell>
          <cell r="H147">
            <v>5.0000000000000001E-4</v>
          </cell>
          <cell r="I147">
            <v>0</v>
          </cell>
          <cell r="J147">
            <v>200.25568000000001</v>
          </cell>
          <cell r="K147">
            <v>5.0000000000000001E-4</v>
          </cell>
          <cell r="L147">
            <v>0</v>
          </cell>
          <cell r="M147">
            <v>2233.48954</v>
          </cell>
          <cell r="N147">
            <v>0</v>
          </cell>
          <cell r="O147">
            <v>0</v>
          </cell>
          <cell r="P147">
            <v>0</v>
          </cell>
          <cell r="Q147">
            <v>0</v>
          </cell>
          <cell r="R147">
            <v>0</v>
          </cell>
          <cell r="S147">
            <v>-73.005929999999807</v>
          </cell>
          <cell r="T147">
            <v>1E-3</v>
          </cell>
          <cell r="U147">
            <v>0</v>
          </cell>
        </row>
        <row r="148">
          <cell r="C148" t="str">
            <v>Kolannawa</v>
          </cell>
          <cell r="D148">
            <v>16100.647000000001</v>
          </cell>
          <cell r="E148">
            <v>5.0000000000000001E-4</v>
          </cell>
          <cell r="F148">
            <v>0</v>
          </cell>
          <cell r="G148">
            <v>2154.2765300000001</v>
          </cell>
          <cell r="H148">
            <v>5.0000000000000001E-4</v>
          </cell>
          <cell r="I148">
            <v>0</v>
          </cell>
          <cell r="J148">
            <v>148.95119</v>
          </cell>
          <cell r="K148">
            <v>5.0000000000000001E-4</v>
          </cell>
          <cell r="L148">
            <v>0</v>
          </cell>
          <cell r="M148">
            <v>1944.5519399999998</v>
          </cell>
          <cell r="N148">
            <v>0</v>
          </cell>
          <cell r="O148">
            <v>0</v>
          </cell>
          <cell r="P148">
            <v>0</v>
          </cell>
          <cell r="Q148">
            <v>0</v>
          </cell>
          <cell r="R148">
            <v>0</v>
          </cell>
          <cell r="S148">
            <v>358.67578000000003</v>
          </cell>
          <cell r="T148">
            <v>1E-3</v>
          </cell>
          <cell r="U148">
            <v>0</v>
          </cell>
        </row>
        <row r="149">
          <cell r="C149" t="str">
            <v>Avissawella</v>
          </cell>
          <cell r="D149">
            <v>9283.7816999999995</v>
          </cell>
          <cell r="E149">
            <v>5.0000000000000001E-4</v>
          </cell>
          <cell r="F149">
            <v>0</v>
          </cell>
          <cell r="G149">
            <v>1380.64301</v>
          </cell>
          <cell r="H149">
            <v>5.0000000000000001E-4</v>
          </cell>
          <cell r="I149">
            <v>0</v>
          </cell>
          <cell r="J149">
            <v>92.106999999999999</v>
          </cell>
          <cell r="K149">
            <v>5.0000000000000001E-4</v>
          </cell>
          <cell r="L149">
            <v>0</v>
          </cell>
          <cell r="M149">
            <v>1803.4214000000002</v>
          </cell>
          <cell r="N149">
            <v>0</v>
          </cell>
          <cell r="O149">
            <v>0</v>
          </cell>
          <cell r="P149">
            <v>0</v>
          </cell>
          <cell r="Q149">
            <v>0</v>
          </cell>
          <cell r="R149">
            <v>0</v>
          </cell>
          <cell r="S149">
            <v>-330.6713900000002</v>
          </cell>
          <cell r="T149">
            <v>1E-3</v>
          </cell>
          <cell r="U149">
            <v>0</v>
          </cell>
        </row>
        <row r="150">
          <cell r="C150" t="str">
            <v>Homagama</v>
          </cell>
          <cell r="D150">
            <v>13079.683199999999</v>
          </cell>
          <cell r="E150">
            <v>5.0000000000000001E-4</v>
          </cell>
          <cell r="F150">
            <v>0</v>
          </cell>
          <cell r="G150">
            <v>1904.2280900000001</v>
          </cell>
          <cell r="H150">
            <v>5.0000000000000001E-4</v>
          </cell>
          <cell r="I150">
            <v>0</v>
          </cell>
          <cell r="J150">
            <v>77.675250000000005</v>
          </cell>
          <cell r="K150">
            <v>5.0000000000000001E-4</v>
          </cell>
          <cell r="L150">
            <v>0</v>
          </cell>
          <cell r="M150">
            <v>2160.19137</v>
          </cell>
          <cell r="N150">
            <v>0</v>
          </cell>
          <cell r="O150">
            <v>0</v>
          </cell>
          <cell r="P150">
            <v>0</v>
          </cell>
          <cell r="Q150">
            <v>0</v>
          </cell>
          <cell r="R150">
            <v>0</v>
          </cell>
          <cell r="S150">
            <v>-178.28802999999994</v>
          </cell>
          <cell r="T150">
            <v>1E-3</v>
          </cell>
          <cell r="U150">
            <v>0</v>
          </cell>
        </row>
        <row r="151">
          <cell r="C151" t="str">
            <v>Galle</v>
          </cell>
          <cell r="D151">
            <v>17036.641</v>
          </cell>
          <cell r="E151">
            <v>5.0000000000000001E-4</v>
          </cell>
          <cell r="F151">
            <v>0</v>
          </cell>
          <cell r="G151">
            <v>2600.1679899999999</v>
          </cell>
          <cell r="H151">
            <v>5.0000000000000001E-4</v>
          </cell>
          <cell r="I151">
            <v>0</v>
          </cell>
          <cell r="J151">
            <v>72.561599999999999</v>
          </cell>
          <cell r="K151">
            <v>5.0000000000000001E-4</v>
          </cell>
          <cell r="L151">
            <v>0</v>
          </cell>
          <cell r="M151">
            <v>1982.0922</v>
          </cell>
          <cell r="N151">
            <v>0</v>
          </cell>
          <cell r="O151">
            <v>0</v>
          </cell>
          <cell r="P151">
            <v>0</v>
          </cell>
          <cell r="Q151">
            <v>0</v>
          </cell>
          <cell r="R151">
            <v>0</v>
          </cell>
          <cell r="S151">
            <v>690.63738999999987</v>
          </cell>
          <cell r="T151">
            <v>1E-3</v>
          </cell>
          <cell r="U151">
            <v>0</v>
          </cell>
        </row>
        <row r="152">
          <cell r="C152" t="str">
            <v>Kohuwela</v>
          </cell>
          <cell r="D152">
            <v>15327.698850000001</v>
          </cell>
          <cell r="E152">
            <v>5.0000000000000001E-4</v>
          </cell>
          <cell r="F152">
            <v>0</v>
          </cell>
          <cell r="G152">
            <v>2273.9348100000002</v>
          </cell>
          <cell r="H152">
            <v>5.0000000000000001E-4</v>
          </cell>
          <cell r="I152">
            <v>0</v>
          </cell>
          <cell r="J152">
            <v>114.2877</v>
          </cell>
          <cell r="K152">
            <v>5.0000000000000001E-4</v>
          </cell>
          <cell r="L152">
            <v>0</v>
          </cell>
          <cell r="M152">
            <v>2024.30431</v>
          </cell>
          <cell r="N152">
            <v>0</v>
          </cell>
          <cell r="O152">
            <v>0</v>
          </cell>
          <cell r="P152">
            <v>0</v>
          </cell>
          <cell r="Q152">
            <v>0</v>
          </cell>
          <cell r="R152">
            <v>0</v>
          </cell>
          <cell r="S152">
            <v>363.91820000000007</v>
          </cell>
          <cell r="T152">
            <v>1E-3</v>
          </cell>
          <cell r="U152">
            <v>0</v>
          </cell>
        </row>
        <row r="153">
          <cell r="C153" t="str">
            <v>Mt lavinia-STC</v>
          </cell>
          <cell r="D153">
            <v>5755.3805499999999</v>
          </cell>
          <cell r="E153">
            <v>5.0000000000000001E-4</v>
          </cell>
          <cell r="F153">
            <v>0</v>
          </cell>
          <cell r="G153">
            <v>916.94128999999998</v>
          </cell>
          <cell r="H153">
            <v>5.0000000000000001E-4</v>
          </cell>
          <cell r="I153">
            <v>0</v>
          </cell>
          <cell r="J153">
            <v>5.0500000000000003E-2</v>
          </cell>
          <cell r="K153">
            <v>5.0000000000000001E-4</v>
          </cell>
          <cell r="L153">
            <v>0</v>
          </cell>
          <cell r="M153">
            <v>1272.79619</v>
          </cell>
          <cell r="N153">
            <v>0</v>
          </cell>
          <cell r="O153">
            <v>0</v>
          </cell>
          <cell r="P153">
            <v>0</v>
          </cell>
          <cell r="Q153">
            <v>0</v>
          </cell>
          <cell r="R153">
            <v>0</v>
          </cell>
          <cell r="S153">
            <v>-355.80439999999999</v>
          </cell>
          <cell r="T153">
            <v>1E-3</v>
          </cell>
          <cell r="U153">
            <v>0</v>
          </cell>
        </row>
        <row r="154">
          <cell r="C154" t="str">
            <v>Express Matara</v>
          </cell>
          <cell r="D154">
            <v>18854.953799999999</v>
          </cell>
          <cell r="E154">
            <v>2703.22055</v>
          </cell>
          <cell r="F154">
            <v>0</v>
          </cell>
          <cell r="G154">
            <v>2739.3957700000001</v>
          </cell>
          <cell r="H154">
            <v>399.33526999999998</v>
          </cell>
          <cell r="I154">
            <v>0</v>
          </cell>
          <cell r="J154">
            <v>0.1045</v>
          </cell>
          <cell r="K154">
            <v>0.10050000000000001</v>
          </cell>
          <cell r="L154">
            <v>0</v>
          </cell>
          <cell r="M154">
            <v>2352.8426200000004</v>
          </cell>
          <cell r="N154">
            <v>395.46232999999995</v>
          </cell>
          <cell r="O154">
            <v>-494.95998518999284</v>
          </cell>
          <cell r="P154">
            <v>-1.5E-3</v>
          </cell>
          <cell r="Q154">
            <v>0</v>
          </cell>
          <cell r="R154">
            <v>0</v>
          </cell>
          <cell r="S154">
            <v>386.65914999999967</v>
          </cell>
          <cell r="T154">
            <v>3.9734400000000392</v>
          </cell>
          <cell r="U154">
            <v>0</v>
          </cell>
        </row>
        <row r="155">
          <cell r="C155" t="str">
            <v>Express Maligawatte</v>
          </cell>
          <cell r="D155">
            <v>12457.043250000001</v>
          </cell>
          <cell r="E155">
            <v>5.0000000000000001E-4</v>
          </cell>
          <cell r="F155">
            <v>0</v>
          </cell>
          <cell r="G155">
            <v>1784.5183999999999</v>
          </cell>
          <cell r="H155">
            <v>5.0000000000000001E-4</v>
          </cell>
          <cell r="I155">
            <v>0</v>
          </cell>
          <cell r="J155">
            <v>2.48645</v>
          </cell>
          <cell r="K155">
            <v>5.0000000000000001E-4</v>
          </cell>
          <cell r="L155">
            <v>0</v>
          </cell>
          <cell r="M155">
            <v>1894.6557999999998</v>
          </cell>
          <cell r="N155">
            <v>0</v>
          </cell>
          <cell r="O155">
            <v>0</v>
          </cell>
          <cell r="P155">
            <v>0</v>
          </cell>
          <cell r="Q155">
            <v>0</v>
          </cell>
          <cell r="R155">
            <v>0</v>
          </cell>
          <cell r="S155">
            <v>-107.65094999999974</v>
          </cell>
          <cell r="T155">
            <v>1E-3</v>
          </cell>
          <cell r="U155">
            <v>0</v>
          </cell>
        </row>
        <row r="156">
          <cell r="C156" t="str">
            <v>Express Peradeniya</v>
          </cell>
          <cell r="D156">
            <v>4438.4579000000003</v>
          </cell>
          <cell r="E156">
            <v>5.0000000000000001E-4</v>
          </cell>
          <cell r="F156">
            <v>0</v>
          </cell>
          <cell r="G156">
            <v>699.36019999999996</v>
          </cell>
          <cell r="H156">
            <v>5.0000000000000001E-4</v>
          </cell>
          <cell r="I156">
            <v>0</v>
          </cell>
          <cell r="J156">
            <v>0.21375</v>
          </cell>
          <cell r="K156">
            <v>5.0000000000000001E-4</v>
          </cell>
          <cell r="L156">
            <v>0</v>
          </cell>
          <cell r="M156">
            <v>1082.43543</v>
          </cell>
          <cell r="N156">
            <v>0</v>
          </cell>
          <cell r="O156">
            <v>0</v>
          </cell>
          <cell r="P156">
            <v>0</v>
          </cell>
          <cell r="Q156">
            <v>0</v>
          </cell>
          <cell r="R156">
            <v>0</v>
          </cell>
          <cell r="S156">
            <v>-382.86148000000003</v>
          </cell>
          <cell r="T156">
            <v>1E-3</v>
          </cell>
          <cell r="U156">
            <v>0</v>
          </cell>
        </row>
        <row r="157">
          <cell r="C157" t="str">
            <v>Express Alexandra Place</v>
          </cell>
          <cell r="D157">
            <v>10201.76375</v>
          </cell>
          <cell r="E157">
            <v>5.0000000000000001E-4</v>
          </cell>
          <cell r="F157">
            <v>0</v>
          </cell>
          <cell r="G157">
            <v>1572.04836</v>
          </cell>
          <cell r="H157">
            <v>5.0000000000000001E-4</v>
          </cell>
          <cell r="I157">
            <v>0</v>
          </cell>
          <cell r="J157">
            <v>6.5783500000000004</v>
          </cell>
          <cell r="K157">
            <v>5.0000000000000001E-4</v>
          </cell>
          <cell r="L157">
            <v>0</v>
          </cell>
          <cell r="M157">
            <v>1531.5190700000001</v>
          </cell>
          <cell r="N157">
            <v>0</v>
          </cell>
          <cell r="O157">
            <v>0</v>
          </cell>
          <cell r="P157">
            <v>0</v>
          </cell>
          <cell r="Q157">
            <v>0</v>
          </cell>
          <cell r="R157">
            <v>0</v>
          </cell>
          <cell r="S157">
            <v>47.107639999999947</v>
          </cell>
          <cell r="T157">
            <v>1E-3</v>
          </cell>
          <cell r="U157">
            <v>0</v>
          </cell>
        </row>
        <row r="158">
          <cell r="C158" t="str">
            <v>Express Boralla</v>
          </cell>
          <cell r="D158">
            <v>1075.70165</v>
          </cell>
          <cell r="E158">
            <v>5.0000000000000001E-4</v>
          </cell>
          <cell r="F158">
            <v>0</v>
          </cell>
          <cell r="G158">
            <v>116.29371999999999</v>
          </cell>
          <cell r="H158">
            <v>5.0000000000000001E-4</v>
          </cell>
          <cell r="I158">
            <v>0</v>
          </cell>
          <cell r="J158">
            <v>8.3099999999999993E-2</v>
          </cell>
          <cell r="K158">
            <v>5.0000000000000001E-4</v>
          </cell>
          <cell r="L158">
            <v>0</v>
          </cell>
          <cell r="M158">
            <v>509.25648999999999</v>
          </cell>
          <cell r="N158">
            <v>0</v>
          </cell>
          <cell r="O158">
            <v>0</v>
          </cell>
          <cell r="P158">
            <v>0</v>
          </cell>
          <cell r="Q158">
            <v>0</v>
          </cell>
          <cell r="R158">
            <v>0</v>
          </cell>
          <cell r="S158">
            <v>-392.87966999999998</v>
          </cell>
          <cell r="T158">
            <v>1E-3</v>
          </cell>
          <cell r="U158">
            <v>0</v>
          </cell>
        </row>
        <row r="159">
          <cell r="C159" t="str">
            <v>Express Havelock Road</v>
          </cell>
          <cell r="D159">
            <v>1613.48945</v>
          </cell>
          <cell r="E159">
            <v>5.0000000000000001E-4</v>
          </cell>
          <cell r="F159">
            <v>0</v>
          </cell>
          <cell r="G159">
            <v>265.18950000000001</v>
          </cell>
          <cell r="H159">
            <v>5.0000000000000001E-4</v>
          </cell>
          <cell r="I159">
            <v>0</v>
          </cell>
          <cell r="J159">
            <v>0.75049999999999994</v>
          </cell>
          <cell r="K159">
            <v>5.0000000000000001E-4</v>
          </cell>
          <cell r="L159">
            <v>0</v>
          </cell>
          <cell r="M159">
            <v>598.97360000000003</v>
          </cell>
          <cell r="N159">
            <v>0</v>
          </cell>
          <cell r="O159">
            <v>0</v>
          </cell>
          <cell r="P159">
            <v>0</v>
          </cell>
          <cell r="Q159">
            <v>0</v>
          </cell>
          <cell r="R159">
            <v>0</v>
          </cell>
          <cell r="S159">
            <v>-333.03360000000004</v>
          </cell>
          <cell r="T159">
            <v>1E-3</v>
          </cell>
          <cell r="U159">
            <v>0</v>
          </cell>
        </row>
        <row r="160">
          <cell r="C160" t="str">
            <v>Express Maradana</v>
          </cell>
          <cell r="D160">
            <v>116.58815</v>
          </cell>
          <cell r="E160">
            <v>5.0000000000000001E-4</v>
          </cell>
          <cell r="F160">
            <v>0</v>
          </cell>
          <cell r="G160">
            <v>4.91275</v>
          </cell>
          <cell r="H160">
            <v>5.0000000000000001E-4</v>
          </cell>
          <cell r="I160">
            <v>0</v>
          </cell>
          <cell r="J160">
            <v>5.0000000000000001E-4</v>
          </cell>
          <cell r="K160">
            <v>5.0000000000000001E-4</v>
          </cell>
          <cell r="L160">
            <v>0</v>
          </cell>
          <cell r="M160">
            <v>70.208309999999997</v>
          </cell>
          <cell r="N160">
            <v>0</v>
          </cell>
          <cell r="O160">
            <v>0</v>
          </cell>
          <cell r="P160">
            <v>0</v>
          </cell>
          <cell r="Q160">
            <v>0</v>
          </cell>
          <cell r="R160">
            <v>0</v>
          </cell>
          <cell r="S160">
            <v>-65.295059999999992</v>
          </cell>
          <cell r="T160">
            <v>1E-3</v>
          </cell>
          <cell r="U160">
            <v>0</v>
          </cell>
        </row>
        <row r="161">
          <cell r="C161" t="str">
            <v xml:space="preserve">Food City </v>
          </cell>
          <cell r="D161">
            <v>6648915.7856999999</v>
          </cell>
          <cell r="E161">
            <v>4143667.3432500022</v>
          </cell>
          <cell r="F161">
            <v>60.459690291765945</v>
          </cell>
          <cell r="G161">
            <v>919268.59576000017</v>
          </cell>
          <cell r="H161">
            <v>616193.46963999933</v>
          </cell>
          <cell r="I161">
            <v>49.185059734090885</v>
          </cell>
          <cell r="J161">
            <v>90931.667790000007</v>
          </cell>
          <cell r="K161">
            <v>57522.468550000041</v>
          </cell>
          <cell r="L161">
            <v>58.080259909151522</v>
          </cell>
          <cell r="M161">
            <v>642627.7702100001</v>
          </cell>
          <cell r="N161">
            <v>414545.12675000005</v>
          </cell>
          <cell r="O161">
            <v>-55.019979428572555</v>
          </cell>
          <cell r="P161">
            <v>90008.80863</v>
          </cell>
          <cell r="Q161">
            <v>51936.488390000006</v>
          </cell>
          <cell r="R161">
            <v>-73.305534163396658</v>
          </cell>
          <cell r="S161">
            <v>277563.68471</v>
          </cell>
          <cell r="T161">
            <v>207234.3230499998</v>
          </cell>
          <cell r="U161">
            <v>33.937120369308566</v>
          </cell>
        </row>
        <row r="162">
          <cell r="B162">
            <v>20</v>
          </cell>
          <cell r="T162" t="str">
            <v>Schedule 2</v>
          </cell>
        </row>
        <row r="163">
          <cell r="B163" t="str">
            <v>CARGILLS ( CEYLON ) LTD</v>
          </cell>
        </row>
        <row r="165">
          <cell r="B165" t="str">
            <v xml:space="preserve"> Contribution by Profit Centres/Divisions  -Twelve  months ended 31st March 2004</v>
          </cell>
        </row>
        <row r="166">
          <cell r="C166" t="str">
            <v>YTD V YTD</v>
          </cell>
          <cell r="U166">
            <v>38154.357810300928</v>
          </cell>
        </row>
        <row r="167">
          <cell r="B167" t="str">
            <v>Profit Centre</v>
          </cell>
          <cell r="D167" t="str">
            <v>Gross Turnover</v>
          </cell>
          <cell r="G167" t="str">
            <v>Achieved Gross Profit</v>
          </cell>
          <cell r="J167" t="str">
            <v>Other Income</v>
          </cell>
          <cell r="M167" t="str">
            <v>Direct Expenses</v>
          </cell>
          <cell r="P167" t="str">
            <v>D&amp;A and Finance</v>
          </cell>
          <cell r="S167" t="str">
            <v>Contribution</v>
          </cell>
        </row>
        <row r="168">
          <cell r="D168">
            <v>38047</v>
          </cell>
          <cell r="E168">
            <v>37681</v>
          </cell>
          <cell r="F168" t="str">
            <v>Var %</v>
          </cell>
          <cell r="G168">
            <v>38047</v>
          </cell>
          <cell r="H168">
            <v>37681</v>
          </cell>
          <cell r="I168" t="str">
            <v>Var %</v>
          </cell>
          <cell r="J168">
            <v>38047</v>
          </cell>
          <cell r="K168">
            <v>37681</v>
          </cell>
          <cell r="L168" t="str">
            <v>Var %</v>
          </cell>
          <cell r="M168">
            <v>38047</v>
          </cell>
          <cell r="N168">
            <v>37681</v>
          </cell>
          <cell r="O168" t="str">
            <v>Var %</v>
          </cell>
          <cell r="P168">
            <v>38047</v>
          </cell>
          <cell r="Q168">
            <v>37681</v>
          </cell>
          <cell r="R168" t="str">
            <v>Var %</v>
          </cell>
          <cell r="S168">
            <v>38047</v>
          </cell>
          <cell r="T168">
            <v>37681</v>
          </cell>
          <cell r="U168" t="str">
            <v>Var %</v>
          </cell>
        </row>
        <row r="169">
          <cell r="C169" t="str">
            <v>Department Store</v>
          </cell>
          <cell r="D169">
            <v>10057.508</v>
          </cell>
          <cell r="E169">
            <v>8603.0646500000003</v>
          </cell>
          <cell r="F169">
            <v>16.90610740673673</v>
          </cell>
          <cell r="G169">
            <v>2086.8788199999999</v>
          </cell>
          <cell r="H169">
            <v>1840.4293100000002</v>
          </cell>
          <cell r="I169">
            <v>13.390870742000935</v>
          </cell>
          <cell r="J169">
            <v>2E-3</v>
          </cell>
          <cell r="K169">
            <v>2E-3</v>
          </cell>
          <cell r="L169">
            <v>0</v>
          </cell>
          <cell r="M169">
            <v>591.22876000000008</v>
          </cell>
          <cell r="N169">
            <v>582.10256000000004</v>
          </cell>
          <cell r="O169">
            <v>-1.5677993238854746</v>
          </cell>
          <cell r="P169">
            <v>6.0999999999999999E-2</v>
          </cell>
          <cell r="Q169">
            <v>0.1346</v>
          </cell>
          <cell r="R169">
            <v>54.680534918276379</v>
          </cell>
          <cell r="S169">
            <v>1495.59106</v>
          </cell>
          <cell r="T169">
            <v>1258.19415</v>
          </cell>
          <cell r="U169">
            <v>18.868066585749101</v>
          </cell>
        </row>
        <row r="170">
          <cell r="C170" t="str">
            <v>Books and Stationery</v>
          </cell>
          <cell r="D170">
            <v>29491.057799999995</v>
          </cell>
          <cell r="E170">
            <v>25200.839250000001</v>
          </cell>
          <cell r="F170">
            <v>17.024109822056797</v>
          </cell>
          <cell r="G170">
            <v>7467.1374700000006</v>
          </cell>
          <cell r="H170">
            <v>6411.4737100000002</v>
          </cell>
          <cell r="I170">
            <v>16.465227929633048</v>
          </cell>
          <cell r="J170">
            <v>54.17313</v>
          </cell>
          <cell r="K170">
            <v>14.6868</v>
          </cell>
          <cell r="L170">
            <v>268.85591143067245</v>
          </cell>
          <cell r="M170">
            <v>4964.5761499999999</v>
          </cell>
          <cell r="N170">
            <v>4651.3677500000003</v>
          </cell>
          <cell r="O170">
            <v>-6.7336838718030743</v>
          </cell>
          <cell r="P170">
            <v>-7.3631699999999984</v>
          </cell>
          <cell r="Q170">
            <v>157.82689999999999</v>
          </cell>
          <cell r="R170">
            <v>104.66534538789014</v>
          </cell>
          <cell r="S170">
            <v>2564.0976200000009</v>
          </cell>
          <cell r="T170">
            <v>1616.9658600000002</v>
          </cell>
          <cell r="U170">
            <v>58.574629398792652</v>
          </cell>
        </row>
        <row r="171">
          <cell r="C171" t="str">
            <v>Hatton Liquor</v>
          </cell>
          <cell r="D171">
            <v>31397.028999999999</v>
          </cell>
          <cell r="E171">
            <v>30748.246500000001</v>
          </cell>
          <cell r="F171">
            <v>2.1099821090610726</v>
          </cell>
          <cell r="G171">
            <v>1464.7768799999999</v>
          </cell>
          <cell r="H171">
            <v>1365.3124299999999</v>
          </cell>
          <cell r="I171">
            <v>7.2851054318753956</v>
          </cell>
          <cell r="J171">
            <v>5.0000000000000001E-4</v>
          </cell>
          <cell r="K171">
            <v>5.0000000000000001E-4</v>
          </cell>
          <cell r="L171">
            <v>0</v>
          </cell>
          <cell r="M171">
            <v>1464.7781799999998</v>
          </cell>
          <cell r="N171">
            <v>1365.31393</v>
          </cell>
          <cell r="O171">
            <v>-7.2850827794600876</v>
          </cell>
          <cell r="P171">
            <v>0</v>
          </cell>
          <cell r="Q171">
            <v>0</v>
          </cell>
          <cell r="R171">
            <v>0</v>
          </cell>
          <cell r="S171">
            <v>-7.9999999979918357E-4</v>
          </cell>
          <cell r="T171">
            <v>-9.9999999997635314E-4</v>
          </cell>
          <cell r="U171">
            <v>20.000000018189894</v>
          </cell>
        </row>
        <row r="172">
          <cell r="C172" t="str">
            <v>Retail Division</v>
          </cell>
          <cell r="D172">
            <v>6719861.3805</v>
          </cell>
          <cell r="E172">
            <v>4208219.4936500024</v>
          </cell>
          <cell r="F172">
            <v>59.684194007464264</v>
          </cell>
          <cell r="G172">
            <v>930287.38893000013</v>
          </cell>
          <cell r="H172">
            <v>625810.68508999934</v>
          </cell>
          <cell r="I172">
            <v>48.653164781968087</v>
          </cell>
          <cell r="J172">
            <v>90985.843420000005</v>
          </cell>
          <cell r="K172">
            <v>57537.15785000004</v>
          </cell>
          <cell r="L172">
            <v>58.134059484135506</v>
          </cell>
          <cell r="M172">
            <v>649648.35330000008</v>
          </cell>
          <cell r="N172">
            <v>421143.91099000006</v>
          </cell>
          <cell r="O172">
            <v>-54.258042523479766</v>
          </cell>
          <cell r="P172">
            <v>90001.506460000004</v>
          </cell>
          <cell r="Q172">
            <v>52094.449890000004</v>
          </cell>
          <cell r="R172">
            <v>-72.766017589287571</v>
          </cell>
          <cell r="S172">
            <v>281623.37258999998</v>
          </cell>
          <cell r="T172">
            <v>210109.48205999981</v>
          </cell>
          <cell r="U172">
            <v>34.036488895621737</v>
          </cell>
        </row>
        <row r="173">
          <cell r="C173" t="str">
            <v>Commercial Division</v>
          </cell>
          <cell r="D173">
            <v>2.5000000000000001E-3</v>
          </cell>
          <cell r="E173">
            <v>2.5000000000000001E-3</v>
          </cell>
          <cell r="F173">
            <v>0</v>
          </cell>
          <cell r="G173">
            <v>22060.380740000001</v>
          </cell>
          <cell r="H173">
            <v>14763.447189999999</v>
          </cell>
          <cell r="I173">
            <v>49.425675833639787</v>
          </cell>
          <cell r="J173">
            <v>2166.1284800000003</v>
          </cell>
          <cell r="K173">
            <v>2582.4865</v>
          </cell>
          <cell r="L173">
            <v>-16.122369661951755</v>
          </cell>
          <cell r="M173">
            <v>27973.602529999996</v>
          </cell>
          <cell r="N173">
            <v>16299.485720000002</v>
          </cell>
          <cell r="O173">
            <v>-71.62260828680914</v>
          </cell>
          <cell r="P173">
            <v>1008.1410100000001</v>
          </cell>
          <cell r="Q173">
            <v>998.20771999999988</v>
          </cell>
          <cell r="R173">
            <v>-0.9951125202678428</v>
          </cell>
          <cell r="S173">
            <v>-4755.2343199999968</v>
          </cell>
          <cell r="T173">
            <v>48.24024999999574</v>
          </cell>
          <cell r="U173">
            <v>-9957.3998269088934</v>
          </cell>
        </row>
        <row r="174">
          <cell r="C174" t="str">
            <v>Hampers</v>
          </cell>
          <cell r="D174">
            <v>22254.20276</v>
          </cell>
          <cell r="E174">
            <v>18519.447899999999</v>
          </cell>
          <cell r="F174">
            <v>20.166664147693091</v>
          </cell>
          <cell r="G174">
            <v>7529.2830899999999</v>
          </cell>
          <cell r="H174">
            <v>4413.8500299999996</v>
          </cell>
          <cell r="I174">
            <v>70.583119925350076</v>
          </cell>
          <cell r="J174">
            <v>0.10069</v>
          </cell>
          <cell r="K174">
            <v>6.6E-4</v>
          </cell>
          <cell r="L174">
            <v>15156.060606060606</v>
          </cell>
          <cell r="M174">
            <v>1840.6198300000001</v>
          </cell>
          <cell r="N174">
            <v>1595.42839</v>
          </cell>
          <cell r="O174">
            <v>-15.368376389491228</v>
          </cell>
          <cell r="P174">
            <v>0</v>
          </cell>
          <cell r="Q174">
            <v>0</v>
          </cell>
          <cell r="R174">
            <v>0</v>
          </cell>
          <cell r="S174">
            <v>5688.7639500000005</v>
          </cell>
          <cell r="T174">
            <v>2818.4222999999993</v>
          </cell>
          <cell r="U174">
            <v>101.84214232196508</v>
          </cell>
        </row>
        <row r="175">
          <cell r="C175" t="str">
            <v>Wines &amp; Spirits</v>
          </cell>
          <cell r="D175">
            <v>136718.96444000001</v>
          </cell>
          <cell r="E175">
            <v>104568.66675999999</v>
          </cell>
          <cell r="F175">
            <v>30.745632201460062</v>
          </cell>
          <cell r="G175">
            <v>27163.577799999999</v>
          </cell>
          <cell r="H175">
            <v>22323.97999</v>
          </cell>
          <cell r="I175">
            <v>21.67892021121633</v>
          </cell>
          <cell r="J175">
            <v>1489.37581</v>
          </cell>
          <cell r="K175">
            <v>2309.4234700000002</v>
          </cell>
          <cell r="L175">
            <v>-35.508760980938682</v>
          </cell>
          <cell r="M175">
            <v>8297.9526700000006</v>
          </cell>
          <cell r="N175">
            <v>6268.2294099999999</v>
          </cell>
          <cell r="O175">
            <v>-32.381125948611391</v>
          </cell>
          <cell r="P175">
            <v>-1764.7998</v>
          </cell>
          <cell r="Q175">
            <v>-982.31430999999998</v>
          </cell>
          <cell r="R175">
            <v>79.657344093867479</v>
          </cell>
          <cell r="S175">
            <v>22119.800739999999</v>
          </cell>
          <cell r="T175">
            <v>19347.488360000003</v>
          </cell>
          <cell r="U175">
            <v>14.329055681106482</v>
          </cell>
        </row>
        <row r="176">
          <cell r="C176" t="str">
            <v xml:space="preserve">Total </v>
          </cell>
          <cell r="D176">
            <v>6878834.5502000004</v>
          </cell>
          <cell r="E176">
            <v>4331307.6108100032</v>
          </cell>
          <cell r="F176">
            <v>58.816578463093293</v>
          </cell>
          <cell r="G176">
            <v>987040.63056000019</v>
          </cell>
          <cell r="H176">
            <v>667311.96229999932</v>
          </cell>
          <cell r="I176">
            <v>47.912923238780856</v>
          </cell>
          <cell r="J176">
            <v>94641.448400000008</v>
          </cell>
          <cell r="K176">
            <v>62429.068480000038</v>
          </cell>
          <cell r="L176">
            <v>51.598367081705895</v>
          </cell>
          <cell r="M176">
            <v>687760.52833000012</v>
          </cell>
          <cell r="N176">
            <v>445307.05451000005</v>
          </cell>
          <cell r="O176">
            <v>-54.446358162187039</v>
          </cell>
          <cell r="P176">
            <v>89244.847670000017</v>
          </cell>
          <cell r="Q176">
            <v>52110.3433</v>
          </cell>
          <cell r="R176">
            <v>-71.261292899599866</v>
          </cell>
          <cell r="S176">
            <v>304676.70295999997</v>
          </cell>
          <cell r="T176">
            <v>232323.6329699998</v>
          </cell>
          <cell r="U176">
            <v>31.14322424500963</v>
          </cell>
        </row>
        <row r="195">
          <cell r="V195">
            <v>22</v>
          </cell>
          <cell r="AQ195" t="str">
            <v>Schedule 4</v>
          </cell>
        </row>
        <row r="196">
          <cell r="V196" t="str">
            <v>CARGILLS ( CEYLON ) LTD</v>
          </cell>
        </row>
        <row r="198">
          <cell r="V198" t="str">
            <v xml:space="preserve"> Indirect &amp; Service Division Expenses  -Twelve  months ended 31st March 2004 </v>
          </cell>
        </row>
        <row r="199">
          <cell r="W199" t="str">
            <v>YTD V YTD</v>
          </cell>
          <cell r="AR199">
            <v>38154.357810300928</v>
          </cell>
        </row>
        <row r="200">
          <cell r="V200" t="str">
            <v>Indirect - Strategic Business Units (SBUs)</v>
          </cell>
        </row>
        <row r="201">
          <cell r="V201" t="str">
            <v>Cost Centre</v>
          </cell>
          <cell r="X201" t="str">
            <v>Staff Related</v>
          </cell>
          <cell r="AA201" t="str">
            <v xml:space="preserve">Administration </v>
          </cell>
          <cell r="AD201" t="str">
            <v xml:space="preserve">Establishment </v>
          </cell>
          <cell r="AG201" t="str">
            <v>Selling &amp; Distribution</v>
          </cell>
          <cell r="AJ201" t="str">
            <v>Expenses</v>
          </cell>
          <cell r="AM201" t="str">
            <v>Depreciation</v>
          </cell>
          <cell r="AP201" t="str">
            <v>Finance</v>
          </cell>
        </row>
        <row r="202">
          <cell r="X202">
            <v>38047</v>
          </cell>
          <cell r="Y202">
            <v>37681</v>
          </cell>
          <cell r="Z202" t="str">
            <v>Var %</v>
          </cell>
          <cell r="AA202">
            <v>38047</v>
          </cell>
          <cell r="AB202">
            <v>37681</v>
          </cell>
          <cell r="AC202" t="str">
            <v>Var %</v>
          </cell>
          <cell r="AD202">
            <v>38047</v>
          </cell>
          <cell r="AE202">
            <v>37681</v>
          </cell>
          <cell r="AF202" t="str">
            <v>Var %</v>
          </cell>
          <cell r="AG202">
            <v>38047</v>
          </cell>
          <cell r="AH202">
            <v>37681</v>
          </cell>
          <cell r="AI202" t="str">
            <v>Var %</v>
          </cell>
          <cell r="AJ202">
            <v>38047</v>
          </cell>
          <cell r="AK202">
            <v>37681</v>
          </cell>
          <cell r="AL202" t="str">
            <v>Var %</v>
          </cell>
          <cell r="AM202">
            <v>38047</v>
          </cell>
          <cell r="AN202">
            <v>37681</v>
          </cell>
          <cell r="AO202" t="str">
            <v>Var %</v>
          </cell>
          <cell r="AP202">
            <v>38047</v>
          </cell>
          <cell r="AQ202">
            <v>37681</v>
          </cell>
          <cell r="AR202" t="str">
            <v>Var %</v>
          </cell>
        </row>
        <row r="203">
          <cell r="W203" t="str">
            <v>Food City Operations</v>
          </cell>
          <cell r="X203">
            <v>11453.761710000001</v>
          </cell>
          <cell r="Y203">
            <v>8241.2371800000001</v>
          </cell>
          <cell r="Z203">
            <v>-38.981095433052445</v>
          </cell>
          <cell r="AA203">
            <v>8851.9627300000011</v>
          </cell>
          <cell r="AB203">
            <v>6036.91482</v>
          </cell>
          <cell r="AC203">
            <v>-46.630571971529008</v>
          </cell>
          <cell r="AD203">
            <v>9037.98819</v>
          </cell>
          <cell r="AE203">
            <v>6016.9684999999999</v>
          </cell>
          <cell r="AF203">
            <v>-50.208334811791019</v>
          </cell>
          <cell r="AG203">
            <v>2336.36679</v>
          </cell>
          <cell r="AH203">
            <v>5607.2872100000004</v>
          </cell>
          <cell r="AI203">
            <v>58.333384709929994</v>
          </cell>
          <cell r="AJ203">
            <v>31680.079420000002</v>
          </cell>
          <cell r="AK203">
            <v>25902.407709999999</v>
          </cell>
          <cell r="AL203">
            <v>-22.305539217381128</v>
          </cell>
          <cell r="AM203">
            <v>350.10550000000001</v>
          </cell>
          <cell r="AN203">
            <v>146.07919999999999</v>
          </cell>
          <cell r="AO203">
            <v>-139.6682758394077</v>
          </cell>
          <cell r="AP203">
            <v>0</v>
          </cell>
          <cell r="AQ203">
            <v>0</v>
          </cell>
          <cell r="AR203">
            <v>0</v>
          </cell>
        </row>
        <row r="204">
          <cell r="W204" t="str">
            <v>Wharf</v>
          </cell>
          <cell r="X204">
            <v>302.56554</v>
          </cell>
          <cell r="Y204">
            <v>417.97408999999999</v>
          </cell>
          <cell r="Z204">
            <v>27.611412468174763</v>
          </cell>
          <cell r="AA204">
            <v>117.37025</v>
          </cell>
          <cell r="AB204">
            <v>126.00919</v>
          </cell>
          <cell r="AC204">
            <v>6.8558015490774959</v>
          </cell>
          <cell r="AD204">
            <v>8.1062100000000008</v>
          </cell>
          <cell r="AE204">
            <v>3.8088700000000002</v>
          </cell>
          <cell r="AF204">
            <v>-112.82453851142202</v>
          </cell>
          <cell r="AG204">
            <v>1.0605</v>
          </cell>
          <cell r="AH204">
            <v>0</v>
          </cell>
          <cell r="AI204">
            <v>0</v>
          </cell>
          <cell r="AJ204">
            <v>429.10249999999996</v>
          </cell>
          <cell r="AK204">
            <v>547.79214999999999</v>
          </cell>
          <cell r="AL204">
            <v>21.666913262630732</v>
          </cell>
          <cell r="AM204">
            <v>1.6205000000000001</v>
          </cell>
          <cell r="AN204">
            <v>0</v>
          </cell>
          <cell r="AO204">
            <v>0</v>
          </cell>
          <cell r="AP204">
            <v>45.010379999999998</v>
          </cell>
          <cell r="AQ204">
            <v>0</v>
          </cell>
          <cell r="AR204">
            <v>0</v>
          </cell>
        </row>
        <row r="205">
          <cell r="W205" t="str">
            <v>Cellar &amp; Packing Hall</v>
          </cell>
          <cell r="X205">
            <v>17237.544750000001</v>
          </cell>
          <cell r="Y205">
            <v>13373.59844</v>
          </cell>
          <cell r="Z205">
            <v>-28.892345821024971</v>
          </cell>
          <cell r="AA205">
            <v>1330.11283</v>
          </cell>
          <cell r="AB205">
            <v>968.11505999999997</v>
          </cell>
          <cell r="AC205">
            <v>-37.392019291591239</v>
          </cell>
          <cell r="AD205">
            <v>64.345590000000001</v>
          </cell>
          <cell r="AE205">
            <v>111.82483999999999</v>
          </cell>
          <cell r="AF205">
            <v>42.458589701536795</v>
          </cell>
          <cell r="AG205">
            <v>76.932019999999994</v>
          </cell>
          <cell r="AH205">
            <v>66.499250000000004</v>
          </cell>
          <cell r="AI205">
            <v>-15.688552878415907</v>
          </cell>
          <cell r="AJ205">
            <v>18708.93519</v>
          </cell>
          <cell r="AK205">
            <v>14520.03759</v>
          </cell>
          <cell r="AL205">
            <v>-28.849082339049236</v>
          </cell>
          <cell r="AM205">
            <v>74.036500000000004</v>
          </cell>
          <cell r="AN205">
            <v>73.749700000000004</v>
          </cell>
          <cell r="AO205">
            <v>-0.38888293782889893</v>
          </cell>
          <cell r="AP205">
            <v>0</v>
          </cell>
          <cell r="AQ205">
            <v>0</v>
          </cell>
          <cell r="AR205">
            <v>0</v>
          </cell>
        </row>
        <row r="206">
          <cell r="W206" t="str">
            <v>SBUs</v>
          </cell>
          <cell r="X206">
            <v>28993.872000000003</v>
          </cell>
          <cell r="Y206">
            <v>22032.809710000001</v>
          </cell>
          <cell r="Z206">
            <v>-31.594074390070158</v>
          </cell>
          <cell r="AA206">
            <v>10299.445810000001</v>
          </cell>
          <cell r="AB206">
            <v>7131.0390699999998</v>
          </cell>
          <cell r="AC206">
            <v>-44.431207134025719</v>
          </cell>
          <cell r="AD206">
            <v>9110.4399900000008</v>
          </cell>
          <cell r="AE206">
            <v>6132.60221</v>
          </cell>
          <cell r="AF206">
            <v>-48.557491225246139</v>
          </cell>
          <cell r="AG206">
            <v>2414.3593100000003</v>
          </cell>
          <cell r="AH206">
            <v>5673.7864600000003</v>
          </cell>
          <cell r="AI206">
            <v>57.447124120353301</v>
          </cell>
          <cell r="AJ206">
            <v>50818.117110000007</v>
          </cell>
          <cell r="AK206">
            <v>40970.237450000001</v>
          </cell>
          <cell r="AL206">
            <v>-24.036667280775074</v>
          </cell>
          <cell r="AM206">
            <v>425.76249999999999</v>
          </cell>
          <cell r="AN206">
            <v>219.82889999999998</v>
          </cell>
          <cell r="AO206">
            <v>-93.679038561353863</v>
          </cell>
          <cell r="AP206">
            <v>45.010379999999998</v>
          </cell>
          <cell r="AQ206">
            <v>0</v>
          </cell>
          <cell r="AR206">
            <v>0</v>
          </cell>
        </row>
        <row r="207">
          <cell r="V207" t="str">
            <v>Indirect - Support Service Units (SSUs)</v>
          </cell>
        </row>
        <row r="208">
          <cell r="V208" t="str">
            <v>Cost Centre</v>
          </cell>
          <cell r="X208" t="str">
            <v>Staff Related</v>
          </cell>
          <cell r="AA208" t="str">
            <v xml:space="preserve">Administration </v>
          </cell>
          <cell r="AD208" t="str">
            <v xml:space="preserve">Establishment </v>
          </cell>
          <cell r="AG208" t="str">
            <v>Selling &amp; Distribution</v>
          </cell>
          <cell r="AJ208" t="str">
            <v>Expenses</v>
          </cell>
          <cell r="AM208" t="str">
            <v>Depreciation</v>
          </cell>
          <cell r="AP208" t="str">
            <v>Finance</v>
          </cell>
        </row>
        <row r="209">
          <cell r="X209">
            <v>38047</v>
          </cell>
          <cell r="Y209">
            <v>37681</v>
          </cell>
          <cell r="Z209" t="str">
            <v>Var %</v>
          </cell>
          <cell r="AA209">
            <v>38047</v>
          </cell>
          <cell r="AB209">
            <v>37681</v>
          </cell>
          <cell r="AC209" t="str">
            <v>Var %</v>
          </cell>
          <cell r="AD209">
            <v>38047</v>
          </cell>
          <cell r="AE209">
            <v>37681</v>
          </cell>
          <cell r="AF209" t="str">
            <v>Var %</v>
          </cell>
          <cell r="AG209">
            <v>38047</v>
          </cell>
          <cell r="AH209">
            <v>37681</v>
          </cell>
          <cell r="AI209" t="str">
            <v>Var %</v>
          </cell>
          <cell r="AJ209">
            <v>38047</v>
          </cell>
          <cell r="AK209">
            <v>37681</v>
          </cell>
          <cell r="AL209" t="str">
            <v>Var %</v>
          </cell>
          <cell r="AM209">
            <v>38047</v>
          </cell>
          <cell r="AN209">
            <v>37681</v>
          </cell>
          <cell r="AO209" t="str">
            <v>Var %</v>
          </cell>
          <cell r="AP209">
            <v>38047</v>
          </cell>
          <cell r="AQ209">
            <v>37681</v>
          </cell>
          <cell r="AR209" t="str">
            <v>Var %</v>
          </cell>
        </row>
        <row r="210">
          <cell r="W210" t="str">
            <v>Mngt &amp; Secretarial</v>
          </cell>
          <cell r="X210">
            <v>6059.4023900000002</v>
          </cell>
          <cell r="Y210">
            <v>7987.6209699999999</v>
          </cell>
          <cell r="Z210">
            <v>24.140086106264</v>
          </cell>
          <cell r="AA210">
            <v>14986.025390000001</v>
          </cell>
          <cell r="AB210">
            <v>10786.409750000001</v>
          </cell>
          <cell r="AC210">
            <v>-38.934323258023831</v>
          </cell>
          <cell r="AD210">
            <v>1674.98903</v>
          </cell>
          <cell r="AE210">
            <v>1529.7927999999999</v>
          </cell>
          <cell r="AF210">
            <v>-9.4912350221546351</v>
          </cell>
          <cell r="AG210">
            <v>286.03219999999999</v>
          </cell>
          <cell r="AH210">
            <v>31.982500000000002</v>
          </cell>
          <cell r="AI210">
            <v>-794.33971703275222</v>
          </cell>
          <cell r="AJ210">
            <v>23006.449010000004</v>
          </cell>
          <cell r="AK210">
            <v>20335.80602</v>
          </cell>
          <cell r="AL210">
            <v>-13.132712749981296</v>
          </cell>
          <cell r="AM210">
            <v>2229.0124999999998</v>
          </cell>
          <cell r="AN210">
            <v>2824.8191999999999</v>
          </cell>
          <cell r="AO210">
            <v>21.0918525334294</v>
          </cell>
          <cell r="AP210">
            <v>0</v>
          </cell>
          <cell r="AQ210">
            <v>0.65054999999999996</v>
          </cell>
          <cell r="AR210">
            <v>100</v>
          </cell>
        </row>
        <row r="211">
          <cell r="W211" t="str">
            <v>Finance</v>
          </cell>
          <cell r="X211">
            <v>8678.2615900000001</v>
          </cell>
          <cell r="Y211">
            <v>6329.8858300000002</v>
          </cell>
          <cell r="Z211">
            <v>-37.099812272601447</v>
          </cell>
          <cell r="AA211">
            <v>2442.7581100000002</v>
          </cell>
          <cell r="AB211">
            <v>1772.54042</v>
          </cell>
          <cell r="AC211">
            <v>-37.811137192572467</v>
          </cell>
          <cell r="AD211">
            <v>242.67131000000001</v>
          </cell>
          <cell r="AE211">
            <v>260.00707</v>
          </cell>
          <cell r="AF211">
            <v>6.6674186974992615</v>
          </cell>
          <cell r="AG211">
            <v>386.1019</v>
          </cell>
          <cell r="AH211">
            <v>82.887919999999994</v>
          </cell>
          <cell r="AI211">
            <v>-365.812026649963</v>
          </cell>
          <cell r="AJ211">
            <v>11749.79291</v>
          </cell>
          <cell r="AK211">
            <v>8445.3212399999993</v>
          </cell>
          <cell r="AL211">
            <v>-39.127838670586804</v>
          </cell>
          <cell r="AM211">
            <v>89.231499999999997</v>
          </cell>
          <cell r="AN211">
            <v>103.512</v>
          </cell>
          <cell r="AO211">
            <v>13.795985006569289</v>
          </cell>
          <cell r="AP211">
            <v>0</v>
          </cell>
          <cell r="AQ211">
            <v>0</v>
          </cell>
          <cell r="AR211">
            <v>0</v>
          </cell>
        </row>
        <row r="212">
          <cell r="W212" t="str">
            <v>Human Resources</v>
          </cell>
          <cell r="X212">
            <v>5486.2964300000003</v>
          </cell>
          <cell r="Y212">
            <v>4153.89714</v>
          </cell>
          <cell r="Z212">
            <v>-32.075885490029258</v>
          </cell>
          <cell r="AA212">
            <v>9058.8382399999991</v>
          </cell>
          <cell r="AB212">
            <v>3669.8687500000001</v>
          </cell>
          <cell r="AC212">
            <v>-146.84365728338375</v>
          </cell>
          <cell r="AD212">
            <v>168.20107999999999</v>
          </cell>
          <cell r="AE212">
            <v>77.889070000000004</v>
          </cell>
          <cell r="AF212">
            <v>-115.94952924717164</v>
          </cell>
          <cell r="AG212">
            <v>311.70954</v>
          </cell>
          <cell r="AH212">
            <v>120.17876</v>
          </cell>
          <cell r="AI212">
            <v>-159.37157281369852</v>
          </cell>
          <cell r="AJ212">
            <v>15025.04529</v>
          </cell>
          <cell r="AK212">
            <v>8021.8337200000005</v>
          </cell>
          <cell r="AL212">
            <v>-87.301879027230683</v>
          </cell>
          <cell r="AM212">
            <v>388.0335</v>
          </cell>
          <cell r="AN212">
            <v>466.49029999999999</v>
          </cell>
          <cell r="AO212">
            <v>16.818527630692426</v>
          </cell>
          <cell r="AP212">
            <v>0</v>
          </cell>
          <cell r="AQ212">
            <v>0</v>
          </cell>
          <cell r="AR212">
            <v>0</v>
          </cell>
        </row>
        <row r="213">
          <cell r="W213" t="str">
            <v>Maintenance</v>
          </cell>
          <cell r="X213">
            <v>560.47986000000003</v>
          </cell>
          <cell r="Y213">
            <v>520.23467000000005</v>
          </cell>
          <cell r="Z213">
            <v>-7.7359684620788487</v>
          </cell>
          <cell r="AA213">
            <v>373.63450999999998</v>
          </cell>
          <cell r="AB213">
            <v>274.67772000000002</v>
          </cell>
          <cell r="AC213">
            <v>-36.026507719665048</v>
          </cell>
          <cell r="AD213">
            <v>452.83602999999999</v>
          </cell>
          <cell r="AE213">
            <v>276.8503</v>
          </cell>
          <cell r="AF213">
            <v>-63.567108289208996</v>
          </cell>
          <cell r="AG213">
            <v>0</v>
          </cell>
          <cell r="AH213">
            <v>0.13635</v>
          </cell>
          <cell r="AI213">
            <v>100</v>
          </cell>
          <cell r="AJ213">
            <v>1386.9503999999999</v>
          </cell>
          <cell r="AK213">
            <v>1071.89904</v>
          </cell>
          <cell r="AL213">
            <v>-29.39188750462916</v>
          </cell>
          <cell r="AM213">
            <v>27.7685</v>
          </cell>
          <cell r="AN213">
            <v>34.588900000000002</v>
          </cell>
          <cell r="AO213">
            <v>19.718464594132808</v>
          </cell>
          <cell r="AP213">
            <v>0</v>
          </cell>
          <cell r="AQ213">
            <v>0</v>
          </cell>
          <cell r="AR213">
            <v>0</v>
          </cell>
        </row>
        <row r="214">
          <cell r="W214" t="str">
            <v>Internal Audit</v>
          </cell>
          <cell r="X214">
            <v>1431.47244</v>
          </cell>
          <cell r="Y214">
            <v>1359.1293800000001</v>
          </cell>
          <cell r="Z214">
            <v>-5.3227500681355231</v>
          </cell>
          <cell r="AA214">
            <v>453.43205999999998</v>
          </cell>
          <cell r="AB214">
            <v>452.48219</v>
          </cell>
          <cell r="AC214">
            <v>-0.20992428453371301</v>
          </cell>
          <cell r="AD214">
            <v>37.380989999999997</v>
          </cell>
          <cell r="AE214">
            <v>38.810169999999999</v>
          </cell>
          <cell r="AF214">
            <v>3.682488378690437</v>
          </cell>
          <cell r="AG214">
            <v>0.70050000000000001</v>
          </cell>
          <cell r="AH214">
            <v>3.2599999999999997E-2</v>
          </cell>
          <cell r="AI214">
            <v>-2048.7730061349698</v>
          </cell>
          <cell r="AJ214">
            <v>1922.9859900000001</v>
          </cell>
          <cell r="AK214">
            <v>1850.45434</v>
          </cell>
          <cell r="AL214">
            <v>-3.9196671018642983</v>
          </cell>
          <cell r="AM214">
            <v>0</v>
          </cell>
          <cell r="AN214">
            <v>0</v>
          </cell>
          <cell r="AO214">
            <v>0</v>
          </cell>
          <cell r="AP214">
            <v>0</v>
          </cell>
          <cell r="AQ214">
            <v>0</v>
          </cell>
          <cell r="AR214">
            <v>0</v>
          </cell>
        </row>
        <row r="215">
          <cell r="W215" t="str">
            <v>Data Processing</v>
          </cell>
          <cell r="X215">
            <v>3562.47399</v>
          </cell>
          <cell r="Y215">
            <v>2308.9010199999998</v>
          </cell>
          <cell r="Z215">
            <v>-54.293058002113938</v>
          </cell>
          <cell r="AA215">
            <v>1861.50549</v>
          </cell>
          <cell r="AB215">
            <v>1219.9957999999999</v>
          </cell>
          <cell r="AC215">
            <v>-52.582942498654518</v>
          </cell>
          <cell r="AD215">
            <v>1878.7854400000001</v>
          </cell>
          <cell r="AE215">
            <v>933.20146</v>
          </cell>
          <cell r="AF215">
            <v>-101.32688605094981</v>
          </cell>
          <cell r="AG215">
            <v>227.9785</v>
          </cell>
          <cell r="AH215">
            <v>240.99299999999999</v>
          </cell>
          <cell r="AI215">
            <v>5.4003643259347776</v>
          </cell>
          <cell r="AJ215">
            <v>7530.7434199999998</v>
          </cell>
          <cell r="AK215">
            <v>4703.0912800000006</v>
          </cell>
          <cell r="AL215">
            <v>-60.123267265184751</v>
          </cell>
          <cell r="AM215">
            <v>1279.6604600000001</v>
          </cell>
          <cell r="AN215">
            <v>1327.8258599999999</v>
          </cell>
          <cell r="AO215">
            <v>3.6273883082831255</v>
          </cell>
          <cell r="AP215">
            <v>0</v>
          </cell>
          <cell r="AQ215">
            <v>0</v>
          </cell>
          <cell r="AR215">
            <v>0</v>
          </cell>
        </row>
        <row r="216">
          <cell r="W216" t="str">
            <v>Cash</v>
          </cell>
          <cell r="X216">
            <v>387.75081999999998</v>
          </cell>
          <cell r="Y216">
            <v>377.87716999999998</v>
          </cell>
          <cell r="Z216">
            <v>-2.6129257822058949</v>
          </cell>
          <cell r="AA216">
            <v>117.34647</v>
          </cell>
          <cell r="AB216">
            <v>88.059389999999993</v>
          </cell>
          <cell r="AC216">
            <v>-33.258327135811413</v>
          </cell>
          <cell r="AD216">
            <v>3.0005000000000002</v>
          </cell>
          <cell r="AE216">
            <v>0.70050000000000001</v>
          </cell>
          <cell r="AF216">
            <v>-328.33690221270524</v>
          </cell>
          <cell r="AG216">
            <v>45.412100000000002</v>
          </cell>
          <cell r="AH216">
            <v>348.63099999999997</v>
          </cell>
          <cell r="AI216">
            <v>86.974164661203389</v>
          </cell>
          <cell r="AJ216">
            <v>553.50988999999993</v>
          </cell>
          <cell r="AK216">
            <v>815.26805999999988</v>
          </cell>
          <cell r="AL216">
            <v>32.10700662061997</v>
          </cell>
          <cell r="AM216">
            <v>2.4845000000000002</v>
          </cell>
          <cell r="AN216">
            <v>3.1103999999999998</v>
          </cell>
          <cell r="AO216">
            <v>20.122813786008219</v>
          </cell>
          <cell r="AP216">
            <v>0</v>
          </cell>
          <cell r="AQ216">
            <v>0</v>
          </cell>
          <cell r="AR216">
            <v>0</v>
          </cell>
        </row>
        <row r="217">
          <cell r="W217" t="str">
            <v>Security</v>
          </cell>
          <cell r="X217">
            <v>1946.99252</v>
          </cell>
          <cell r="Y217">
            <v>1726.3798400000001</v>
          </cell>
          <cell r="Z217">
            <v>-12.77891891972047</v>
          </cell>
          <cell r="AA217">
            <v>73.857240000000004</v>
          </cell>
          <cell r="AB217">
            <v>90.034300000000002</v>
          </cell>
          <cell r="AC217">
            <v>17.96766343493535</v>
          </cell>
          <cell r="AD217">
            <v>11.247909999999999</v>
          </cell>
          <cell r="AE217">
            <v>31.270720000000001</v>
          </cell>
          <cell r="AF217">
            <v>64.030537192619803</v>
          </cell>
          <cell r="AG217">
            <v>0</v>
          </cell>
          <cell r="AH217">
            <v>0</v>
          </cell>
          <cell r="AI217">
            <v>0</v>
          </cell>
          <cell r="AJ217">
            <v>2032.0976700000001</v>
          </cell>
          <cell r="AK217">
            <v>1847.6848600000001</v>
          </cell>
          <cell r="AL217">
            <v>-9.9807501805259164</v>
          </cell>
          <cell r="AM217">
            <v>0</v>
          </cell>
          <cell r="AN217">
            <v>0</v>
          </cell>
          <cell r="AO217">
            <v>0</v>
          </cell>
          <cell r="AP217">
            <v>0</v>
          </cell>
          <cell r="AQ217">
            <v>0</v>
          </cell>
          <cell r="AR217">
            <v>0</v>
          </cell>
        </row>
        <row r="218">
          <cell r="W218" t="str">
            <v>Work Shop</v>
          </cell>
          <cell r="X218">
            <v>0</v>
          </cell>
          <cell r="Y218">
            <v>0</v>
          </cell>
          <cell r="Z218">
            <v>0</v>
          </cell>
          <cell r="AA218">
            <v>0.54049999999999998</v>
          </cell>
          <cell r="AB218">
            <v>0.22550000000000001</v>
          </cell>
          <cell r="AC218">
            <v>-139.68957871396893</v>
          </cell>
          <cell r="AD218">
            <v>0</v>
          </cell>
          <cell r="AE218">
            <v>0</v>
          </cell>
          <cell r="AF218">
            <v>0</v>
          </cell>
          <cell r="AG218">
            <v>0</v>
          </cell>
          <cell r="AH218">
            <v>0</v>
          </cell>
          <cell r="AI218">
            <v>0</v>
          </cell>
          <cell r="AJ218">
            <v>0.54049999999999998</v>
          </cell>
          <cell r="AK218">
            <v>0.22550000000000001</v>
          </cell>
          <cell r="AL218">
            <v>-139.68957871396893</v>
          </cell>
          <cell r="AM218">
            <v>0</v>
          </cell>
          <cell r="AN218">
            <v>0</v>
          </cell>
          <cell r="AO218">
            <v>0</v>
          </cell>
          <cell r="AP218">
            <v>0</v>
          </cell>
          <cell r="AQ218">
            <v>0</v>
          </cell>
          <cell r="AR218">
            <v>0</v>
          </cell>
        </row>
        <row r="219">
          <cell r="W219" t="str">
            <v>Refrigeration Unit</v>
          </cell>
          <cell r="X219">
            <v>2336.60293</v>
          </cell>
          <cell r="Y219">
            <v>1575.1134999999999</v>
          </cell>
          <cell r="Z219">
            <v>-48.345051324872784</v>
          </cell>
          <cell r="AA219">
            <v>748.43463999999994</v>
          </cell>
          <cell r="AB219">
            <v>635.95146999999997</v>
          </cell>
          <cell r="AC219">
            <v>-17.687382655157631</v>
          </cell>
          <cell r="AD219">
            <v>236.66314</v>
          </cell>
          <cell r="AE219">
            <v>185.20377999999999</v>
          </cell>
          <cell r="AF219">
            <v>-27.785264426028455</v>
          </cell>
          <cell r="AG219">
            <v>493.01844</v>
          </cell>
          <cell r="AH219">
            <v>0.14174</v>
          </cell>
          <cell r="AI219">
            <v>0</v>
          </cell>
          <cell r="AJ219">
            <v>3814.7191499999999</v>
          </cell>
          <cell r="AK219">
            <v>2396.4104899999998</v>
          </cell>
          <cell r="AL219">
            <v>-59.184712548975703</v>
          </cell>
          <cell r="AM219">
            <v>8.0764999999999993</v>
          </cell>
          <cell r="AN219">
            <v>7.9753999999999996</v>
          </cell>
          <cell r="AO219">
            <v>-1.2676480176542837</v>
          </cell>
          <cell r="AP219">
            <v>0</v>
          </cell>
          <cell r="AQ219">
            <v>0</v>
          </cell>
          <cell r="AR219">
            <v>0</v>
          </cell>
        </row>
        <row r="220">
          <cell r="W220" t="str">
            <v>General</v>
          </cell>
          <cell r="X220">
            <v>1173.93065</v>
          </cell>
          <cell r="Y220">
            <v>812.71294999999998</v>
          </cell>
          <cell r="Z220">
            <v>-44.445914144717399</v>
          </cell>
          <cell r="AA220">
            <v>6014.7473499999996</v>
          </cell>
          <cell r="AB220">
            <v>6346.3199100000002</v>
          </cell>
          <cell r="AC220">
            <v>5.2246430167747482</v>
          </cell>
          <cell r="AD220">
            <v>19642.060320000001</v>
          </cell>
          <cell r="AE220">
            <v>19964.721259999998</v>
          </cell>
          <cell r="AF220">
            <v>1.6161554964779805</v>
          </cell>
          <cell r="AG220">
            <v>1800.7343000000001</v>
          </cell>
          <cell r="AH220">
            <v>359.41699</v>
          </cell>
          <cell r="AI220">
            <v>-401.01535266877619</v>
          </cell>
          <cell r="AJ220">
            <v>28631.47262</v>
          </cell>
          <cell r="AK220">
            <v>27483.171109999999</v>
          </cell>
          <cell r="AL220">
            <v>-4.1781987435292036</v>
          </cell>
          <cell r="AM220">
            <v>3081.92814</v>
          </cell>
          <cell r="AN220">
            <v>1998.97264</v>
          </cell>
          <cell r="AO220">
            <v>-54.1756039242238</v>
          </cell>
          <cell r="AP220">
            <v>86199.537119999994</v>
          </cell>
          <cell r="AQ220">
            <v>72814.331219999993</v>
          </cell>
          <cell r="AR220">
            <v>-18.382653079045888</v>
          </cell>
        </row>
        <row r="221">
          <cell r="W221" t="str">
            <v>Whouse M'kuliya</v>
          </cell>
          <cell r="X221">
            <v>300</v>
          </cell>
          <cell r="Y221">
            <v>0</v>
          </cell>
          <cell r="Z221">
            <v>0</v>
          </cell>
          <cell r="AA221">
            <v>226</v>
          </cell>
          <cell r="AB221">
            <v>0</v>
          </cell>
          <cell r="AC221">
            <v>0</v>
          </cell>
          <cell r="AD221">
            <v>1001</v>
          </cell>
          <cell r="AE221">
            <v>0</v>
          </cell>
          <cell r="AF221">
            <v>0</v>
          </cell>
          <cell r="AG221">
            <v>15</v>
          </cell>
          <cell r="AH221">
            <v>0</v>
          </cell>
          <cell r="AI221">
            <v>0</v>
          </cell>
          <cell r="AJ221">
            <v>1542</v>
          </cell>
          <cell r="AK221">
            <v>0</v>
          </cell>
          <cell r="AL221">
            <v>0</v>
          </cell>
          <cell r="AM221">
            <v>0</v>
          </cell>
          <cell r="AN221">
            <v>0</v>
          </cell>
          <cell r="AO221">
            <v>0</v>
          </cell>
          <cell r="AP221">
            <v>0</v>
          </cell>
          <cell r="AQ221">
            <v>0</v>
          </cell>
          <cell r="AR221">
            <v>0</v>
          </cell>
        </row>
        <row r="222">
          <cell r="W222" t="str">
            <v>SSUs</v>
          </cell>
          <cell r="X222">
            <v>31923.663619999999</v>
          </cell>
          <cell r="Y222">
            <v>27151.752470000003</v>
          </cell>
          <cell r="Z222">
            <v>-17.574965576430049</v>
          </cell>
          <cell r="AA222">
            <v>36357.120000000003</v>
          </cell>
          <cell r="AB222">
            <v>25336.565199999997</v>
          </cell>
          <cell r="AC222">
            <v>-43.496640973260284</v>
          </cell>
          <cell r="AD222">
            <v>25348.835749999998</v>
          </cell>
          <cell r="AE222">
            <v>23298.447129999997</v>
          </cell>
          <cell r="AF222">
            <v>-8.8005376863071714</v>
          </cell>
          <cell r="AG222">
            <v>3566.6874800000005</v>
          </cell>
          <cell r="AH222">
            <v>1184.40086</v>
          </cell>
          <cell r="AI222">
            <v>-201.1385418953513</v>
          </cell>
          <cell r="AJ222">
            <v>97196.306850000008</v>
          </cell>
          <cell r="AK222">
            <v>76971.165659999999</v>
          </cell>
          <cell r="AL222">
            <v>-26.276256850960632</v>
          </cell>
          <cell r="AM222">
            <v>7106.1956</v>
          </cell>
          <cell r="AN222">
            <v>6767.2946999999995</v>
          </cell>
          <cell r="AO222">
            <v>-5.0079228853444286</v>
          </cell>
          <cell r="AP222">
            <v>86199.537119999994</v>
          </cell>
          <cell r="AQ222">
            <v>72814.981769999999</v>
          </cell>
          <cell r="AR222">
            <v>-18.381595414358085</v>
          </cell>
        </row>
        <row r="223">
          <cell r="W223" t="str">
            <v>Total</v>
          </cell>
          <cell r="X223">
            <v>60917.535620000002</v>
          </cell>
          <cell r="Y223">
            <v>49184.562180000008</v>
          </cell>
          <cell r="Z223">
            <v>-23.854992135664453</v>
          </cell>
          <cell r="AA223">
            <v>46656.56581</v>
          </cell>
          <cell r="AB223">
            <v>32467.604269999996</v>
          </cell>
          <cell r="AC223">
            <v>-43.70190489573811</v>
          </cell>
          <cell r="AD223">
            <v>34459.275739999997</v>
          </cell>
          <cell r="AE223">
            <v>29431.049339999998</v>
          </cell>
          <cell r="AF223">
            <v>-17.084767661226717</v>
          </cell>
          <cell r="AG223">
            <v>5981.0467900000003</v>
          </cell>
          <cell r="AH223">
            <v>6858.18732</v>
          </cell>
          <cell r="AI223">
            <v>12.789684636377061</v>
          </cell>
          <cell r="AJ223">
            <v>148014.42396000001</v>
          </cell>
          <cell r="AK223">
            <v>117941.40311</v>
          </cell>
          <cell r="AL223">
            <v>-25.498272919436033</v>
          </cell>
          <cell r="AM223">
            <v>7531.9580999999998</v>
          </cell>
          <cell r="AN223">
            <v>6987.123599999999</v>
          </cell>
          <cell r="AO223">
            <v>-7.7976937462506166</v>
          </cell>
          <cell r="AP223">
            <v>86244.547500000001</v>
          </cell>
          <cell r="AQ223">
            <v>72814.981769999999</v>
          </cell>
          <cell r="AR223">
            <v>-18.443410138341925</v>
          </cell>
        </row>
        <row r="236">
          <cell r="AS236">
            <v>19</v>
          </cell>
          <cell r="BB236" t="str">
            <v>Schedule 1</v>
          </cell>
        </row>
        <row r="237">
          <cell r="AS237" t="str">
            <v>CARGILLS ( CEYLON ) LTD</v>
          </cell>
        </row>
        <row r="239">
          <cell r="AS239" t="str">
            <v xml:space="preserve"> Summarised Profit &amp; Loss Account -Twelve  months ended 31st March 2004 (compared to previous year)</v>
          </cell>
        </row>
        <row r="240">
          <cell r="AT240" t="str">
            <v>YTD V YTD</v>
          </cell>
          <cell r="BC240">
            <v>38154.357810300928</v>
          </cell>
        </row>
        <row r="241">
          <cell r="AS241" t="str">
            <v>Particulars</v>
          </cell>
          <cell r="AX241">
            <v>38047</v>
          </cell>
          <cell r="AZ241">
            <v>37681</v>
          </cell>
          <cell r="BB241" t="str">
            <v>Var</v>
          </cell>
          <cell r="BD241" t="str">
            <v>Revised Budget 96/97</v>
          </cell>
          <cell r="BF241" t="str">
            <v>Var %</v>
          </cell>
        </row>
        <row r="242">
          <cell r="AX242" t="str">
            <v>Rs 000's</v>
          </cell>
          <cell r="AY242" t="str">
            <v>%</v>
          </cell>
          <cell r="AZ242" t="str">
            <v>Rs 000's</v>
          </cell>
          <cell r="BA242" t="str">
            <v>%</v>
          </cell>
          <cell r="BB242" t="str">
            <v>Rs 000's</v>
          </cell>
          <cell r="BC242" t="str">
            <v>%</v>
          </cell>
          <cell r="BD242" t="str">
            <v>Rs 000's</v>
          </cell>
          <cell r="BE242" t="str">
            <v>%</v>
          </cell>
          <cell r="BF242" t="str">
            <v>Rs 000's</v>
          </cell>
          <cell r="BG242" t="str">
            <v>%</v>
          </cell>
        </row>
        <row r="243">
          <cell r="AT243" t="str">
            <v>Gross Turnover</v>
          </cell>
          <cell r="AX243">
            <v>6878834.5502000004</v>
          </cell>
          <cell r="AY243">
            <v>100</v>
          </cell>
          <cell r="AZ243">
            <v>4331307.6108100032</v>
          </cell>
          <cell r="BA243">
            <v>100</v>
          </cell>
          <cell r="BB243">
            <v>2547526.9393899972</v>
          </cell>
          <cell r="BC243">
            <v>58.816578463093293</v>
          </cell>
          <cell r="BD243">
            <v>1283979</v>
          </cell>
          <cell r="BE243">
            <v>100</v>
          </cell>
          <cell r="BF243">
            <v>-5594855.5502000004</v>
          </cell>
          <cell r="BG243">
            <v>-435.74354021366395</v>
          </cell>
        </row>
        <row r="244">
          <cell r="AT244" t="str">
            <v>Turnover Tax</v>
          </cell>
          <cell r="AX244">
            <v>95065.85</v>
          </cell>
          <cell r="AY244">
            <v>1.3820051827999846</v>
          </cell>
          <cell r="AZ244">
            <v>65024.303</v>
          </cell>
          <cell r="BA244">
            <v>1.5012626403563085</v>
          </cell>
          <cell r="BB244">
            <v>-30041.547000000006</v>
          </cell>
          <cell r="BC244">
            <v>-46.200490607334935</v>
          </cell>
        </row>
        <row r="245">
          <cell r="AT245" t="str">
            <v>TURNOVER AFTER TURNOVER TAX</v>
          </cell>
          <cell r="AW245" t="str">
            <v>A</v>
          </cell>
          <cell r="AX245">
            <v>6783768.7002000008</v>
          </cell>
          <cell r="AY245">
            <v>98.617994817200014</v>
          </cell>
          <cell r="AZ245">
            <v>4266283.3078100029</v>
          </cell>
          <cell r="BA245">
            <v>98.498737359643684</v>
          </cell>
          <cell r="BB245">
            <v>2517485.3923899978</v>
          </cell>
          <cell r="BC245">
            <v>59.008865814921471</v>
          </cell>
        </row>
        <row r="246">
          <cell r="AT246" t="str">
            <v>COST OF SALES</v>
          </cell>
          <cell r="AW246" t="str">
            <v>B</v>
          </cell>
          <cell r="AX246">
            <v>5755373.0696400004</v>
          </cell>
          <cell r="AY246">
            <v>83.667851401843421</v>
          </cell>
          <cell r="AZ246">
            <v>3576085.4375100033</v>
          </cell>
          <cell r="BA246">
            <v>82.563644950658102</v>
          </cell>
          <cell r="BB246">
            <v>-2179287.632129997</v>
          </cell>
          <cell r="BC246">
            <v>-60.940591890539828</v>
          </cell>
        </row>
        <row r="247">
          <cell r="AT247" t="str">
            <v>POTENTIAL GROSS PROFIT</v>
          </cell>
          <cell r="AV247" t="str">
            <v>(A-B)</v>
          </cell>
          <cell r="AW247" t="str">
            <v>C</v>
          </cell>
          <cell r="AX247">
            <v>1028395.6305600002</v>
          </cell>
          <cell r="AY247">
            <v>14.950143415356601</v>
          </cell>
          <cell r="AZ247">
            <v>690197.87029999937</v>
          </cell>
          <cell r="BA247">
            <v>15.935092408985577</v>
          </cell>
          <cell r="BB247">
            <v>338197.76026000082</v>
          </cell>
          <cell r="BC247">
            <v>49.000116461240424</v>
          </cell>
        </row>
        <row r="248">
          <cell r="AT248" t="str">
            <v>STOCK ADJUSTMENTS</v>
          </cell>
          <cell r="AW248" t="str">
            <v>D</v>
          </cell>
          <cell r="AX248">
            <v>-41355</v>
          </cell>
          <cell r="AY248">
            <v>-0.60119195625656696</v>
          </cell>
          <cell r="AZ248">
            <v>-22885.907999999999</v>
          </cell>
          <cell r="BA248">
            <v>-0.52838334416335941</v>
          </cell>
          <cell r="BB248">
            <v>-18469.092000000001</v>
          </cell>
          <cell r="BC248">
            <v>-80.700717664337375</v>
          </cell>
        </row>
        <row r="249">
          <cell r="AT249" t="str">
            <v>ACHIEVED GROSS PROFIT</v>
          </cell>
          <cell r="AV249" t="str">
            <v>(C-D)</v>
          </cell>
          <cell r="AW249" t="str">
            <v>E</v>
          </cell>
          <cell r="AX249">
            <v>987040.63056000019</v>
          </cell>
          <cell r="AY249">
            <v>14.348951459100034</v>
          </cell>
          <cell r="AZ249">
            <v>667311.96229999932</v>
          </cell>
          <cell r="BA249">
            <v>15.406709064822216</v>
          </cell>
          <cell r="BB249">
            <v>319728.66826000088</v>
          </cell>
          <cell r="BC249">
            <v>47.912923238780856</v>
          </cell>
          <cell r="BD249">
            <v>160271</v>
          </cell>
          <cell r="BE249">
            <v>12.482369259933378</v>
          </cell>
          <cell r="BF249">
            <v>-826769.63056000019</v>
          </cell>
          <cell r="BG249">
            <v>-515.85728582213881</v>
          </cell>
        </row>
        <row r="250">
          <cell r="AT250" t="str">
            <v>Other Direct Income</v>
          </cell>
          <cell r="AX250">
            <v>94641.448400000008</v>
          </cell>
          <cell r="AY250">
            <v>1.3758355097703046</v>
          </cell>
          <cell r="AZ250">
            <v>62429.068480000038</v>
          </cell>
          <cell r="BA250">
            <v>1.441344602821343</v>
          </cell>
          <cell r="BB250">
            <v>32212.37991999997</v>
          </cell>
          <cell r="BC250">
            <v>51.598367081705895</v>
          </cell>
        </row>
        <row r="251">
          <cell r="AT251" t="str">
            <v>GROSS INCOME</v>
          </cell>
          <cell r="AW251" t="str">
            <v>F</v>
          </cell>
          <cell r="AX251">
            <v>1081682.0789600003</v>
          </cell>
          <cell r="AY251">
            <v>15.724786968870339</v>
          </cell>
          <cell r="AZ251">
            <v>729741.03077999933</v>
          </cell>
          <cell r="BA251">
            <v>16.848053667643558</v>
          </cell>
          <cell r="BB251">
            <v>351941.04818000097</v>
          </cell>
          <cell r="BC251">
            <v>48.228211562096384</v>
          </cell>
        </row>
        <row r="252">
          <cell r="AT252" t="str">
            <v>Staff Related Expenses</v>
          </cell>
          <cell r="AX252">
            <v>222290.89711999998</v>
          </cell>
          <cell r="AY252">
            <v>3.2315197508789759</v>
          </cell>
          <cell r="AZ252">
            <v>144701.35440999994</v>
          </cell>
          <cell r="BA252">
            <v>3.3408237745307394</v>
          </cell>
          <cell r="BB252">
            <v>-77589.542710000038</v>
          </cell>
          <cell r="BC252">
            <v>-53.620467497599336</v>
          </cell>
          <cell r="BD252">
            <v>41418</v>
          </cell>
          <cell r="BE252">
            <v>3.2257536922332837</v>
          </cell>
          <cell r="BF252">
            <v>-180872.89711999998</v>
          </cell>
          <cell r="BG252">
            <v>-436.70118576464336</v>
          </cell>
        </row>
        <row r="253">
          <cell r="AT253" t="str">
            <v>Administration Expenses</v>
          </cell>
          <cell r="AX253">
            <v>34801.972200000004</v>
          </cell>
          <cell r="AY253">
            <v>0.50592832181126002</v>
          </cell>
          <cell r="AZ253">
            <v>25123.594389999998</v>
          </cell>
          <cell r="BA253">
            <v>0.58004641201878526</v>
          </cell>
          <cell r="BB253">
            <v>-9678.3778100000054</v>
          </cell>
          <cell r="BC253">
            <v>-38.523061866706108</v>
          </cell>
          <cell r="BD253">
            <v>11043</v>
          </cell>
          <cell r="BE253">
            <v>0.86006079538684044</v>
          </cell>
          <cell r="BF253">
            <v>-23758.972200000004</v>
          </cell>
          <cell r="BG253">
            <v>-215.14961695191528</v>
          </cell>
        </row>
        <row r="254">
          <cell r="AT254" t="str">
            <v>Establishment Expenses</v>
          </cell>
          <cell r="AX254">
            <v>272226.28811000008</v>
          </cell>
          <cell r="AY254">
            <v>3.9574478223507379</v>
          </cell>
          <cell r="AZ254">
            <v>185149.46432</v>
          </cell>
          <cell r="BA254">
            <v>4.2746782486172803</v>
          </cell>
          <cell r="BB254">
            <v>-87076.823790000082</v>
          </cell>
          <cell r="BC254">
            <v>-47.030556696346849</v>
          </cell>
          <cell r="BD254">
            <v>40737</v>
          </cell>
          <cell r="BE254">
            <v>3.1727154416076897</v>
          </cell>
          <cell r="BF254">
            <v>-231489.28811000008</v>
          </cell>
          <cell r="BG254">
            <v>-568.25315587794898</v>
          </cell>
        </row>
        <row r="255">
          <cell r="AT255" t="str">
            <v>Selling &amp; Distribution Expenses</v>
          </cell>
          <cell r="AX255">
            <v>158441.37089999995</v>
          </cell>
          <cell r="AY255">
            <v>2.3033170770969233</v>
          </cell>
          <cell r="AZ255">
            <v>90332.641390000019</v>
          </cell>
          <cell r="BA255">
            <v>2.0855743693786462</v>
          </cell>
          <cell r="BB255">
            <v>-68108.729509999932</v>
          </cell>
          <cell r="BC255">
            <v>-75.397695076742977</v>
          </cell>
          <cell r="BD255">
            <v>24499</v>
          </cell>
          <cell r="BE255">
            <v>1.9080530133280995</v>
          </cell>
          <cell r="BF255">
            <v>-133942.37089999995</v>
          </cell>
          <cell r="BG255">
            <v>-546.72587003551143</v>
          </cell>
        </row>
        <row r="256">
          <cell r="AT256" t="str">
            <v>DIRECT EXPENSES</v>
          </cell>
          <cell r="AW256" t="str">
            <v>G</v>
          </cell>
          <cell r="AX256">
            <v>687760.52833000012</v>
          </cell>
          <cell r="AY256">
            <v>9.9982129721378978</v>
          </cell>
          <cell r="AZ256">
            <v>445307.05450999993</v>
          </cell>
          <cell r="BA256">
            <v>10.281122804545449</v>
          </cell>
          <cell r="BB256">
            <v>-242453.47382000019</v>
          </cell>
          <cell r="BC256">
            <v>-54.446358162187067</v>
          </cell>
          <cell r="BD256">
            <v>117697</v>
          </cell>
          <cell r="BE256">
            <v>9.1665829425559142</v>
          </cell>
          <cell r="BF256">
            <v>-570063.52833</v>
          </cell>
          <cell r="BG256">
            <v>-484.34839318759185</v>
          </cell>
        </row>
        <row r="257">
          <cell r="AT257" t="str">
            <v>DIVISIONAL CONTRIBUTION BEF DIR D/A &amp;FIN</v>
          </cell>
          <cell r="AV257" t="str">
            <v>(F-G)</v>
          </cell>
          <cell r="AW257" t="str">
            <v>H</v>
          </cell>
          <cell r="AX257">
            <v>393921.55063000019</v>
          </cell>
          <cell r="AY257">
            <v>5.7265739967324407</v>
          </cell>
          <cell r="AZ257">
            <v>284433.9762699994</v>
          </cell>
          <cell r="BA257">
            <v>6.5669308630981087</v>
          </cell>
          <cell r="BB257">
            <v>109487.57436000078</v>
          </cell>
          <cell r="BC257">
            <v>38.493141992315834</v>
          </cell>
          <cell r="BD257" t="e">
            <v>#REF!</v>
          </cell>
          <cell r="BE257" t="e">
            <v>#REF!</v>
          </cell>
          <cell r="BF257" t="e">
            <v>#REF!</v>
          </cell>
          <cell r="BG257" t="e">
            <v>#REF!</v>
          </cell>
        </row>
        <row r="258">
          <cell r="AT258" t="str">
            <v>Depreciation - Direct</v>
          </cell>
          <cell r="AX258">
            <v>41231.421900000001</v>
          </cell>
          <cell r="AY258">
            <v>0.59939545862171095</v>
          </cell>
          <cell r="AZ258">
            <v>25427.597400000002</v>
          </cell>
          <cell r="BA258">
            <v>0.58706514717491409</v>
          </cell>
          <cell r="BB258">
            <v>-15803.824499999999</v>
          </cell>
          <cell r="BC258">
            <v>-62.152252339814055</v>
          </cell>
          <cell r="BD258">
            <v>0</v>
          </cell>
          <cell r="BE258">
            <v>0</v>
          </cell>
          <cell r="BF258">
            <v>-41231.421900000001</v>
          </cell>
          <cell r="BG258" t="e">
            <v>#DIV/0!</v>
          </cell>
        </row>
        <row r="259">
          <cell r="AT259" t="str">
            <v>Ammortisation - Direct</v>
          </cell>
          <cell r="AX259">
            <v>49418.212</v>
          </cell>
          <cell r="AY259">
            <v>0.71840966139479512</v>
          </cell>
          <cell r="AZ259">
            <v>27429.672999999999</v>
          </cell>
          <cell r="BA259">
            <v>0.6332885000257541</v>
          </cell>
          <cell r="BB259">
            <v>-21988.539000000001</v>
          </cell>
          <cell r="BC259">
            <v>-80.163328961304074</v>
          </cell>
        </row>
        <row r="260">
          <cell r="AT260" t="str">
            <v>Finance Costs - Direct</v>
          </cell>
          <cell r="AX260">
            <v>-1399.8165000000008</v>
          </cell>
          <cell r="AY260">
            <v>-2.0349617217633204E-2</v>
          </cell>
          <cell r="AZ260">
            <v>-745.95277000000351</v>
          </cell>
          <cell r="BA260">
            <v>-1.7222345698519943E-2</v>
          </cell>
          <cell r="BB260">
            <v>653.8637299999973</v>
          </cell>
          <cell r="BC260">
            <v>-87.654843080748151</v>
          </cell>
          <cell r="BD260">
            <v>0</v>
          </cell>
          <cell r="BE260">
            <v>0</v>
          </cell>
          <cell r="BF260">
            <v>1399.8165000000008</v>
          </cell>
          <cell r="BG260" t="e">
            <v>#DIV/0!</v>
          </cell>
        </row>
        <row r="261">
          <cell r="AT261" t="str">
            <v>DIRECT D/A &amp; FIN COSTS</v>
          </cell>
          <cell r="AW261" t="str">
            <v>I</v>
          </cell>
          <cell r="AX261">
            <v>89249.8174</v>
          </cell>
          <cell r="AY261">
            <v>1.297455502798873</v>
          </cell>
          <cell r="AZ261">
            <v>52111.317629999998</v>
          </cell>
          <cell r="BA261">
            <v>1.2031313015021483</v>
          </cell>
          <cell r="BB261">
            <v>-37138.499770000002</v>
          </cell>
          <cell r="BC261">
            <v>-71.267627569293538</v>
          </cell>
          <cell r="BD261">
            <v>0</v>
          </cell>
          <cell r="BE261">
            <v>0</v>
          </cell>
          <cell r="BF261">
            <v>-89249.8174</v>
          </cell>
          <cell r="BG261" t="e">
            <v>#DIV/0!</v>
          </cell>
        </row>
        <row r="262">
          <cell r="AT262" t="str">
            <v>DIVISIONAL CONTRIBUTION AFTER DIR D/A &amp; FIN</v>
          </cell>
          <cell r="AV262" t="str">
            <v>(H-I)</v>
          </cell>
          <cell r="AW262" t="str">
            <v>J</v>
          </cell>
          <cell r="AX262">
            <v>304671.73323000019</v>
          </cell>
          <cell r="AY262">
            <v>4.4291184939335677</v>
          </cell>
          <cell r="AZ262">
            <v>232322.6586399994</v>
          </cell>
          <cell r="BA262">
            <v>5.3637995615959602</v>
          </cell>
          <cell r="BB262">
            <v>72349.07459000079</v>
          </cell>
          <cell r="BC262">
            <v>31.141635092128862</v>
          </cell>
          <cell r="BD262">
            <v>0</v>
          </cell>
          <cell r="BE262">
            <v>0</v>
          </cell>
          <cell r="BF262">
            <v>-304671.73323000019</v>
          </cell>
          <cell r="BG262" t="e">
            <v>#DIV/0!</v>
          </cell>
        </row>
        <row r="263">
          <cell r="AT263" t="str">
            <v>Indirect Expenses - Service</v>
          </cell>
          <cell r="AX263">
            <v>50818.117110000007</v>
          </cell>
          <cell r="AY263">
            <v>0.73876056676668411</v>
          </cell>
          <cell r="AZ263">
            <v>40970.237450000001</v>
          </cell>
          <cell r="BA263">
            <v>0.9459092064425807</v>
          </cell>
          <cell r="BB263">
            <v>-9847.879660000006</v>
          </cell>
          <cell r="BC263">
            <v>-24.036667280775074</v>
          </cell>
          <cell r="BD263">
            <v>37559</v>
          </cell>
          <cell r="BE263">
            <v>2.9252036053549162</v>
          </cell>
          <cell r="BF263">
            <v>-13259.117110000007</v>
          </cell>
          <cell r="BG263">
            <v>-35.302103650256946</v>
          </cell>
        </row>
        <row r="264">
          <cell r="AT264" t="str">
            <v>Indirect Expenses - Others</v>
          </cell>
          <cell r="AX264">
            <v>97196.306850000008</v>
          </cell>
          <cell r="AY264">
            <v>1.4129763718066755</v>
          </cell>
          <cell r="AZ264">
            <v>76971.165659999999</v>
          </cell>
          <cell r="BA264">
            <v>1.7770884124668653</v>
          </cell>
          <cell r="BB264">
            <v>-20225.141190000009</v>
          </cell>
          <cell r="BC264">
            <v>-26.276256850960632</v>
          </cell>
          <cell r="BD264" t="e">
            <v>#REF!</v>
          </cell>
          <cell r="BE264" t="e">
            <v>#REF!</v>
          </cell>
          <cell r="BF264" t="e">
            <v>#REF!</v>
          </cell>
          <cell r="BG264" t="e">
            <v>#REF!</v>
          </cell>
        </row>
        <row r="265">
          <cell r="AT265" t="str">
            <v>INDIRECT EXPENSES</v>
          </cell>
          <cell r="AW265" t="str">
            <v>K</v>
          </cell>
          <cell r="AX265">
            <v>148014.42396000001</v>
          </cell>
          <cell r="AY265">
            <v>2.1517369385733596</v>
          </cell>
          <cell r="AZ265">
            <v>117941.40311</v>
          </cell>
          <cell r="BA265">
            <v>2.7229976189094462</v>
          </cell>
          <cell r="BB265">
            <v>-30073.020850000015</v>
          </cell>
          <cell r="BC265">
            <v>-25.498272919436033</v>
          </cell>
          <cell r="BD265">
            <v>8551</v>
          </cell>
          <cell r="BE265">
            <v>0.66597662422827786</v>
          </cell>
          <cell r="BF265">
            <v>-139463.42396000001</v>
          </cell>
          <cell r="BG265">
            <v>-1630.9604018243483</v>
          </cell>
        </row>
        <row r="266">
          <cell r="AT266" t="str">
            <v>Depreciation - Indirect</v>
          </cell>
          <cell r="AX266">
            <v>5725.9040999999997</v>
          </cell>
          <cell r="AY266">
            <v>8.3239450785068239E-2</v>
          </cell>
          <cell r="AZ266">
            <v>5711.123599999999</v>
          </cell>
          <cell r="BA266">
            <v>0.13185679968207001</v>
          </cell>
          <cell r="BB266">
            <v>-14.780500000000757</v>
          </cell>
          <cell r="BC266">
            <v>-0.25880196324241272</v>
          </cell>
          <cell r="BD266">
            <v>2389</v>
          </cell>
          <cell r="BE266">
            <v>0.18606223310505857</v>
          </cell>
          <cell r="BF266">
            <v>-3336.9040999999997</v>
          </cell>
          <cell r="BG266">
            <v>-139.67786102971954</v>
          </cell>
        </row>
        <row r="267">
          <cell r="AT267" t="str">
            <v>Ammortisation - Indirect</v>
          </cell>
          <cell r="AX267">
            <v>1806.0540000000001</v>
          </cell>
          <cell r="AY267">
            <v>2.6255232435376565E-2</v>
          </cell>
          <cell r="AZ267">
            <v>1276</v>
          </cell>
          <cell r="BA267">
            <v>2.9459925608039964E-2</v>
          </cell>
          <cell r="BB267">
            <v>-530.05400000000009</v>
          </cell>
          <cell r="BC267">
            <v>-41.540282131661449</v>
          </cell>
        </row>
        <row r="268">
          <cell r="AT268" t="str">
            <v>Finance Costs - Indirect</v>
          </cell>
          <cell r="AX268">
            <v>86244.547500000001</v>
          </cell>
          <cell r="AY268">
            <v>1.2537668535361481</v>
          </cell>
          <cell r="AZ268">
            <v>72814.981769999999</v>
          </cell>
          <cell r="BA268">
            <v>1.6811316191966976</v>
          </cell>
          <cell r="BB268">
            <v>13429.565730000002</v>
          </cell>
          <cell r="BC268">
            <v>18.443410138341925</v>
          </cell>
          <cell r="BD268">
            <v>10940</v>
          </cell>
          <cell r="BE268">
            <v>0.8520388573333364</v>
          </cell>
          <cell r="BF268">
            <v>-75304.547500000001</v>
          </cell>
          <cell r="BG268">
            <v>-688.34138482632545</v>
          </cell>
        </row>
        <row r="269">
          <cell r="AT269" t="str">
            <v>INDIRECT D/A &amp; FIN</v>
          </cell>
          <cell r="AW269" t="str">
            <v>L</v>
          </cell>
          <cell r="AX269">
            <v>93776.505600000004</v>
          </cell>
          <cell r="AY269">
            <v>1.363261536756593</v>
          </cell>
          <cell r="AZ269">
            <v>79802.105370000005</v>
          </cell>
          <cell r="BA269">
            <v>1.8424483444868076</v>
          </cell>
          <cell r="BB269">
            <v>13974.400229999999</v>
          </cell>
          <cell r="BC269">
            <v>17.511317734298014</v>
          </cell>
          <cell r="BD269">
            <v>698</v>
          </cell>
          <cell r="BE269">
            <v>5.4362259818891118E-2</v>
          </cell>
          <cell r="BF269">
            <v>-93078.505600000004</v>
          </cell>
          <cell r="BG269">
            <v>-13335.029455587395</v>
          </cell>
        </row>
        <row r="270">
          <cell r="AT270" t="str">
            <v>TRADING PROFIT</v>
          </cell>
          <cell r="AV270" t="str">
            <v>(J-K-L)</v>
          </cell>
          <cell r="AW270" t="str">
            <v>M</v>
          </cell>
          <cell r="AX270">
            <v>62880.803670000168</v>
          </cell>
          <cell r="AY270">
            <v>0.91412001860361547</v>
          </cell>
          <cell r="AZ270">
            <v>34579.150159999394</v>
          </cell>
          <cell r="BA270">
            <v>0.7983535981997063</v>
          </cell>
          <cell r="BB270">
            <v>28301.653510000775</v>
          </cell>
          <cell r="BC270">
            <v>81.846006564787345</v>
          </cell>
          <cell r="BD270">
            <v>42273</v>
          </cell>
          <cell r="BE270">
            <v>3.29234356636674</v>
          </cell>
          <cell r="BF270">
            <v>-20607.803670000168</v>
          </cell>
          <cell r="BG270">
            <v>-48.749328578525699</v>
          </cell>
        </row>
        <row r="271">
          <cell r="AT271" t="str">
            <v>Rental Income</v>
          </cell>
          <cell r="AX271">
            <v>15627</v>
          </cell>
          <cell r="AY271">
            <v>0.22717511063768278</v>
          </cell>
          <cell r="AZ271">
            <v>15133.242</v>
          </cell>
          <cell r="BA271">
            <v>0.34939199336086668</v>
          </cell>
          <cell r="BB271">
            <v>493.75799999999981</v>
          </cell>
          <cell r="BC271">
            <v>3.2627377530868786</v>
          </cell>
          <cell r="BD271">
            <v>0</v>
          </cell>
          <cell r="BF271">
            <v>-15627</v>
          </cell>
          <cell r="BG271" t="e">
            <v>#DIV/0!</v>
          </cell>
        </row>
        <row r="272">
          <cell r="AT272" t="str">
            <v>Other Income</v>
          </cell>
          <cell r="AX272">
            <v>40210.144999999997</v>
          </cell>
          <cell r="AY272">
            <v>0.5845488026577248</v>
          </cell>
          <cell r="AZ272">
            <v>13254.452000000001</v>
          </cell>
          <cell r="BA272">
            <v>0.30601502342894715</v>
          </cell>
          <cell r="BB272">
            <v>26955.692999999996</v>
          </cell>
          <cell r="BC272">
            <v>203.3708598439226</v>
          </cell>
          <cell r="BD272">
            <v>42910</v>
          </cell>
          <cell r="BF272">
            <v>2699.8550000000032</v>
          </cell>
          <cell r="BG272">
            <v>6.2919016546259687</v>
          </cell>
        </row>
        <row r="273">
          <cell r="AT273" t="str">
            <v>Dividend Income</v>
          </cell>
          <cell r="AX273">
            <v>1179.327</v>
          </cell>
          <cell r="AY273">
            <v>1.7144285000512353E-2</v>
          </cell>
          <cell r="AZ273">
            <v>2358.6550000000002</v>
          </cell>
          <cell r="BA273">
            <v>5.445595676726607E-2</v>
          </cell>
          <cell r="BB273">
            <v>-1179.3280000000002</v>
          </cell>
          <cell r="BC273">
            <v>-50.000021198522049</v>
          </cell>
          <cell r="BD273">
            <v>42910</v>
          </cell>
          <cell r="BF273">
            <v>41730.673000000003</v>
          </cell>
          <cell r="BG273">
            <v>97.251626660452118</v>
          </cell>
        </row>
        <row r="274">
          <cell r="AT274" t="str">
            <v>Profit on Sale of Fixed Assets</v>
          </cell>
          <cell r="AX274">
            <v>781.43799999999999</v>
          </cell>
          <cell r="AY274">
            <v>1.1360034818358582E-2</v>
          </cell>
          <cell r="AZ274">
            <v>0</v>
          </cell>
          <cell r="BA274">
            <v>0</v>
          </cell>
          <cell r="BB274">
            <v>781.43799999999999</v>
          </cell>
          <cell r="BC274">
            <v>0</v>
          </cell>
          <cell r="BD274">
            <v>0</v>
          </cell>
          <cell r="BF274">
            <v>-781.43799999999999</v>
          </cell>
          <cell r="BG274" t="e">
            <v>#DIV/0!</v>
          </cell>
        </row>
        <row r="275">
          <cell r="AT275" t="str">
            <v>Exceptional Items</v>
          </cell>
          <cell r="AX275">
            <v>0</v>
          </cell>
          <cell r="AY275">
            <v>0</v>
          </cell>
          <cell r="AZ275">
            <v>0</v>
          </cell>
          <cell r="BA275">
            <v>0</v>
          </cell>
          <cell r="BB275">
            <v>0</v>
          </cell>
          <cell r="BC275">
            <v>0</v>
          </cell>
          <cell r="BD275">
            <v>42910</v>
          </cell>
          <cell r="BF275">
            <v>42910</v>
          </cell>
          <cell r="BG275">
            <v>100</v>
          </cell>
        </row>
        <row r="276">
          <cell r="AT276" t="str">
            <v>Profit Before Taxation</v>
          </cell>
          <cell r="AX276">
            <v>120678.71367000016</v>
          </cell>
          <cell r="AY276">
            <v>1.7543482517178939</v>
          </cell>
          <cell r="AZ276">
            <v>65325.499159999395</v>
          </cell>
          <cell r="BA276">
            <v>1.5082165717567861</v>
          </cell>
          <cell r="BB276">
            <v>55353.214510000762</v>
          </cell>
          <cell r="BC276">
            <v>84.734468502760492</v>
          </cell>
          <cell r="BD276">
            <v>128730</v>
          </cell>
          <cell r="BF276">
            <v>8051.2863299998426</v>
          </cell>
          <cell r="BG276">
            <v>6.2543978326729146</v>
          </cell>
        </row>
        <row r="279">
          <cell r="BJ279">
            <v>27</v>
          </cell>
          <cell r="BX279">
            <v>0</v>
          </cell>
          <cell r="CB279" t="str">
            <v>Appendix V</v>
          </cell>
        </row>
        <row r="280">
          <cell r="BJ280" t="str">
            <v>CARGILLS ( CEYLON ) LTD</v>
          </cell>
        </row>
        <row r="282">
          <cell r="BJ282" t="str">
            <v xml:space="preserve"> Contribution % by Profit Centres within Divisions -Twelve  months ended 31st March 2004  </v>
          </cell>
        </row>
        <row r="283">
          <cell r="BK283" t="str">
            <v>YTD V YTD</v>
          </cell>
          <cell r="CC283">
            <v>38154.357810300928</v>
          </cell>
        </row>
        <row r="284">
          <cell r="BJ284" t="str">
            <v>Profit Centre</v>
          </cell>
          <cell r="BL284" t="str">
            <v>Gross Turnover</v>
          </cell>
          <cell r="BO284" t="str">
            <v>Achieved Gross Profit</v>
          </cell>
          <cell r="BR284" t="str">
            <v>Other Income</v>
          </cell>
          <cell r="BU284" t="str">
            <v>Direct Expenses</v>
          </cell>
          <cell r="BX284" t="str">
            <v>D&amp;A and Finance</v>
          </cell>
          <cell r="CA284" t="str">
            <v>Contribution</v>
          </cell>
        </row>
        <row r="285">
          <cell r="BL285">
            <v>38047</v>
          </cell>
          <cell r="BM285">
            <v>37681</v>
          </cell>
          <cell r="BN285" t="str">
            <v>Var %</v>
          </cell>
          <cell r="BO285">
            <v>38047</v>
          </cell>
          <cell r="BP285">
            <v>37681</v>
          </cell>
          <cell r="BQ285" t="str">
            <v>Var %</v>
          </cell>
          <cell r="BR285">
            <v>38047</v>
          </cell>
          <cell r="BS285">
            <v>37681</v>
          </cell>
          <cell r="BT285" t="str">
            <v>Var %</v>
          </cell>
          <cell r="BU285">
            <v>38047</v>
          </cell>
          <cell r="BV285">
            <v>37681</v>
          </cell>
          <cell r="BW285" t="str">
            <v>Var %</v>
          </cell>
          <cell r="BX285">
            <v>38047</v>
          </cell>
          <cell r="BY285">
            <v>37681</v>
          </cell>
          <cell r="BZ285" t="str">
            <v>Var %</v>
          </cell>
          <cell r="CA285">
            <v>38047</v>
          </cell>
          <cell r="CB285">
            <v>37681</v>
          </cell>
          <cell r="CC285" t="str">
            <v>Var %</v>
          </cell>
        </row>
        <row r="286">
          <cell r="BK286" t="str">
            <v>Staples Street</v>
          </cell>
          <cell r="BL286">
            <v>9.4750932220398756</v>
          </cell>
          <cell r="BM286">
            <v>14.150825174351422</v>
          </cell>
          <cell r="BN286">
            <v>-33.042115174925478</v>
          </cell>
          <cell r="BO286">
            <v>10.27671410355283</v>
          </cell>
          <cell r="BP286">
            <v>15.220765108853692</v>
          </cell>
          <cell r="BQ286">
            <v>-32.482276481784616</v>
          </cell>
          <cell r="BR286">
            <v>9.1980929782526317</v>
          </cell>
          <cell r="BS286">
            <v>10.063418844704632</v>
          </cell>
          <cell r="BT286">
            <v>-8.598726534246703</v>
          </cell>
          <cell r="BU286">
            <v>8.1625748950840666</v>
          </cell>
          <cell r="BV286">
            <v>11.724066127862157</v>
          </cell>
          <cell r="BW286">
            <v>30.377611265039118</v>
          </cell>
          <cell r="BX286">
            <v>6.3983707235521479</v>
          </cell>
          <cell r="BY286">
            <v>11.27632701314406</v>
          </cell>
          <cell r="BZ286">
            <v>43.258379114990234</v>
          </cell>
          <cell r="CA286">
            <v>16.075775376241939</v>
          </cell>
          <cell r="CB286">
            <v>21.772462131726027</v>
          </cell>
          <cell r="CC286">
            <v>-26.164641927120801</v>
          </cell>
        </row>
        <row r="287">
          <cell r="BK287" t="str">
            <v>Kandy</v>
          </cell>
          <cell r="BL287">
            <v>7.1953247434556387</v>
          </cell>
          <cell r="BM287">
            <v>9.4375523842915285</v>
          </cell>
          <cell r="BN287">
            <v>-23.758571603459373</v>
          </cell>
          <cell r="BO287">
            <v>6.6217494147806377</v>
          </cell>
          <cell r="BP287">
            <v>8.3103476104537926</v>
          </cell>
          <cell r="BQ287">
            <v>-20.319224595960648</v>
          </cell>
          <cell r="BR287">
            <v>6.2798236288678106</v>
          </cell>
          <cell r="BS287">
            <v>7.2636707452291658</v>
          </cell>
          <cell r="BT287">
            <v>-13.544764773479764</v>
          </cell>
          <cell r="BU287">
            <v>4.2291001244964699</v>
          </cell>
          <cell r="BV287">
            <v>5.8882246575583457</v>
          </cell>
          <cell r="BW287">
            <v>28.17699102109091</v>
          </cell>
          <cell r="BX287">
            <v>5.3028195936027016</v>
          </cell>
          <cell r="BY287">
            <v>7.3514612141839493</v>
          </cell>
          <cell r="BZ287">
            <v>27.86713499390553</v>
          </cell>
          <cell r="CA287">
            <v>12.477004938950611</v>
          </cell>
          <cell r="CB287">
            <v>13.105272538973864</v>
          </cell>
          <cell r="CC287">
            <v>-4.7940063677031057</v>
          </cell>
        </row>
        <row r="288">
          <cell r="BK288" t="str">
            <v>Mount Lavinia</v>
          </cell>
          <cell r="BL288">
            <v>4.6050531878975312</v>
          </cell>
          <cell r="BM288">
            <v>6.077087762853437</v>
          </cell>
          <cell r="BN288">
            <v>-24.222697324758176</v>
          </cell>
          <cell r="BO288">
            <v>3.6989500606063861</v>
          </cell>
          <cell r="BP288">
            <v>4.4838398346126347</v>
          </cell>
          <cell r="BQ288">
            <v>-17.50485750956928</v>
          </cell>
          <cell r="BR288">
            <v>2.3196662848759124</v>
          </cell>
          <cell r="BS288">
            <v>4.1677256043282203</v>
          </cell>
          <cell r="BT288">
            <v>-44.342154328324348</v>
          </cell>
          <cell r="BU288">
            <v>2.9982577929527778</v>
          </cell>
          <cell r="BV288">
            <v>4.0591410160630952</v>
          </cell>
          <cell r="BW288">
            <v>26.135658231929408</v>
          </cell>
          <cell r="BX288">
            <v>1.1230324180327949</v>
          </cell>
          <cell r="BY288">
            <v>2.1211025892388018</v>
          </cell>
          <cell r="BZ288">
            <v>47.054309219630127</v>
          </cell>
          <cell r="CA288">
            <v>5.7046843993815655</v>
          </cell>
          <cell r="CB288">
            <v>5.8377923366879321</v>
          </cell>
          <cell r="CC288">
            <v>-2.2801074383862945</v>
          </cell>
        </row>
        <row r="289">
          <cell r="BK289" t="str">
            <v>Wellawatte</v>
          </cell>
          <cell r="BL289">
            <v>1.5668154697349996</v>
          </cell>
          <cell r="BM289">
            <v>2.2707269938855981</v>
          </cell>
          <cell r="BN289">
            <v>-30.999390329441884</v>
          </cell>
          <cell r="BO289">
            <v>1.6677102220951427</v>
          </cell>
          <cell r="BP289">
            <v>2.4635477001839678</v>
          </cell>
          <cell r="BQ289">
            <v>-32.304528872300509</v>
          </cell>
          <cell r="BR289">
            <v>0.99341361700982822</v>
          </cell>
          <cell r="BS289">
            <v>1.4360186042467737</v>
          </cell>
          <cell r="BT289">
            <v>-30.82167500671779</v>
          </cell>
          <cell r="BU289">
            <v>2.3170505649225506</v>
          </cell>
          <cell r="BV289">
            <v>2.1550999549893994</v>
          </cell>
          <cell r="BW289">
            <v>-7.5147609538114324</v>
          </cell>
          <cell r="BX289">
            <v>0.35844547318279507</v>
          </cell>
          <cell r="BY289">
            <v>0.69153635745067732</v>
          </cell>
          <cell r="BZ289">
            <v>48.166792776566261</v>
          </cell>
          <cell r="CA289">
            <v>0.36799519759480981</v>
          </cell>
          <cell r="CB289">
            <v>3.2394401473641441</v>
          </cell>
          <cell r="CC289">
            <v>-88.640160618672368</v>
          </cell>
        </row>
        <row r="290">
          <cell r="BK290" t="str">
            <v>Bambalapitiya</v>
          </cell>
          <cell r="BL290">
            <v>3.209994697316354</v>
          </cell>
          <cell r="BM290">
            <v>4.9902963105096951</v>
          </cell>
          <cell r="BN290">
            <v>-35.67526860968114</v>
          </cell>
          <cell r="BO290">
            <v>3.4949564771587052</v>
          </cell>
          <cell r="BP290">
            <v>5.3092388092190097</v>
          </cell>
          <cell r="BQ290">
            <v>-34.17217415253517</v>
          </cell>
          <cell r="BR290">
            <v>4.7632708882046115</v>
          </cell>
          <cell r="BS290">
            <v>5.7709705506023479</v>
          </cell>
          <cell r="BT290">
            <v>-17.461528412973053</v>
          </cell>
          <cell r="BU290">
            <v>3.7060227730615112</v>
          </cell>
          <cell r="BV290">
            <v>5.5900622693787332</v>
          </cell>
          <cell r="BW290">
            <v>33.703372261837252</v>
          </cell>
          <cell r="BX290">
            <v>0.88336991912477003</v>
          </cell>
          <cell r="BY290">
            <v>1.5386591292026317</v>
          </cell>
          <cell r="BZ290">
            <v>42.588328866410293</v>
          </cell>
          <cell r="CA290">
            <v>4.268684050789707</v>
          </cell>
          <cell r="CB290">
            <v>5.8206242732723883</v>
          </cell>
          <cell r="CC290">
            <v>-26.662779619859773</v>
          </cell>
        </row>
        <row r="291">
          <cell r="BK291" t="str">
            <v>Nuwara Eliya</v>
          </cell>
          <cell r="BL291">
            <v>1.7756393742257415</v>
          </cell>
          <cell r="BM291">
            <v>2.1603116366428639</v>
          </cell>
          <cell r="BN291">
            <v>-17.806332007492458</v>
          </cell>
          <cell r="BO291">
            <v>1.6399495587615913</v>
          </cell>
          <cell r="BP291">
            <v>1.8315654978611908</v>
          </cell>
          <cell r="BQ291">
            <v>-10.461866601186737</v>
          </cell>
          <cell r="BR291">
            <v>1.9374905825644044</v>
          </cell>
          <cell r="BS291">
            <v>3.0126935677206754</v>
          </cell>
          <cell r="BT291">
            <v>-35.689092202289302</v>
          </cell>
          <cell r="BU291">
            <v>1.6889105502635351</v>
          </cell>
          <cell r="BV291">
            <v>2.280076507979357</v>
          </cell>
          <cell r="BW291">
            <v>25.92746145346339</v>
          </cell>
          <cell r="BX291">
            <v>2.4366579153554122</v>
          </cell>
          <cell r="BY291">
            <v>4.3018569396197099</v>
          </cell>
          <cell r="BZ291">
            <v>43.357997498382268</v>
          </cell>
          <cell r="CA291">
            <v>1.365711373215327</v>
          </cell>
          <cell r="CB291">
            <v>0.64312860938505645</v>
          </cell>
          <cell r="CC291">
            <v>112.35431813882238</v>
          </cell>
        </row>
        <row r="292">
          <cell r="BK292" t="str">
            <v>Bandarawela</v>
          </cell>
          <cell r="BL292">
            <v>3.730512439087637</v>
          </cell>
          <cell r="BM292">
            <v>4.9425176898821244</v>
          </cell>
          <cell r="BN292">
            <v>-24.522021504861684</v>
          </cell>
          <cell r="BO292">
            <v>2.1118449841039091</v>
          </cell>
          <cell r="BP292">
            <v>2.6155143431519763</v>
          </cell>
          <cell r="BQ292">
            <v>-19.256990899965452</v>
          </cell>
          <cell r="BR292">
            <v>1.2129090742590456</v>
          </cell>
          <cell r="BS292">
            <v>2.3905444162305498</v>
          </cell>
          <cell r="BT292">
            <v>-49.262223867332246</v>
          </cell>
          <cell r="BU292">
            <v>1.6268096516563075</v>
          </cell>
          <cell r="BV292">
            <v>2.1317046467969361</v>
          </cell>
          <cell r="BW292">
            <v>23.685035161849243</v>
          </cell>
          <cell r="BX292">
            <v>0.60412313891994252</v>
          </cell>
          <cell r="BY292">
            <v>1.1473995614126657</v>
          </cell>
          <cell r="BZ292">
            <v>47.34849487164238</v>
          </cell>
          <cell r="CA292">
            <v>3.429249600841993</v>
          </cell>
          <cell r="CB292">
            <v>3.8888017445139171</v>
          </cell>
          <cell r="CC292">
            <v>-11.817319932039016</v>
          </cell>
        </row>
        <row r="293">
          <cell r="BK293" t="str">
            <v>Maharagama</v>
          </cell>
          <cell r="BL293">
            <v>3.2103139952392676</v>
          </cell>
          <cell r="BM293">
            <v>3.9315227045283376</v>
          </cell>
          <cell r="BN293">
            <v>-18.344259043916498</v>
          </cell>
          <cell r="BO293">
            <v>3.647785576997419</v>
          </cell>
          <cell r="BP293">
            <v>4.2904667012205939</v>
          </cell>
          <cell r="BQ293">
            <v>-14.979282417932266</v>
          </cell>
          <cell r="BR293">
            <v>2.5549949940052672</v>
          </cell>
          <cell r="BS293">
            <v>3.7618008832828473</v>
          </cell>
          <cell r="BT293">
            <v>-32.08053607091572</v>
          </cell>
          <cell r="BU293">
            <v>3.0880108252270477</v>
          </cell>
          <cell r="BV293">
            <v>3.9107536993859973</v>
          </cell>
          <cell r="BW293">
            <v>21.037961922483721</v>
          </cell>
          <cell r="BX293">
            <v>0.99212900780731061</v>
          </cell>
          <cell r="BY293">
            <v>1.9263514554300036</v>
          </cell>
          <cell r="BZ293">
            <v>48.496988697950464</v>
          </cell>
          <cell r="CA293">
            <v>5.4469763275394714</v>
          </cell>
          <cell r="CB293">
            <v>5.4957779253835879</v>
          </cell>
          <cell r="CC293">
            <v>-0.88798343940926849</v>
          </cell>
        </row>
        <row r="294">
          <cell r="BK294" t="str">
            <v>Kiribathgoda</v>
          </cell>
          <cell r="BL294">
            <v>1.7466518458508864</v>
          </cell>
          <cell r="BM294">
            <v>3.2266345443438595</v>
          </cell>
          <cell r="BN294">
            <v>-45.867689016325507</v>
          </cell>
          <cell r="BO294">
            <v>1.9661181469010696</v>
          </cell>
          <cell r="BP294">
            <v>3.5693845397046822</v>
          </cell>
          <cell r="BQ294">
            <v>-44.917166390154783</v>
          </cell>
          <cell r="BR294">
            <v>1.0342160469022228</v>
          </cell>
          <cell r="BS294">
            <v>2.4893099967629935</v>
          </cell>
          <cell r="BT294">
            <v>-58.453706117475157</v>
          </cell>
          <cell r="BU294">
            <v>1.6955738539651493</v>
          </cell>
          <cell r="BV294">
            <v>2.8016540397070293</v>
          </cell>
          <cell r="BW294">
            <v>39.47954208712877</v>
          </cell>
          <cell r="BX294">
            <v>0.49641752490775082</v>
          </cell>
          <cell r="BY294">
            <v>0.9959181223726935</v>
          </cell>
          <cell r="BZ294">
            <v>50.154785443096806</v>
          </cell>
          <cell r="CA294">
            <v>2.7637940597362376</v>
          </cell>
          <cell r="CB294">
            <v>5.4502852827496469</v>
          </cell>
          <cell r="CC294">
            <v>-49.290836784567091</v>
          </cell>
        </row>
        <row r="295">
          <cell r="BK295" t="str">
            <v>Nugegoda</v>
          </cell>
          <cell r="BL295">
            <v>3.4541424572400565</v>
          </cell>
          <cell r="BM295">
            <v>5.0507189444375502</v>
          </cell>
          <cell r="BN295">
            <v>-31.610875694356995</v>
          </cell>
          <cell r="BO295">
            <v>3.9512031812607331</v>
          </cell>
          <cell r="BP295">
            <v>5.6176550362053659</v>
          </cell>
          <cell r="BQ295">
            <v>-29.664545868417967</v>
          </cell>
          <cell r="BR295">
            <v>4.8927309903462186</v>
          </cell>
          <cell r="BS295">
            <v>6.5161750781643004</v>
          </cell>
          <cell r="BT295">
            <v>-24.914064897645893</v>
          </cell>
          <cell r="BU295">
            <v>3.9130146697181574</v>
          </cell>
          <cell r="BV295">
            <v>5.4832002967213738</v>
          </cell>
          <cell r="BW295">
            <v>28.636298913648904</v>
          </cell>
          <cell r="BX295">
            <v>1.7459234089631344</v>
          </cell>
          <cell r="BY295">
            <v>1.6705832968234684</v>
          </cell>
          <cell r="BZ295">
            <v>-4.5098087765465786</v>
          </cell>
          <cell r="CA295">
            <v>5.0632013062815782</v>
          </cell>
          <cell r="CB295">
            <v>7.1252223582854102</v>
          </cell>
          <cell r="CC295">
            <v>-28.939743187187073</v>
          </cell>
        </row>
        <row r="296">
          <cell r="BK296" t="str">
            <v>Fort</v>
          </cell>
          <cell r="BL296">
            <v>2.4748662948011146</v>
          </cell>
          <cell r="BM296">
            <v>3.477876399387045</v>
          </cell>
          <cell r="BN296">
            <v>-28.839728311296653</v>
          </cell>
          <cell r="BO296">
            <v>1.9443713787723571</v>
          </cell>
          <cell r="BP296">
            <v>2.6726287037124039</v>
          </cell>
          <cell r="BQ296">
            <v>-27.248727963164654</v>
          </cell>
          <cell r="BR296">
            <v>1.8715307234111385</v>
          </cell>
          <cell r="BS296">
            <v>2.9288254528499347</v>
          </cell>
          <cell r="BT296">
            <v>-36.099615578319316</v>
          </cell>
          <cell r="BU296">
            <v>1.2253291773287058</v>
          </cell>
          <cell r="BV296">
            <v>1.7395460553439008</v>
          </cell>
          <cell r="BW296">
            <v>29.560406086146223</v>
          </cell>
          <cell r="BX296">
            <v>0.47616839565316665</v>
          </cell>
          <cell r="BY296">
            <v>0.98071686359540544</v>
          </cell>
          <cell r="BZ296">
            <v>51.446904470727048</v>
          </cell>
          <cell r="CA296">
            <v>4.0613780263718562</v>
          </cell>
          <cell r="CB296">
            <v>5.0342736601035307</v>
          </cell>
          <cell r="CC296">
            <v>-19.325441948892124</v>
          </cell>
        </row>
        <row r="297">
          <cell r="BK297" t="str">
            <v>Malabe</v>
          </cell>
          <cell r="BL297">
            <v>2.4642755643317278</v>
          </cell>
          <cell r="BM297">
            <v>3.1624083702921397</v>
          </cell>
          <cell r="BN297">
            <v>-22.075985268655206</v>
          </cell>
          <cell r="BO297">
            <v>2.6886973398200222</v>
          </cell>
          <cell r="BP297">
            <v>3.4445429716092866</v>
          </cell>
          <cell r="BQ297">
            <v>-21.943277759026884</v>
          </cell>
          <cell r="BR297">
            <v>2.0826090800110242</v>
          </cell>
          <cell r="BS297">
            <v>3.0218945636678503</v>
          </cell>
          <cell r="BT297">
            <v>-31.082668963696747</v>
          </cell>
          <cell r="BU297">
            <v>2.5516141754411903</v>
          </cell>
          <cell r="BV297">
            <v>3.728291187782006</v>
          </cell>
          <cell r="BW297">
            <v>31.560759422357016</v>
          </cell>
          <cell r="BX297">
            <v>0.73566027600914374</v>
          </cell>
          <cell r="BY297">
            <v>3.2582197265493633</v>
          </cell>
          <cell r="BZ297">
            <v>77.421403780270865</v>
          </cell>
          <cell r="CA297">
            <v>3.4408539899513415</v>
          </cell>
          <cell r="CB297">
            <v>2.8063222223071818</v>
          </cell>
          <cell r="CC297">
            <v>22.610795104009391</v>
          </cell>
        </row>
        <row r="298">
          <cell r="BK298" t="str">
            <v>Negombo</v>
          </cell>
          <cell r="BL298">
            <v>4.1862820085439845</v>
          </cell>
          <cell r="BM298">
            <v>4.3058364178447839</v>
          </cell>
          <cell r="BN298">
            <v>-2.7765664483984374</v>
          </cell>
          <cell r="BO298">
            <v>3.1775957891665234</v>
          </cell>
          <cell r="BP298">
            <v>4.3510185081422073</v>
          </cell>
          <cell r="BQ298">
            <v>-26.968920421271903</v>
          </cell>
          <cell r="BR298">
            <v>7.9492631397605633</v>
          </cell>
          <cell r="BS298">
            <v>6.4187414641126299</v>
          </cell>
          <cell r="BT298">
            <v>23.844575828534683</v>
          </cell>
          <cell r="BU298">
            <v>2.9006775234609883</v>
          </cell>
          <cell r="BV298">
            <v>3.9065063306765797</v>
          </cell>
          <cell r="BW298">
            <v>25.747527895120264</v>
          </cell>
          <cell r="BX298">
            <v>1.3154573624757018</v>
          </cell>
          <cell r="BY298">
            <v>4.3882785314357671</v>
          </cell>
          <cell r="BZ298">
            <v>70.023384954890105</v>
          </cell>
          <cell r="CA298">
            <v>5.9858158200194183</v>
          </cell>
          <cell r="CB298">
            <v>5.8048111350249672</v>
          </cell>
          <cell r="CC298">
            <v>3.1181838785814793</v>
          </cell>
        </row>
        <row r="299">
          <cell r="BK299" t="str">
            <v>Rajagiriya</v>
          </cell>
          <cell r="BL299">
            <v>2.2139318220361917</v>
          </cell>
          <cell r="BM299">
            <v>3.030845519116828</v>
          </cell>
          <cell r="BN299">
            <v>-26.953326783830295</v>
          </cell>
          <cell r="BO299">
            <v>2.5062613414909936</v>
          </cell>
          <cell r="BP299">
            <v>3.3200070185670825</v>
          </cell>
          <cell r="BQ299">
            <v>-24.510360144578915</v>
          </cell>
          <cell r="BR299">
            <v>1.5928072201918644</v>
          </cell>
          <cell r="BS299">
            <v>2.407038805708555</v>
          </cell>
          <cell r="BT299">
            <v>-33.827106716586854</v>
          </cell>
          <cell r="BU299">
            <v>2.0783709433589244</v>
          </cell>
          <cell r="BV299">
            <v>2.9248634991944211</v>
          </cell>
          <cell r="BW299">
            <v>28.941267039252992</v>
          </cell>
          <cell r="BX299">
            <v>1.0381857445100593</v>
          </cell>
          <cell r="BY299">
            <v>2.8179874215019098</v>
          </cell>
          <cell r="BZ299">
            <v>63.158609701787285</v>
          </cell>
          <cell r="CA299">
            <v>3.6737486572329789</v>
          </cell>
          <cell r="CB299">
            <v>3.9828401244173186</v>
          </cell>
          <cell r="CC299">
            <v>-7.7605793235187699</v>
          </cell>
        </row>
        <row r="300">
          <cell r="BK300" t="str">
            <v>Boralesgamuwa</v>
          </cell>
          <cell r="BL300">
            <v>1.0360982319577885</v>
          </cell>
          <cell r="BM300">
            <v>1.2570582514267563</v>
          </cell>
          <cell r="BN300">
            <v>-17.57754815404768</v>
          </cell>
          <cell r="BO300">
            <v>1.0834640273733784</v>
          </cell>
          <cell r="BP300">
            <v>1.3572269525813097</v>
          </cell>
          <cell r="BQ300">
            <v>-20.170755133270937</v>
          </cell>
          <cell r="BR300">
            <v>0.68672408103425586</v>
          </cell>
          <cell r="BS300">
            <v>1.5407522179435384</v>
          </cell>
          <cell r="BT300">
            <v>-55.429297908080557</v>
          </cell>
          <cell r="BU300">
            <v>1.4034237342486471</v>
          </cell>
          <cell r="BV300">
            <v>1.9167073057384576</v>
          </cell>
          <cell r="BW300">
            <v>26.779444621152297</v>
          </cell>
          <cell r="BX300">
            <v>0.66204131470015659</v>
          </cell>
          <cell r="BY300">
            <v>2.1489072222581966</v>
          </cell>
          <cell r="BZ300">
            <v>69.191721827597334</v>
          </cell>
          <cell r="CA300">
            <v>0.34936416880801879</v>
          </cell>
          <cell r="CB300">
            <v>9.0592560748107898E-2</v>
          </cell>
          <cell r="CC300">
            <v>285.64333089051746</v>
          </cell>
        </row>
        <row r="301">
          <cell r="BK301" t="str">
            <v>Pitakotte</v>
          </cell>
          <cell r="BL301">
            <v>2.1143023243330177</v>
          </cell>
          <cell r="BM301">
            <v>2.9340270521002791</v>
          </cell>
          <cell r="BN301">
            <v>-27.938553844637315</v>
          </cell>
          <cell r="BO301">
            <v>2.4014320821814992</v>
          </cell>
          <cell r="BP301">
            <v>3.2326587673247484</v>
          </cell>
          <cell r="BQ301">
            <v>-25.713406362130435</v>
          </cell>
          <cell r="BR301">
            <v>1.9551077564152086</v>
          </cell>
          <cell r="BS301">
            <v>3.2192142769227501</v>
          </cell>
          <cell r="BT301">
            <v>-39.267548282492768</v>
          </cell>
          <cell r="BU301">
            <v>2.1326054498892142</v>
          </cell>
          <cell r="BV301">
            <v>3.0775243192507262</v>
          </cell>
          <cell r="BW301">
            <v>30.703863603962294</v>
          </cell>
          <cell r="BX301">
            <v>2.3627179743507738</v>
          </cell>
          <cell r="BY301">
            <v>4.4268770786641927</v>
          </cell>
          <cell r="BZ301">
            <v>46.627883892730033</v>
          </cell>
          <cell r="CA301">
            <v>2.8901669641622907</v>
          </cell>
          <cell r="CB301">
            <v>3.2399614364942932</v>
          </cell>
          <cell r="CC301">
            <v>-10.79625418969454</v>
          </cell>
        </row>
        <row r="302">
          <cell r="BK302" t="str">
            <v>Panadura</v>
          </cell>
          <cell r="BL302">
            <v>2.4918248544571875</v>
          </cell>
          <cell r="BM302">
            <v>2.8077878932420965</v>
          </cell>
          <cell r="BN302">
            <v>-11.253094991447977</v>
          </cell>
          <cell r="BO302">
            <v>2.7578601637142035</v>
          </cell>
          <cell r="BP302">
            <v>3.0982846769138672</v>
          </cell>
          <cell r="BQ302">
            <v>-10.98751563199651</v>
          </cell>
          <cell r="BR302">
            <v>1.8123509774459841</v>
          </cell>
          <cell r="BS302">
            <v>2.4740283855568279</v>
          </cell>
          <cell r="BT302">
            <v>-26.744940032768483</v>
          </cell>
          <cell r="BU302">
            <v>2.5842580930751029</v>
          </cell>
          <cell r="BV302">
            <v>3.4913110674988772</v>
          </cell>
          <cell r="BW302">
            <v>25.980296710529821</v>
          </cell>
          <cell r="BX302">
            <v>3.4686809297011352</v>
          </cell>
          <cell r="BY302">
            <v>5.7015543634062009</v>
          </cell>
          <cell r="BZ302">
            <v>39.162538693590761</v>
          </cell>
          <cell r="CA302">
            <v>2.6195303026030357</v>
          </cell>
          <cell r="CB302">
            <v>1.4863865187316538</v>
          </cell>
          <cell r="CC302">
            <v>76.234799602347238</v>
          </cell>
        </row>
        <row r="303">
          <cell r="BK303" t="str">
            <v>Kurunagala</v>
          </cell>
          <cell r="BL303">
            <v>1.8892173490925857</v>
          </cell>
          <cell r="BM303">
            <v>1.9999143918971722</v>
          </cell>
          <cell r="BN303">
            <v>-5.5350890644662254</v>
          </cell>
          <cell r="BO303">
            <v>2.0488651180810349</v>
          </cell>
          <cell r="BP303">
            <v>2.2478927110494094</v>
          </cell>
          <cell r="BQ303">
            <v>-8.8539631802738548</v>
          </cell>
          <cell r="BR303">
            <v>2.0411523126205271</v>
          </cell>
          <cell r="BS303">
            <v>3.2751147638290963</v>
          </cell>
          <cell r="BT303">
            <v>-37.676922495561151</v>
          </cell>
          <cell r="BU303">
            <v>2.2422835330149526</v>
          </cell>
          <cell r="BV303">
            <v>3.0363920156733575</v>
          </cell>
          <cell r="BW303">
            <v>26.153028942223109</v>
          </cell>
          <cell r="BX303">
            <v>3.6240625108249471</v>
          </cell>
          <cell r="BY303">
            <v>6.6644723339948548</v>
          </cell>
          <cell r="BZ303">
            <v>45.62116354900386</v>
          </cell>
          <cell r="CA303">
            <v>1.0877198446022895</v>
          </cell>
          <cell r="CB303">
            <v>-0.1511395773587329</v>
          </cell>
          <cell r="CC303">
            <v>819.67903021229449</v>
          </cell>
        </row>
        <row r="304">
          <cell r="BK304" t="str">
            <v>Matara</v>
          </cell>
          <cell r="BL304">
            <v>1.7503764433338713</v>
          </cell>
          <cell r="BM304">
            <v>1.9173323234892368</v>
          </cell>
          <cell r="BN304">
            <v>-8.7077173899375229</v>
          </cell>
          <cell r="BO304">
            <v>1.94279130303965</v>
          </cell>
          <cell r="BP304">
            <v>2.1234849498883133</v>
          </cell>
          <cell r="BQ304">
            <v>-8.5092972690089965</v>
          </cell>
          <cell r="BR304">
            <v>1.1630492717261089</v>
          </cell>
          <cell r="BS304">
            <v>1.8644144575745945</v>
          </cell>
          <cell r="BT304">
            <v>-37.618523231196527</v>
          </cell>
          <cell r="BU304">
            <v>2.1985253586820708</v>
          </cell>
          <cell r="BV304">
            <v>2.9192978590478624</v>
          </cell>
          <cell r="BW304">
            <v>24.689926659312309</v>
          </cell>
          <cell r="BX304">
            <v>3.2916961407402647</v>
          </cell>
          <cell r="BY304">
            <v>5.3508950569231963</v>
          </cell>
          <cell r="BZ304">
            <v>38.483261104488676</v>
          </cell>
          <cell r="CA304">
            <v>0.65783081886512251</v>
          </cell>
          <cell r="CB304">
            <v>-0.34918983465176501</v>
          </cell>
          <cell r="CC304">
            <v>288.38773457456301</v>
          </cell>
        </row>
        <row r="305">
          <cell r="BK305" t="str">
            <v>Wattala</v>
          </cell>
          <cell r="BL305">
            <v>2.7432484051352328</v>
          </cell>
          <cell r="BM305">
            <v>2.1398324383939422</v>
          </cell>
          <cell r="BN305">
            <v>28.199215785054005</v>
          </cell>
          <cell r="BO305">
            <v>1.9304357118094178</v>
          </cell>
          <cell r="BP305">
            <v>2.1579032373985503</v>
          </cell>
          <cell r="BQ305">
            <v>-10.541136490594216</v>
          </cell>
          <cell r="BR305">
            <v>5.2725484713118327</v>
          </cell>
          <cell r="BS305">
            <v>3.8443106767538029</v>
          </cell>
          <cell r="BT305">
            <v>37.151986783858391</v>
          </cell>
          <cell r="BU305">
            <v>2.5689543302190621</v>
          </cell>
          <cell r="BV305">
            <v>3.2957016494465399</v>
          </cell>
          <cell r="BW305">
            <v>22.051368616741243</v>
          </cell>
          <cell r="BX305">
            <v>5.0423569082629687</v>
          </cell>
          <cell r="BY305">
            <v>8.8134533579311931</v>
          </cell>
          <cell r="BZ305">
            <v>42.787954919788952</v>
          </cell>
          <cell r="CA305">
            <v>0.53786798930840629</v>
          </cell>
          <cell r="CB305">
            <v>-1.3180092418093317</v>
          </cell>
          <cell r="CC305">
            <v>140.8091212296838</v>
          </cell>
        </row>
        <row r="306">
          <cell r="BK306" t="str">
            <v>Pelawatte</v>
          </cell>
          <cell r="BL306">
            <v>2.5750563387828294</v>
          </cell>
          <cell r="BM306">
            <v>3.1222938289376621</v>
          </cell>
          <cell r="BN306">
            <v>-17.526777431483005</v>
          </cell>
          <cell r="BO306">
            <v>2.9907272898048332</v>
          </cell>
          <cell r="BP306">
            <v>3.5024109818315186</v>
          </cell>
          <cell r="BQ306">
            <v>-14.609470295776376</v>
          </cell>
          <cell r="BR306">
            <v>2.2634159144129784</v>
          </cell>
          <cell r="BS306">
            <v>3.1937063486820723</v>
          </cell>
          <cell r="BT306">
            <v>-29.128865734728283</v>
          </cell>
          <cell r="BU306">
            <v>2.5602866188965652</v>
          </cell>
          <cell r="BV306">
            <v>3.3936301411363763</v>
          </cell>
          <cell r="BW306">
            <v>24.556109168713398</v>
          </cell>
          <cell r="BX306">
            <v>3.6563504284658368</v>
          </cell>
          <cell r="BY306">
            <v>6.639329240180075</v>
          </cell>
          <cell r="BZ306">
            <v>44.928918325992406</v>
          </cell>
          <cell r="CA306">
            <v>3.5331813454797696</v>
          </cell>
          <cell r="CB306">
            <v>2.8481593025378951</v>
          </cell>
          <cell r="CC306">
            <v>24.051394959947476</v>
          </cell>
        </row>
        <row r="307">
          <cell r="BK307" t="str">
            <v>Gampaha</v>
          </cell>
          <cell r="BL307">
            <v>2.2298925866811947</v>
          </cell>
          <cell r="BM307">
            <v>1.9525153094587755</v>
          </cell>
          <cell r="BN307">
            <v>14.206151208069473</v>
          </cell>
          <cell r="BO307">
            <v>1.9773335904042562</v>
          </cell>
          <cell r="BP307">
            <v>2.1438829184148922</v>
          </cell>
          <cell r="BQ307">
            <v>-7.7685831898775728</v>
          </cell>
          <cell r="BR307">
            <v>2.6439532106155816</v>
          </cell>
          <cell r="BS307">
            <v>3.2182193787300499</v>
          </cell>
          <cell r="BT307">
            <v>-17.844220686443105</v>
          </cell>
          <cell r="BU307">
            <v>2.3373104721402944</v>
          </cell>
          <cell r="BV307">
            <v>3.0847027512427507</v>
          </cell>
          <cell r="BW307">
            <v>24.228988637603749</v>
          </cell>
          <cell r="BX307">
            <v>5.757489848913246</v>
          </cell>
          <cell r="BY307">
            <v>10.011826369457012</v>
          </cell>
          <cell r="BZ307">
            <v>42.493111282097658</v>
          </cell>
          <cell r="CA307">
            <v>0.13645275331883422</v>
          </cell>
          <cell r="CB307">
            <v>-1.4117401774676746</v>
          </cell>
          <cell r="CC307">
            <v>109.66557129255881</v>
          </cell>
        </row>
        <row r="308">
          <cell r="BK308" t="str">
            <v>Ja-ela</v>
          </cell>
          <cell r="BL308">
            <v>2.1953601933707221</v>
          </cell>
          <cell r="BM308">
            <v>2.1857577056116391</v>
          </cell>
          <cell r="BN308">
            <v>0.43932077807297282</v>
          </cell>
          <cell r="BO308">
            <v>2.5006872404897913</v>
          </cell>
          <cell r="BP308">
            <v>2.4236956777106582</v>
          </cell>
          <cell r="BQ308">
            <v>3.1766183967393449</v>
          </cell>
          <cell r="BR308">
            <v>5.7105316950659217</v>
          </cell>
          <cell r="BS308">
            <v>6.5731651045424364</v>
          </cell>
          <cell r="BT308">
            <v>-13.123562176772118</v>
          </cell>
          <cell r="BU308">
            <v>2.4911779590179437</v>
          </cell>
          <cell r="BV308">
            <v>3.053225951352954</v>
          </cell>
          <cell r="BW308">
            <v>18.408332736918929</v>
          </cell>
          <cell r="BX308">
            <v>7.7030934255573209</v>
          </cell>
          <cell r="BY308">
            <v>5.7762867552239605</v>
          </cell>
          <cell r="BZ308">
            <v>-33.357185194983515</v>
          </cell>
          <cell r="CA308">
            <v>1.8872246221521931</v>
          </cell>
          <cell r="CB308">
            <v>1.4759627579944961</v>
          </cell>
          <cell r="CC308">
            <v>27.863972985098222</v>
          </cell>
        </row>
        <row r="309">
          <cell r="BK309" t="str">
            <v>Piliyandala</v>
          </cell>
          <cell r="BL309">
            <v>1.6160639638585459</v>
          </cell>
          <cell r="BM309">
            <v>1.1575227540437762</v>
          </cell>
          <cell r="BN309">
            <v>39.61401261555055</v>
          </cell>
          <cell r="BO309">
            <v>1.676596013514186</v>
          </cell>
          <cell r="BP309">
            <v>1.2415944970123991</v>
          </cell>
          <cell r="BQ309">
            <v>35.035715569657746</v>
          </cell>
          <cell r="BR309">
            <v>1.4954436920044527</v>
          </cell>
          <cell r="BS309">
            <v>1.7250617976129943</v>
          </cell>
          <cell r="BT309">
            <v>-13.310717675521488</v>
          </cell>
          <cell r="BU309">
            <v>2.0776995313534035</v>
          </cell>
          <cell r="BV309">
            <v>2.2005435431162015</v>
          </cell>
          <cell r="BW309">
            <v>5.5824394907831705</v>
          </cell>
          <cell r="BX309">
            <v>6.9326580753344205</v>
          </cell>
          <cell r="BY309">
            <v>0</v>
          </cell>
          <cell r="BZ309">
            <v>0</v>
          </cell>
          <cell r="CA309">
            <v>-1.0158478019002941</v>
          </cell>
          <cell r="CB309">
            <v>-0.23129550787991526</v>
          </cell>
          <cell r="CC309">
            <v>-339.19910559945038</v>
          </cell>
        </row>
        <row r="310">
          <cell r="BK310" t="str">
            <v>Chilaw</v>
          </cell>
          <cell r="BL310">
            <v>1.3680138707069502</v>
          </cell>
          <cell r="BM310">
            <v>1.271020926324935</v>
          </cell>
          <cell r="BN310">
            <v>7.6311052299086288</v>
          </cell>
          <cell r="BO310">
            <v>1.4055170751610491</v>
          </cell>
          <cell r="BP310">
            <v>1.3539413319122315</v>
          </cell>
          <cell r="BQ310">
            <v>3.8093041428888808</v>
          </cell>
          <cell r="BR310">
            <v>1.7277127409872177</v>
          </cell>
          <cell r="BS310">
            <v>1.9271868679217163</v>
          </cell>
          <cell r="BT310">
            <v>-10.350533736752372</v>
          </cell>
          <cell r="BU310">
            <v>2.0152695168725638</v>
          </cell>
          <cell r="BV310">
            <v>2.7148779671428134</v>
          </cell>
          <cell r="BW310">
            <v>25.769425319935468</v>
          </cell>
          <cell r="BX310">
            <v>5.1029681760159518</v>
          </cell>
          <cell r="BY310">
            <v>0</v>
          </cell>
          <cell r="BZ310">
            <v>0</v>
          </cell>
          <cell r="CA310">
            <v>-1.0996709937717695</v>
          </cell>
          <cell r="CB310">
            <v>-0.86999622141019761</v>
          </cell>
          <cell r="CC310">
            <v>-26.399513780564078</v>
          </cell>
        </row>
        <row r="311">
          <cell r="BK311" t="str">
            <v>Ratnapura</v>
          </cell>
          <cell r="BL311">
            <v>2.5276797453422133</v>
          </cell>
          <cell r="BM311">
            <v>1.3853275455016818</v>
          </cell>
          <cell r="BN311">
            <v>82.460801674656707</v>
          </cell>
          <cell r="BO311">
            <v>2.0663844242710669</v>
          </cell>
          <cell r="BP311">
            <v>1.5106659399422728</v>
          </cell>
          <cell r="BQ311">
            <v>36.786325132214856</v>
          </cell>
          <cell r="BR311">
            <v>4.3572809740499752</v>
          </cell>
          <cell r="BS311">
            <v>1.9948910554882631</v>
          </cell>
          <cell r="BT311">
            <v>118.42200164577417</v>
          </cell>
          <cell r="BU311">
            <v>2.403992652690937</v>
          </cell>
          <cell r="BV311">
            <v>2.170081281747934</v>
          </cell>
          <cell r="BW311">
            <v>-10.778922103534965</v>
          </cell>
          <cell r="BX311">
            <v>8.0940519610119406</v>
          </cell>
          <cell r="BY311">
            <v>0</v>
          </cell>
          <cell r="BZ311">
            <v>0</v>
          </cell>
          <cell r="CA311">
            <v>8.0589512361355697E-2</v>
          </cell>
          <cell r="CB311">
            <v>0.70459817105089451</v>
          </cell>
          <cell r="CC311">
            <v>-88.562344372657392</v>
          </cell>
        </row>
        <row r="312">
          <cell r="BK312" t="str">
            <v>Nawala</v>
          </cell>
          <cell r="BL312">
            <v>3.9617196606178391</v>
          </cell>
          <cell r="BM312">
            <v>0.74223140523335218</v>
          </cell>
          <cell r="BN312">
            <v>0</v>
          </cell>
          <cell r="BO312">
            <v>3.8452413824466785</v>
          </cell>
          <cell r="BP312">
            <v>0.80036364112740666</v>
          </cell>
          <cell r="BQ312">
            <v>0</v>
          </cell>
          <cell r="BR312">
            <v>5.6651634080844557</v>
          </cell>
          <cell r="BS312">
            <v>0.67779514653670014</v>
          </cell>
          <cell r="BT312">
            <v>0</v>
          </cell>
          <cell r="BU312">
            <v>3.1778628199224079</v>
          </cell>
          <cell r="BV312">
            <v>0.8555303949185793</v>
          </cell>
          <cell r="BW312">
            <v>-271.44943520385908</v>
          </cell>
          <cell r="BX312">
            <v>8.4242793737775532</v>
          </cell>
          <cell r="BY312">
            <v>0</v>
          </cell>
          <cell r="BZ312">
            <v>0</v>
          </cell>
          <cell r="CA312">
            <v>4.5017061807112668</v>
          </cell>
          <cell r="CB312">
            <v>0.85657308300793145</v>
          </cell>
          <cell r="CC312">
            <v>0</v>
          </cell>
        </row>
        <row r="313">
          <cell r="BK313" t="str">
            <v>Collupitiya</v>
          </cell>
          <cell r="BL313">
            <v>2.2310943435175776</v>
          </cell>
          <cell r="BM313">
            <v>1.4653942575509611</v>
          </cell>
          <cell r="BN313">
            <v>52.252155487922558</v>
          </cell>
          <cell r="BO313">
            <v>2.5112599512783769</v>
          </cell>
          <cell r="BP313">
            <v>1.5619206262641707</v>
          </cell>
          <cell r="BQ313">
            <v>60.780254069942899</v>
          </cell>
          <cell r="BR313">
            <v>1.6154982809647198</v>
          </cell>
          <cell r="BS313">
            <v>0.95561820251540597</v>
          </cell>
          <cell r="BT313">
            <v>69.0526903644529</v>
          </cell>
          <cell r="BU313">
            <v>2.582358985914512</v>
          </cell>
          <cell r="BV313">
            <v>1.8560453985604595</v>
          </cell>
          <cell r="BW313">
            <v>-39.132317987339</v>
          </cell>
          <cell r="BX313">
            <v>3.4439027326119156</v>
          </cell>
          <cell r="BY313">
            <v>0</v>
          </cell>
          <cell r="BZ313">
            <v>0</v>
          </cell>
          <cell r="CA313">
            <v>1.7507520247388209</v>
          </cell>
          <cell r="CB313">
            <v>1.1967140836036343</v>
          </cell>
          <cell r="CC313">
            <v>46.296600727454162</v>
          </cell>
        </row>
        <row r="314">
          <cell r="BK314" t="str">
            <v>Dehiwala</v>
          </cell>
          <cell r="BL314">
            <v>2.2341905708820864</v>
          </cell>
          <cell r="BM314">
            <v>1.6115811784163052</v>
          </cell>
          <cell r="BN314">
            <v>38.633448988130844</v>
          </cell>
          <cell r="BO314">
            <v>2.4488851662977202</v>
          </cell>
          <cell r="BP314">
            <v>1.7179953182861214</v>
          </cell>
          <cell r="BQ314">
            <v>42.543180428497166</v>
          </cell>
          <cell r="BR314">
            <v>1.7990723251420526</v>
          </cell>
          <cell r="BS314">
            <v>1.1236454837437597</v>
          </cell>
          <cell r="BT314">
            <v>0</v>
          </cell>
          <cell r="BU314">
            <v>2.9211070296364059</v>
          </cell>
          <cell r="BV314">
            <v>2.0187945123395417</v>
          </cell>
          <cell r="BW314">
            <v>-44.695609770168829</v>
          </cell>
          <cell r="BX314">
            <v>2.2163069930192449</v>
          </cell>
          <cell r="BY314">
            <v>0</v>
          </cell>
          <cell r="BZ314">
            <v>0</v>
          </cell>
          <cell r="CA314">
            <v>1.2181140567911564</v>
          </cell>
          <cell r="CB314">
            <v>1.3818701785751337</v>
          </cell>
          <cell r="CC314">
            <v>-11.850326052540526</v>
          </cell>
        </row>
        <row r="315">
          <cell r="BK315" t="str">
            <v>Thibirigasyaya</v>
          </cell>
          <cell r="BL315">
            <v>1.5520914977137938</v>
          </cell>
          <cell r="BM315">
            <v>1.0213832335972468</v>
          </cell>
          <cell r="BN315">
            <v>51.959758752591455</v>
          </cell>
          <cell r="BO315">
            <v>1.7561743155876082</v>
          </cell>
          <cell r="BP315">
            <v>1.1213396182268582</v>
          </cell>
          <cell r="BQ315">
            <v>56.613954152854738</v>
          </cell>
          <cell r="BR315">
            <v>0.41366580987901613</v>
          </cell>
          <cell r="BS315">
            <v>0.28893608739258442</v>
          </cell>
          <cell r="BT315">
            <v>0</v>
          </cell>
          <cell r="BU315">
            <v>1.8616817331268563</v>
          </cell>
          <cell r="BV315">
            <v>1.3593701183221059</v>
          </cell>
          <cell r="BW315">
            <v>-36.951791718414576</v>
          </cell>
          <cell r="BX315">
            <v>2.2318817131087276</v>
          </cell>
          <cell r="BY315">
            <v>0</v>
          </cell>
          <cell r="BZ315">
            <v>0</v>
          </cell>
          <cell r="CA315">
            <v>0.91782116333470665</v>
          </cell>
          <cell r="CB315">
            <v>0.69516577601501817</v>
          </cell>
          <cell r="CC315">
            <v>32.029106581748394</v>
          </cell>
        </row>
        <row r="316">
          <cell r="BK316" t="str">
            <v>Moratuwa</v>
          </cell>
          <cell r="BL316">
            <v>2.5128164618859028</v>
          </cell>
          <cell r="BM316">
            <v>0.74862094565896786</v>
          </cell>
          <cell r="BN316">
            <v>0</v>
          </cell>
          <cell r="BO316">
            <v>2.8535645154192291</v>
          </cell>
          <cell r="BP316">
            <v>0.83872245076199947</v>
          </cell>
          <cell r="BQ316">
            <v>0</v>
          </cell>
          <cell r="BR316">
            <v>1.8368650994694351</v>
          </cell>
          <cell r="BS316">
            <v>0.45491385643949356</v>
          </cell>
          <cell r="BT316">
            <v>0</v>
          </cell>
          <cell r="BU316">
            <v>2.5629069133781583</v>
          </cell>
          <cell r="BV316">
            <v>1.0767245233332126</v>
          </cell>
          <cell r="BW316">
            <v>-138.02809890910405</v>
          </cell>
          <cell r="BX316">
            <v>4.0112112524913881</v>
          </cell>
          <cell r="BY316">
            <v>0</v>
          </cell>
          <cell r="BZ316">
            <v>0</v>
          </cell>
          <cell r="CA316">
            <v>2.8180269757451439</v>
          </cell>
          <cell r="CB316">
            <v>0.46629419093228769</v>
          </cell>
          <cell r="CC316">
            <v>0</v>
          </cell>
        </row>
        <row r="317">
          <cell r="BK317" t="str">
            <v>Kegalle</v>
          </cell>
          <cell r="BL317">
            <v>1.0404868249164716</v>
          </cell>
          <cell r="BM317">
            <v>1.2066605704111253E-8</v>
          </cell>
          <cell r="BN317">
            <v>0</v>
          </cell>
          <cell r="BO317">
            <v>1.0728974312285711</v>
          </cell>
          <cell r="BP317">
            <v>1.0568076944737039E-3</v>
          </cell>
          <cell r="BQ317">
            <v>0</v>
          </cell>
          <cell r="BR317">
            <v>0.93470374035465598</v>
          </cell>
          <cell r="BS317">
            <v>8.6922556107860164E-7</v>
          </cell>
          <cell r="BT317">
            <v>0</v>
          </cell>
          <cell r="BU317">
            <v>1.6338348242512062</v>
          </cell>
          <cell r="BV317">
            <v>1.8188466136636348E-2</v>
          </cell>
          <cell r="BW317">
            <v>-8882.8070821224101</v>
          </cell>
          <cell r="BX317">
            <v>4.8967429600339993E-3</v>
          </cell>
          <cell r="BY317">
            <v>0</v>
          </cell>
          <cell r="BZ317">
            <v>0</v>
          </cell>
          <cell r="CA317">
            <v>7.525013591681623E-2</v>
          </cell>
          <cell r="CB317">
            <v>-3.3241076567890507E-2</v>
          </cell>
          <cell r="CC317">
            <v>0</v>
          </cell>
        </row>
        <row r="318">
          <cell r="BK318" t="str">
            <v>Kadawatha</v>
          </cell>
          <cell r="BL318">
            <v>1.1499902211793478</v>
          </cell>
          <cell r="BM318">
            <v>1.2066605704111253E-8</v>
          </cell>
          <cell r="BN318">
            <v>0</v>
          </cell>
          <cell r="BO318">
            <v>1.2576933948713356</v>
          </cell>
          <cell r="BP318">
            <v>-3.7223536324395803E-4</v>
          </cell>
          <cell r="BQ318">
            <v>0</v>
          </cell>
          <cell r="BR318">
            <v>1.0827563861181875</v>
          </cell>
          <cell r="BS318">
            <v>8.6922556107860164E-7</v>
          </cell>
          <cell r="BT318">
            <v>0</v>
          </cell>
          <cell r="BU318">
            <v>1.8514812137844414</v>
          </cell>
          <cell r="BV318">
            <v>4.2763754428817434E-2</v>
          </cell>
          <cell r="BW318">
            <v>-4229.5572115080104</v>
          </cell>
          <cell r="BX318">
            <v>0</v>
          </cell>
          <cell r="BY318">
            <v>0</v>
          </cell>
          <cell r="BZ318">
            <v>0</v>
          </cell>
          <cell r="CA318">
            <v>0.23346584791056191</v>
          </cell>
          <cell r="CB318">
            <v>-8.6649859616486052E-2</v>
          </cell>
          <cell r="CC318">
            <v>0</v>
          </cell>
        </row>
        <row r="319">
          <cell r="BK319" t="str">
            <v>Aluthgama</v>
          </cell>
          <cell r="BL319">
            <v>1.019958537388217</v>
          </cell>
          <cell r="BM319">
            <v>1.2066605704111253E-8</v>
          </cell>
          <cell r="BN319">
            <v>0</v>
          </cell>
          <cell r="BO319">
            <v>1.172041601300704</v>
          </cell>
          <cell r="BP319">
            <v>8.1143346146157082E-8</v>
          </cell>
          <cell r="BQ319">
            <v>0</v>
          </cell>
          <cell r="BR319">
            <v>0.53602135740614021</v>
          </cell>
          <cell r="BS319">
            <v>8.6922556107860164E-7</v>
          </cell>
          <cell r="BT319">
            <v>0</v>
          </cell>
          <cell r="BU319">
            <v>1.5205667764414861</v>
          </cell>
          <cell r="BV319">
            <v>0</v>
          </cell>
          <cell r="BW319">
            <v>0</v>
          </cell>
          <cell r="BX319">
            <v>0</v>
          </cell>
          <cell r="BY319">
            <v>0</v>
          </cell>
          <cell r="BZ319">
            <v>0</v>
          </cell>
          <cell r="CA319">
            <v>0.53682784963631058</v>
          </cell>
          <cell r="CB319">
            <v>4.8254554809375288E-7</v>
          </cell>
          <cell r="CC319">
            <v>0</v>
          </cell>
        </row>
        <row r="320">
          <cell r="BK320" t="str">
            <v>Park Road</v>
          </cell>
          <cell r="BL320">
            <v>1.130815315208332</v>
          </cell>
          <cell r="BM320">
            <v>1.2066605704111253E-8</v>
          </cell>
          <cell r="BN320">
            <v>0</v>
          </cell>
          <cell r="BO320">
            <v>1.2655537427972061</v>
          </cell>
          <cell r="BP320">
            <v>8.1143346146157082E-8</v>
          </cell>
          <cell r="BQ320">
            <v>0</v>
          </cell>
          <cell r="BR320">
            <v>0.54645110122421514</v>
          </cell>
          <cell r="BS320">
            <v>8.6922556107860164E-7</v>
          </cell>
          <cell r="BT320">
            <v>0</v>
          </cell>
          <cell r="BU320">
            <v>1.2164828867332305</v>
          </cell>
          <cell r="BV320">
            <v>0</v>
          </cell>
          <cell r="BW320">
            <v>0</v>
          </cell>
          <cell r="BX320">
            <v>0</v>
          </cell>
          <cell r="BY320">
            <v>0</v>
          </cell>
          <cell r="BZ320">
            <v>0</v>
          </cell>
          <cell r="CA320">
            <v>1.5539779184393432</v>
          </cell>
          <cell r="CB320">
            <v>4.8254554809375288E-7</v>
          </cell>
          <cell r="CC320">
            <v>0</v>
          </cell>
        </row>
        <row r="321">
          <cell r="BK321" t="str">
            <v>Kotahena</v>
          </cell>
          <cell r="BL321">
            <v>1.4554448630275723</v>
          </cell>
          <cell r="BM321">
            <v>1.2066605704111253E-8</v>
          </cell>
          <cell r="BN321">
            <v>0</v>
          </cell>
          <cell r="BO321">
            <v>1.6345775358046697</v>
          </cell>
          <cell r="BP321">
            <v>8.1143346146157082E-8</v>
          </cell>
          <cell r="BQ321">
            <v>0</v>
          </cell>
          <cell r="BR321">
            <v>2.0003817088242588</v>
          </cell>
          <cell r="BS321">
            <v>8.6922556107860164E-7</v>
          </cell>
          <cell r="BT321">
            <v>0</v>
          </cell>
          <cell r="BU321">
            <v>1.9549573878350428</v>
          </cell>
          <cell r="BV321">
            <v>0</v>
          </cell>
          <cell r="BW321">
            <v>0</v>
          </cell>
          <cell r="BX321">
            <v>0</v>
          </cell>
          <cell r="BY321">
            <v>0</v>
          </cell>
          <cell r="BZ321">
            <v>0</v>
          </cell>
          <cell r="CA321">
            <v>1.5427231932282122</v>
          </cell>
          <cell r="CB321">
            <v>4.8254554809375288E-7</v>
          </cell>
          <cell r="CC321">
            <v>0</v>
          </cell>
        </row>
        <row r="322">
          <cell r="BK322" t="str">
            <v>Ambalangoda</v>
          </cell>
          <cell r="BL322">
            <v>0.6543330191302712</v>
          </cell>
          <cell r="BM322">
            <v>1.2066605704111253E-8</v>
          </cell>
          <cell r="BN322">
            <v>0</v>
          </cell>
          <cell r="BO322">
            <v>0.70370214862521907</v>
          </cell>
          <cell r="BP322">
            <v>8.1143346146157082E-8</v>
          </cell>
          <cell r="BQ322">
            <v>0</v>
          </cell>
          <cell r="BR322">
            <v>0.4849521302286014</v>
          </cell>
          <cell r="BS322">
            <v>8.6922556107860164E-7</v>
          </cell>
          <cell r="BT322">
            <v>0</v>
          </cell>
          <cell r="BU322">
            <v>1.0951259525713049</v>
          </cell>
          <cell r="BV322">
            <v>0</v>
          </cell>
          <cell r="BW322">
            <v>0</v>
          </cell>
          <cell r="BX322">
            <v>3.5964035623520955E-2</v>
          </cell>
          <cell r="BY322">
            <v>0</v>
          </cell>
          <cell r="BZ322">
            <v>0</v>
          </cell>
          <cell r="CA322">
            <v>-5.7668340210729349E-2</v>
          </cell>
          <cell r="CB322">
            <v>4.8254554809375288E-7</v>
          </cell>
          <cell r="CC322">
            <v>0</v>
          </cell>
        </row>
        <row r="323">
          <cell r="BK323" t="str">
            <v>Katugastota</v>
          </cell>
          <cell r="BL323">
            <v>0.87325606717527715</v>
          </cell>
          <cell r="BM323">
            <v>1.2066605704111253E-8</v>
          </cell>
          <cell r="BN323">
            <v>0</v>
          </cell>
          <cell r="BO323">
            <v>0.88192596781763899</v>
          </cell>
          <cell r="BP323">
            <v>8.1143346146157082E-8</v>
          </cell>
          <cell r="BQ323">
            <v>0</v>
          </cell>
          <cell r="BR323">
            <v>0.87981593150541715</v>
          </cell>
          <cell r="BS323">
            <v>8.6922556107860164E-7</v>
          </cell>
          <cell r="BT323">
            <v>0</v>
          </cell>
          <cell r="BU323">
            <v>1.1540271621901028</v>
          </cell>
          <cell r="BV323">
            <v>0</v>
          </cell>
          <cell r="BW323">
            <v>0</v>
          </cell>
          <cell r="BX323">
            <v>2.433184077574875E-2</v>
          </cell>
          <cell r="BY323">
            <v>0</v>
          </cell>
          <cell r="BZ323">
            <v>0</v>
          </cell>
          <cell r="CA323">
            <v>0.52935597159806136</v>
          </cell>
          <cell r="CB323">
            <v>4.8254554809375288E-7</v>
          </cell>
          <cell r="CC323">
            <v>0</v>
          </cell>
        </row>
        <row r="324">
          <cell r="BK324" t="str">
            <v>Beruwela</v>
          </cell>
          <cell r="BL324">
            <v>0.51326028558515091</v>
          </cell>
          <cell r="BM324">
            <v>1.2066605704111253E-8</v>
          </cell>
          <cell r="BN324">
            <v>0</v>
          </cell>
          <cell r="BO324">
            <v>0.54463292481571057</v>
          </cell>
          <cell r="BP324">
            <v>8.1143346146157082E-8</v>
          </cell>
          <cell r="BQ324">
            <v>0</v>
          </cell>
          <cell r="BR324">
            <v>0.42667017929991935</v>
          </cell>
          <cell r="BS324">
            <v>8.6922556107860164E-7</v>
          </cell>
          <cell r="BT324">
            <v>0</v>
          </cell>
          <cell r="BU324">
            <v>0.86577610833435803</v>
          </cell>
          <cell r="BV324">
            <v>0</v>
          </cell>
          <cell r="BW324">
            <v>0</v>
          </cell>
          <cell r="BX324">
            <v>1.6306737333159169E-3</v>
          </cell>
          <cell r="BY324">
            <v>0</v>
          </cell>
          <cell r="BZ324">
            <v>0</v>
          </cell>
          <cell r="CA324">
            <v>-6.1451735005683406E-2</v>
          </cell>
          <cell r="CB324">
            <v>4.8254554809375288E-7</v>
          </cell>
          <cell r="CC324">
            <v>0</v>
          </cell>
        </row>
        <row r="325">
          <cell r="BK325" t="str">
            <v>Warakapola</v>
          </cell>
          <cell r="BL325">
            <v>0.37418638319210862</v>
          </cell>
          <cell r="BM325">
            <v>1.2066605704111253E-8</v>
          </cell>
          <cell r="BN325">
            <v>0</v>
          </cell>
          <cell r="BO325">
            <v>0.34839156964262696</v>
          </cell>
          <cell r="BP325">
            <v>8.1143346146157082E-8</v>
          </cell>
          <cell r="BQ325">
            <v>0</v>
          </cell>
          <cell r="BR325">
            <v>0.36895947050571515</v>
          </cell>
          <cell r="BS325">
            <v>8.6922556107860164E-7</v>
          </cell>
          <cell r="BT325">
            <v>0</v>
          </cell>
          <cell r="BU325">
            <v>0.74666858209877773</v>
          </cell>
          <cell r="BV325">
            <v>0</v>
          </cell>
          <cell r="BW325">
            <v>0</v>
          </cell>
          <cell r="BX325">
            <v>3.3385621315716775E-4</v>
          </cell>
          <cell r="BY325">
            <v>0</v>
          </cell>
          <cell r="BZ325">
            <v>0</v>
          </cell>
          <cell r="CA325">
            <v>-0.45411015180783448</v>
          </cell>
          <cell r="CB325">
            <v>4.8254554809375288E-7</v>
          </cell>
          <cell r="CC325">
            <v>0</v>
          </cell>
        </row>
        <row r="326">
          <cell r="BK326" t="str">
            <v>Karagampitiya</v>
          </cell>
          <cell r="BL326">
            <v>0.37940743743897709</v>
          </cell>
          <cell r="BM326">
            <v>1.2066605704111253E-8</v>
          </cell>
          <cell r="BN326">
            <v>0</v>
          </cell>
          <cell r="BO326">
            <v>0.40802691044819112</v>
          </cell>
          <cell r="BP326">
            <v>8.1143346146157082E-8</v>
          </cell>
          <cell r="BQ326">
            <v>0</v>
          </cell>
          <cell r="BR326">
            <v>0.25039208620458098</v>
          </cell>
          <cell r="BS326">
            <v>8.6922556107860164E-7</v>
          </cell>
          <cell r="BT326">
            <v>0</v>
          </cell>
          <cell r="BU326">
            <v>0.72003782041475106</v>
          </cell>
          <cell r="BV326">
            <v>0</v>
          </cell>
          <cell r="BW326">
            <v>0</v>
          </cell>
          <cell r="BX326">
            <v>0</v>
          </cell>
          <cell r="BY326">
            <v>0</v>
          </cell>
          <cell r="BZ326">
            <v>0</v>
          </cell>
          <cell r="CA326">
            <v>-0.23368116065964295</v>
          </cell>
          <cell r="CB326">
            <v>4.8254554809375288E-7</v>
          </cell>
          <cell r="CC326">
            <v>0</v>
          </cell>
        </row>
        <row r="327">
          <cell r="BK327" t="str">
            <v>Mathale</v>
          </cell>
          <cell r="BL327">
            <v>0.53192440301417554</v>
          </cell>
          <cell r="BM327">
            <v>1.2066605704111253E-8</v>
          </cell>
          <cell r="BN327">
            <v>0</v>
          </cell>
          <cell r="BO327">
            <v>0.41096161093991157</v>
          </cell>
          <cell r="BP327">
            <v>8.1143346146157082E-8</v>
          </cell>
          <cell r="BQ327">
            <v>0</v>
          </cell>
          <cell r="BR327">
            <v>0.21088589339729297</v>
          </cell>
          <cell r="BS327">
            <v>8.6922556107860164E-7</v>
          </cell>
          <cell r="BT327">
            <v>0</v>
          </cell>
          <cell r="BU327">
            <v>0.61116629129123223</v>
          </cell>
          <cell r="BV327">
            <v>0</v>
          </cell>
          <cell r="BW327">
            <v>0</v>
          </cell>
          <cell r="BX327">
            <v>3.3385621315716775E-4</v>
          </cell>
          <cell r="BY327">
            <v>0</v>
          </cell>
          <cell r="BZ327">
            <v>0</v>
          </cell>
          <cell r="CA327">
            <v>1.5051781735658411E-2</v>
          </cell>
          <cell r="CB327">
            <v>4.8254554809375288E-7</v>
          </cell>
          <cell r="CC327">
            <v>0</v>
          </cell>
        </row>
        <row r="328">
          <cell r="BK328" t="str">
            <v>Peliyagoda</v>
          </cell>
          <cell r="BL328">
            <v>0.22820545016727961</v>
          </cell>
          <cell r="BM328">
            <v>1.2066605704111253E-8</v>
          </cell>
          <cell r="BN328">
            <v>0</v>
          </cell>
          <cell r="BO328">
            <v>0.23929152482157662</v>
          </cell>
          <cell r="BP328">
            <v>8.1143346146157082E-8</v>
          </cell>
          <cell r="BQ328">
            <v>0</v>
          </cell>
          <cell r="BR328">
            <v>0.16560021789962157</v>
          </cell>
          <cell r="BS328">
            <v>8.6922556107860164E-7</v>
          </cell>
          <cell r="BT328">
            <v>0</v>
          </cell>
          <cell r="BU328">
            <v>0.54978351446677343</v>
          </cell>
          <cell r="BV328">
            <v>0</v>
          </cell>
          <cell r="BW328">
            <v>0</v>
          </cell>
          <cell r="BX328">
            <v>0</v>
          </cell>
          <cell r="BY328">
            <v>0</v>
          </cell>
          <cell r="BZ328">
            <v>0</v>
          </cell>
          <cell r="CA328">
            <v>-0.42611722107513439</v>
          </cell>
          <cell r="CB328">
            <v>4.8254554809375288E-7</v>
          </cell>
          <cell r="CC328">
            <v>0</v>
          </cell>
        </row>
        <row r="329">
          <cell r="BK329" t="str">
            <v>Kelaniya</v>
          </cell>
          <cell r="BL329">
            <v>0.22996956335175198</v>
          </cell>
          <cell r="BM329">
            <v>1.2066605704111253E-8</v>
          </cell>
          <cell r="BN329">
            <v>0</v>
          </cell>
          <cell r="BO329">
            <v>0.25305199706912695</v>
          </cell>
          <cell r="BP329">
            <v>8.1143346146157082E-8</v>
          </cell>
          <cell r="BQ329">
            <v>0</v>
          </cell>
          <cell r="BR329">
            <v>0.18253342760997213</v>
          </cell>
          <cell r="BS329">
            <v>8.6922556107860164E-7</v>
          </cell>
          <cell r="BT329">
            <v>0</v>
          </cell>
          <cell r="BU329">
            <v>0.43754061220870749</v>
          </cell>
          <cell r="BV329">
            <v>0</v>
          </cell>
          <cell r="BW329">
            <v>0</v>
          </cell>
          <cell r="BX329">
            <v>0</v>
          </cell>
          <cell r="BY329">
            <v>0</v>
          </cell>
          <cell r="BZ329">
            <v>0</v>
          </cell>
          <cell r="CA329">
            <v>-0.11512646199875434</v>
          </cell>
          <cell r="CB329">
            <v>4.8254554809375288E-7</v>
          </cell>
          <cell r="CC329">
            <v>0</v>
          </cell>
        </row>
        <row r="330">
          <cell r="BK330" t="str">
            <v>Demategoda</v>
          </cell>
          <cell r="BL330">
            <v>0.19567075925342473</v>
          </cell>
          <cell r="BM330">
            <v>1.2066605704111253E-8</v>
          </cell>
          <cell r="BN330">
            <v>0</v>
          </cell>
          <cell r="BO330">
            <v>0.21323777827734805</v>
          </cell>
          <cell r="BP330">
            <v>8.1143346146157082E-8</v>
          </cell>
          <cell r="BQ330">
            <v>0</v>
          </cell>
          <cell r="BR330">
            <v>0.22022655568407229</v>
          </cell>
          <cell r="BS330">
            <v>8.6922556107860164E-7</v>
          </cell>
          <cell r="BT330">
            <v>0</v>
          </cell>
          <cell r="BU330">
            <v>0.34755571476005975</v>
          </cell>
          <cell r="BV330">
            <v>0</v>
          </cell>
          <cell r="BW330">
            <v>0</v>
          </cell>
          <cell r="BX330">
            <v>0</v>
          </cell>
          <cell r="BY330">
            <v>0</v>
          </cell>
          <cell r="BZ330">
            <v>0</v>
          </cell>
          <cell r="CA330">
            <v>-2.6302406986806214E-2</v>
          </cell>
          <cell r="CB330">
            <v>4.8254554809375288E-7</v>
          </cell>
          <cell r="CC330">
            <v>0</v>
          </cell>
        </row>
        <row r="331">
          <cell r="BK331" t="str">
            <v>Kolannawa</v>
          </cell>
          <cell r="BL331">
            <v>0.2421544732846232</v>
          </cell>
          <cell r="BM331">
            <v>1.2066605704111253E-8</v>
          </cell>
          <cell r="BN331">
            <v>0</v>
          </cell>
          <cell r="BO331">
            <v>0.23434679917668286</v>
          </cell>
          <cell r="BP331">
            <v>8.1143346146157082E-8</v>
          </cell>
          <cell r="BQ331">
            <v>0</v>
          </cell>
          <cell r="BR331">
            <v>0.16380562857814485</v>
          </cell>
          <cell r="BS331">
            <v>8.6922556107860164E-7</v>
          </cell>
          <cell r="BT331">
            <v>0</v>
          </cell>
          <cell r="BU331">
            <v>0.30259382338309976</v>
          </cell>
          <cell r="BV331">
            <v>0</v>
          </cell>
          <cell r="BW331">
            <v>0</v>
          </cell>
          <cell r="BX331">
            <v>0</v>
          </cell>
          <cell r="BY331">
            <v>0</v>
          </cell>
          <cell r="BZ331">
            <v>0</v>
          </cell>
          <cell r="CA331">
            <v>0.12922287740009877</v>
          </cell>
          <cell r="CB331">
            <v>4.8254554809375288E-7</v>
          </cell>
          <cell r="CC331">
            <v>0</v>
          </cell>
        </row>
        <row r="332">
          <cell r="BK332" t="str">
            <v>Avissawella</v>
          </cell>
          <cell r="BL332">
            <v>0.13962850484535955</v>
          </cell>
          <cell r="BM332">
            <v>1.2066605704111253E-8</v>
          </cell>
          <cell r="BN332">
            <v>0</v>
          </cell>
          <cell r="BO332">
            <v>0.15018929357187072</v>
          </cell>
          <cell r="BP332">
            <v>8.1143346146157082E-8</v>
          </cell>
          <cell r="BQ332">
            <v>0</v>
          </cell>
          <cell r="BR332">
            <v>0.10129254443316088</v>
          </cell>
          <cell r="BS332">
            <v>8.6922556107860164E-7</v>
          </cell>
          <cell r="BT332">
            <v>0</v>
          </cell>
          <cell r="BU332">
            <v>0.2806323479314739</v>
          </cell>
          <cell r="BV332">
            <v>0</v>
          </cell>
          <cell r="BW332">
            <v>0</v>
          </cell>
          <cell r="BX332">
            <v>0</v>
          </cell>
          <cell r="BY332">
            <v>0</v>
          </cell>
          <cell r="BZ332">
            <v>0</v>
          </cell>
          <cell r="CA332">
            <v>-0.11913352077937985</v>
          </cell>
          <cell r="CB332">
            <v>4.8254554809375288E-7</v>
          </cell>
          <cell r="CC332">
            <v>0</v>
          </cell>
        </row>
        <row r="333">
          <cell r="BK333" t="str">
            <v>Homagama</v>
          </cell>
          <cell r="BL333">
            <v>0.19671903843527125</v>
          </cell>
          <cell r="BM333">
            <v>1.2066605704111253E-8</v>
          </cell>
          <cell r="BN333">
            <v>0</v>
          </cell>
          <cell r="BO333">
            <v>0.20714599615204846</v>
          </cell>
          <cell r="BP333">
            <v>8.1143346146157082E-8</v>
          </cell>
          <cell r="BQ333">
            <v>0</v>
          </cell>
          <cell r="BR333">
            <v>8.542156092351158E-2</v>
          </cell>
          <cell r="BS333">
            <v>8.6922556107860164E-7</v>
          </cell>
          <cell r="BT333">
            <v>0</v>
          </cell>
          <cell r="BU333">
            <v>0.33614970751950002</v>
          </cell>
          <cell r="BV333">
            <v>0</v>
          </cell>
          <cell r="BW333">
            <v>0</v>
          </cell>
          <cell r="BX333">
            <v>0</v>
          </cell>
          <cell r="BY333">
            <v>0</v>
          </cell>
          <cell r="BZ333">
            <v>0</v>
          </cell>
          <cell r="CA333">
            <v>-6.4233197576360257E-2</v>
          </cell>
          <cell r="CB333">
            <v>4.8254554809375288E-7</v>
          </cell>
          <cell r="CC333">
            <v>0</v>
          </cell>
        </row>
        <row r="334">
          <cell r="BK334" t="str">
            <v>Galle</v>
          </cell>
          <cell r="BL334">
            <v>0.25623186620352689</v>
          </cell>
          <cell r="BM334">
            <v>1.2066605704111253E-8</v>
          </cell>
          <cell r="BN334">
            <v>0</v>
          </cell>
          <cell r="BO334">
            <v>0.28285182393839153</v>
          </cell>
          <cell r="BP334">
            <v>8.1143346146157082E-8</v>
          </cell>
          <cell r="BQ334">
            <v>0</v>
          </cell>
          <cell r="BR334">
            <v>7.9797942524903062E-2</v>
          </cell>
          <cell r="BS334">
            <v>8.6922556107860164E-7</v>
          </cell>
          <cell r="BT334">
            <v>0</v>
          </cell>
          <cell r="BU334">
            <v>0.3084355037057121</v>
          </cell>
          <cell r="BV334">
            <v>0</v>
          </cell>
          <cell r="BW334">
            <v>0</v>
          </cell>
          <cell r="BX334">
            <v>0</v>
          </cell>
          <cell r="BY334">
            <v>0</v>
          </cell>
          <cell r="BZ334">
            <v>0</v>
          </cell>
          <cell r="CA334">
            <v>0.2488212356460037</v>
          </cell>
          <cell r="CB334">
            <v>4.8254554809375288E-7</v>
          </cell>
          <cell r="CC334">
            <v>0</v>
          </cell>
        </row>
        <row r="335">
          <cell r="BK335" t="str">
            <v>Kohuwela</v>
          </cell>
          <cell r="BL335">
            <v>0.23052929746780207</v>
          </cell>
          <cell r="BM335">
            <v>1.2066605704111253E-8</v>
          </cell>
          <cell r="BN335">
            <v>0</v>
          </cell>
          <cell r="BO335">
            <v>0.24736348228235047</v>
          </cell>
          <cell r="BP335">
            <v>8.1143346146157082E-8</v>
          </cell>
          <cell r="BQ335">
            <v>0</v>
          </cell>
          <cell r="BR335">
            <v>0.12568525660822477</v>
          </cell>
          <cell r="BS335">
            <v>8.6922556107860164E-7</v>
          </cell>
          <cell r="BT335">
            <v>0</v>
          </cell>
          <cell r="BU335">
            <v>0.31500417564253264</v>
          </cell>
          <cell r="BV335">
            <v>0</v>
          </cell>
          <cell r="BW335">
            <v>0</v>
          </cell>
          <cell r="BX335">
            <v>0</v>
          </cell>
          <cell r="BY335">
            <v>0</v>
          </cell>
          <cell r="BZ335">
            <v>0</v>
          </cell>
          <cell r="CA335">
            <v>0.13111160430811533</v>
          </cell>
          <cell r="CB335">
            <v>4.8254554809375288E-7</v>
          </cell>
          <cell r="CC335">
            <v>0</v>
          </cell>
        </row>
        <row r="336">
          <cell r="BK336" t="str">
            <v>Mt lavinia-STC</v>
          </cell>
          <cell r="BL336">
            <v>8.6561188853951948E-2</v>
          </cell>
          <cell r="BM336">
            <v>1.2066605704111253E-8</v>
          </cell>
          <cell r="BN336">
            <v>0</v>
          </cell>
          <cell r="BO336">
            <v>9.9746830711857817E-2</v>
          </cell>
          <cell r="BP336">
            <v>8.1143346146157082E-8</v>
          </cell>
          <cell r="BQ336">
            <v>0</v>
          </cell>
          <cell r="BR336">
            <v>5.5536207822148425E-5</v>
          </cell>
          <cell r="BS336">
            <v>8.6922556107860164E-7</v>
          </cell>
          <cell r="BT336">
            <v>0</v>
          </cell>
          <cell r="BU336">
            <v>0.19806118705142034</v>
          </cell>
          <cell r="BV336">
            <v>0</v>
          </cell>
          <cell r="BW336">
            <v>0</v>
          </cell>
          <cell r="BX336">
            <v>0</v>
          </cell>
          <cell r="BY336">
            <v>0</v>
          </cell>
          <cell r="BZ336">
            <v>0</v>
          </cell>
          <cell r="CA336">
            <v>-0.12818838327922699</v>
          </cell>
          <cell r="CB336">
            <v>4.8254554809375288E-7</v>
          </cell>
          <cell r="CC336">
            <v>0</v>
          </cell>
        </row>
        <row r="337">
          <cell r="BK337" t="str">
            <v>Mini Mart</v>
          </cell>
          <cell r="BL337">
            <v>0.28357937455835808</v>
          </cell>
          <cell r="BM337">
            <v>6.5237393016201517E-2</v>
          </cell>
          <cell r="BN337">
            <v>0</v>
          </cell>
          <cell r="BO337">
            <v>0.29799731902461218</v>
          </cell>
          <cell r="BP337">
            <v>6.4806800083958185E-2</v>
          </cell>
          <cell r="BQ337">
            <v>0</v>
          </cell>
          <cell r="BR337">
            <v>1.1492145975078236E-4</v>
          </cell>
          <cell r="BS337">
            <v>1.7471433777679893E-4</v>
          </cell>
          <cell r="BT337">
            <v>0</v>
          </cell>
          <cell r="BU337">
            <v>0.3661283761875293</v>
          </cell>
          <cell r="BV337">
            <v>9.5396690126450731E-2</v>
          </cell>
          <cell r="BW337">
            <v>-283.79568064910518</v>
          </cell>
          <cell r="BX337">
            <v>-1.6665035598527508E-6</v>
          </cell>
          <cell r="BY337">
            <v>0</v>
          </cell>
          <cell r="BZ337">
            <v>0</v>
          </cell>
          <cell r="CA337">
            <v>0.13930466098401281</v>
          </cell>
          <cell r="CB337">
            <v>1.9173657826176602E-3</v>
          </cell>
          <cell r="CC337">
            <v>0</v>
          </cell>
        </row>
        <row r="338">
          <cell r="BK338" t="str">
            <v>Express Maligawatte</v>
          </cell>
          <cell r="BL338">
            <v>0.1873545048771966</v>
          </cell>
          <cell r="BM338">
            <v>1.2066605704111253E-8</v>
          </cell>
          <cell r="BN338">
            <v>0</v>
          </cell>
          <cell r="BO338">
            <v>0.19412372055684762</v>
          </cell>
          <cell r="BP338">
            <v>8.1143346146157082E-8</v>
          </cell>
          <cell r="BQ338">
            <v>0</v>
          </cell>
          <cell r="BR338">
            <v>2.7344159195917019E-3</v>
          </cell>
          <cell r="BS338">
            <v>8.6922556107860164E-7</v>
          </cell>
          <cell r="BT338">
            <v>0</v>
          </cell>
          <cell r="BU338">
            <v>0.29482943125549299</v>
          </cell>
          <cell r="BV338">
            <v>0</v>
          </cell>
          <cell r="BW338">
            <v>0</v>
          </cell>
          <cell r="BX338">
            <v>0</v>
          </cell>
          <cell r="BY338">
            <v>0</v>
          </cell>
          <cell r="BZ338">
            <v>0</v>
          </cell>
          <cell r="CA338">
            <v>-3.8784234368582485E-2</v>
          </cell>
          <cell r="CB338">
            <v>4.8254554809375288E-7</v>
          </cell>
          <cell r="CC338">
            <v>0</v>
          </cell>
        </row>
        <row r="339">
          <cell r="BK339" t="str">
            <v>Express Peradeniya</v>
          </cell>
          <cell r="BL339">
            <v>6.6754611474338574E-2</v>
          </cell>
          <cell r="BM339">
            <v>1.2066605704111253E-8</v>
          </cell>
          <cell r="BN339">
            <v>0</v>
          </cell>
          <cell r="BO339">
            <v>7.6077895320878205E-2</v>
          </cell>
          <cell r="BP339">
            <v>8.1143346146157082E-8</v>
          </cell>
          <cell r="BQ339">
            <v>0</v>
          </cell>
          <cell r="BR339">
            <v>2.350666222175094E-4</v>
          </cell>
          <cell r="BS339">
            <v>8.6922556107860164E-7</v>
          </cell>
          <cell r="BT339">
            <v>0</v>
          </cell>
          <cell r="BU339">
            <v>0.16843894400117165</v>
          </cell>
          <cell r="BV339">
            <v>0</v>
          </cell>
          <cell r="BW339">
            <v>0</v>
          </cell>
          <cell r="BX339">
            <v>0</v>
          </cell>
          <cell r="BY339">
            <v>0</v>
          </cell>
          <cell r="BZ339">
            <v>0</v>
          </cell>
          <cell r="CA339">
            <v>-0.13793644525220067</v>
          </cell>
          <cell r="CB339">
            <v>4.8254554809375288E-7</v>
          </cell>
          <cell r="CC339">
            <v>0</v>
          </cell>
        </row>
        <row r="340">
          <cell r="BK340" t="str">
            <v>Express Alexandra Place</v>
          </cell>
          <cell r="BL340">
            <v>0.15343499720572798</v>
          </cell>
          <cell r="BM340">
            <v>1.2066605704111253E-8</v>
          </cell>
          <cell r="BN340">
            <v>0</v>
          </cell>
          <cell r="BO340">
            <v>0.17101077609426196</v>
          </cell>
          <cell r="BP340">
            <v>8.1143346146157082E-8</v>
          </cell>
          <cell r="BQ340">
            <v>0</v>
          </cell>
          <cell r="BR340">
            <v>7.2343883708283182E-3</v>
          </cell>
          <cell r="BS340">
            <v>8.6922556107860164E-7</v>
          </cell>
          <cell r="BT340">
            <v>0</v>
          </cell>
          <cell r="BU340">
            <v>0.2383213332812438</v>
          </cell>
          <cell r="BV340">
            <v>0</v>
          </cell>
          <cell r="BW340">
            <v>0</v>
          </cell>
          <cell r="BX340">
            <v>0</v>
          </cell>
          <cell r="BY340">
            <v>0</v>
          </cell>
          <cell r="BZ340">
            <v>0</v>
          </cell>
          <cell r="CA340">
            <v>1.6971831185055155E-2</v>
          </cell>
          <cell r="CB340">
            <v>4.8254554809375288E-7</v>
          </cell>
          <cell r="CC340">
            <v>0</v>
          </cell>
        </row>
        <row r="341">
          <cell r="BK341" t="str">
            <v>Express Boralla</v>
          </cell>
          <cell r="BL341">
            <v>1.6178602416856296E-2</v>
          </cell>
          <cell r="BM341">
            <v>1.2066605704111253E-8</v>
          </cell>
          <cell r="BN341">
            <v>0</v>
          </cell>
          <cell r="BO341">
            <v>1.2650679087307973E-2</v>
          </cell>
          <cell r="BP341">
            <v>8.1143346146157082E-8</v>
          </cell>
          <cell r="BQ341">
            <v>0</v>
          </cell>
          <cell r="BR341">
            <v>9.1387304356842244E-5</v>
          </cell>
          <cell r="BS341">
            <v>8.6922556107860164E-7</v>
          </cell>
          <cell r="BT341">
            <v>0</v>
          </cell>
          <cell r="BU341">
            <v>7.9245951327871086E-2</v>
          </cell>
          <cell r="BV341">
            <v>0</v>
          </cell>
          <cell r="BW341">
            <v>0</v>
          </cell>
          <cell r="BX341">
            <v>0</v>
          </cell>
          <cell r="BY341">
            <v>0</v>
          </cell>
          <cell r="BZ341">
            <v>0</v>
          </cell>
          <cell r="CA341">
            <v>-0.14154577548949993</v>
          </cell>
          <cell r="CB341">
            <v>4.8254554809375288E-7</v>
          </cell>
          <cell r="CC341">
            <v>0</v>
          </cell>
        </row>
        <row r="342">
          <cell r="BK342" t="str">
            <v>Express Havelock Road</v>
          </cell>
          <cell r="BL342">
            <v>2.4266955726378346E-2</v>
          </cell>
          <cell r="BM342">
            <v>1.2066605704111253E-8</v>
          </cell>
          <cell r="BN342">
            <v>0</v>
          </cell>
          <cell r="BO342">
            <v>2.8847879849605441E-2</v>
          </cell>
          <cell r="BP342">
            <v>8.1143346146157082E-8</v>
          </cell>
          <cell r="BQ342">
            <v>0</v>
          </cell>
          <cell r="BR342">
            <v>8.253450291192553E-4</v>
          </cell>
          <cell r="BS342">
            <v>8.6922556107860164E-7</v>
          </cell>
          <cell r="BT342">
            <v>0</v>
          </cell>
          <cell r="BU342">
            <v>9.320692751952897E-2</v>
          </cell>
          <cell r="BV342">
            <v>0</v>
          </cell>
          <cell r="BW342">
            <v>0</v>
          </cell>
          <cell r="BX342">
            <v>0</v>
          </cell>
          <cell r="BY342">
            <v>0</v>
          </cell>
          <cell r="BZ342">
            <v>0</v>
          </cell>
          <cell r="CA342">
            <v>-0.11998457231462226</v>
          </cell>
          <cell r="CB342">
            <v>4.8254554809375288E-7</v>
          </cell>
          <cell r="CC342">
            <v>0</v>
          </cell>
        </row>
        <row r="343">
          <cell r="BK343" t="str">
            <v>Express Maradana</v>
          </cell>
          <cell r="BL343">
            <v>1.7534911519070406E-3</v>
          </cell>
          <cell r="BM343">
            <v>1.2066605704111253E-8</v>
          </cell>
          <cell r="BN343">
            <v>0</v>
          </cell>
          <cell r="BO343">
            <v>5.344194311281145E-4</v>
          </cell>
          <cell r="BP343">
            <v>8.1143346146157082E-8</v>
          </cell>
          <cell r="BQ343">
            <v>0</v>
          </cell>
          <cell r="BR343">
            <v>5.4986344378364775E-7</v>
          </cell>
          <cell r="BS343">
            <v>8.6922556107860164E-7</v>
          </cell>
          <cell r="BT343">
            <v>0</v>
          </cell>
          <cell r="BU343">
            <v>1.0925190795451787E-2</v>
          </cell>
          <cell r="BV343">
            <v>0</v>
          </cell>
          <cell r="BW343">
            <v>0</v>
          </cell>
          <cell r="BX343">
            <v>0</v>
          </cell>
          <cell r="BY343">
            <v>0</v>
          </cell>
          <cell r="BZ343">
            <v>0</v>
          </cell>
          <cell r="CA343">
            <v>-2.352435264296935E-2</v>
          </cell>
          <cell r="CB343">
            <v>4.8254554809375288E-7</v>
          </cell>
          <cell r="CC343">
            <v>0</v>
          </cell>
        </row>
        <row r="344">
          <cell r="BK344" t="str">
            <v xml:space="preserve">Food City </v>
          </cell>
          <cell r="BL344">
            <v>100</v>
          </cell>
          <cell r="BM344">
            <v>100</v>
          </cell>
          <cell r="BN344">
            <v>0</v>
          </cell>
          <cell r="BO344">
            <v>100</v>
          </cell>
          <cell r="BP344">
            <v>100</v>
          </cell>
          <cell r="BQ344">
            <v>0</v>
          </cell>
          <cell r="BR344">
            <v>100</v>
          </cell>
          <cell r="BS344">
            <v>100</v>
          </cell>
          <cell r="BT344">
            <v>0</v>
          </cell>
          <cell r="BU344">
            <v>100</v>
          </cell>
          <cell r="BV344">
            <v>100</v>
          </cell>
          <cell r="BW344">
            <v>0</v>
          </cell>
          <cell r="BX344">
            <v>100</v>
          </cell>
          <cell r="BY344">
            <v>100</v>
          </cell>
          <cell r="BZ344">
            <v>0</v>
          </cell>
          <cell r="CA344">
            <v>100</v>
          </cell>
          <cell r="CB344">
            <v>100</v>
          </cell>
          <cell r="CC344">
            <v>0</v>
          </cell>
        </row>
        <row r="365">
          <cell r="BJ365">
            <v>26</v>
          </cell>
          <cell r="CB365" t="str">
            <v>Appendix IV</v>
          </cell>
        </row>
        <row r="366">
          <cell r="BJ366" t="str">
            <v>CARGILLS ( CEYLON ) LTD</v>
          </cell>
        </row>
        <row r="368">
          <cell r="BJ368" t="str">
            <v xml:space="preserve"> Contribution % by Profit Centres/Divisions  -Twelve  months ended 31st March 2004 </v>
          </cell>
        </row>
        <row r="369">
          <cell r="BK369" t="str">
            <v>YTD V YTD</v>
          </cell>
          <cell r="CC369">
            <v>38154.357810300928</v>
          </cell>
        </row>
        <row r="370">
          <cell r="BJ370" t="str">
            <v>Profit Centre</v>
          </cell>
          <cell r="BL370" t="str">
            <v>Gross Turnover</v>
          </cell>
          <cell r="BO370" t="str">
            <v>Achieved Gross Profit</v>
          </cell>
          <cell r="BR370" t="str">
            <v>Other Income</v>
          </cell>
          <cell r="BU370" t="str">
            <v>Direct Expenses</v>
          </cell>
          <cell r="BX370" t="str">
            <v>D&amp;A and Finance</v>
          </cell>
          <cell r="CA370" t="str">
            <v>Contribution</v>
          </cell>
        </row>
        <row r="371">
          <cell r="BL371">
            <v>38047</v>
          </cell>
          <cell r="BM371">
            <v>37681</v>
          </cell>
          <cell r="BN371" t="str">
            <v>Var %</v>
          </cell>
          <cell r="BO371">
            <v>38047</v>
          </cell>
          <cell r="BP371">
            <v>37681</v>
          </cell>
          <cell r="BQ371" t="str">
            <v>Var %</v>
          </cell>
          <cell r="BR371">
            <v>38047</v>
          </cell>
          <cell r="BS371">
            <v>37681</v>
          </cell>
          <cell r="BT371" t="str">
            <v>Var %</v>
          </cell>
          <cell r="BU371">
            <v>38047</v>
          </cell>
          <cell r="BV371">
            <v>37681</v>
          </cell>
          <cell r="BW371" t="str">
            <v>Var %</v>
          </cell>
          <cell r="BX371">
            <v>38047</v>
          </cell>
          <cell r="BY371">
            <v>37681</v>
          </cell>
          <cell r="BZ371" t="str">
            <v>Var %</v>
          </cell>
          <cell r="CA371">
            <v>38047</v>
          </cell>
          <cell r="CB371">
            <v>37681</v>
          </cell>
          <cell r="CC371" t="str">
            <v>Var %</v>
          </cell>
        </row>
        <row r="372">
          <cell r="BK372" t="str">
            <v>Staples Street</v>
          </cell>
          <cell r="BL372">
            <v>9.1583968818043928</v>
          </cell>
          <cell r="BM372">
            <v>13.537785219561988</v>
          </cell>
          <cell r="BN372">
            <v>-32.349370792420423</v>
          </cell>
          <cell r="BO372">
            <v>9.5710959108544333</v>
          </cell>
          <cell r="BP372">
            <v>14.054799843050873</v>
          </cell>
          <cell r="BQ372">
            <v>-31.90158509737384</v>
          </cell>
          <cell r="BR372">
            <v>8.8375436887333159</v>
          </cell>
          <cell r="BS372">
            <v>9.2724864889734704</v>
          </cell>
          <cell r="BT372">
            <v>-4.6906814127728724</v>
          </cell>
          <cell r="BU372">
            <v>7.626924035226275</v>
          </cell>
          <cell r="BV372">
            <v>10.914164574257509</v>
          </cell>
          <cell r="BW372">
            <v>30.119030335905162</v>
          </cell>
          <cell r="BX372">
            <v>6.4531425738944268</v>
          </cell>
          <cell r="BY372">
            <v>11.238705982579853</v>
          </cell>
          <cell r="BZ372">
            <v>42.5810891049478</v>
          </cell>
          <cell r="CA372">
            <v>14.645200649246251</v>
          </cell>
          <cell r="CB372">
            <v>19.421190144623118</v>
          </cell>
          <cell r="CC372">
            <v>-24.591641705846389</v>
          </cell>
        </row>
        <row r="373">
          <cell r="BK373" t="str">
            <v>Kandy</v>
          </cell>
          <cell r="BL373">
            <v>6.9548275831999824</v>
          </cell>
          <cell r="BM373">
            <v>9.0287001360512296</v>
          </cell>
          <cell r="BN373">
            <v>-22.969779941747749</v>
          </cell>
          <cell r="BO373">
            <v>6.1670878558934588</v>
          </cell>
          <cell r="BP373">
            <v>7.6737451406541428</v>
          </cell>
          <cell r="BQ373">
            <v>-19.633923946453219</v>
          </cell>
          <cell r="BR373">
            <v>6.0336654357458031</v>
          </cell>
          <cell r="BS373">
            <v>6.6927840214988228</v>
          </cell>
          <cell r="BT373">
            <v>-9.8481974561822589</v>
          </cell>
          <cell r="BU373">
            <v>3.9515748157271102</v>
          </cell>
          <cell r="BV373">
            <v>5.4814645586199333</v>
          </cell>
          <cell r="BW373">
            <v>27.910236881619149</v>
          </cell>
          <cell r="BX373">
            <v>5.3482132185928561</v>
          </cell>
          <cell r="BY373">
            <v>7.3269346509947102</v>
          </cell>
          <cell r="BZ373">
            <v>27.006129120221118</v>
          </cell>
          <cell r="CA373">
            <v>11.366682885020808</v>
          </cell>
          <cell r="CB373">
            <v>11.689995754115566</v>
          </cell>
          <cell r="CC373">
            <v>-2.7657227247574774</v>
          </cell>
        </row>
        <row r="374">
          <cell r="BK374" t="str">
            <v>Mount Lavinia</v>
          </cell>
          <cell r="BL374">
            <v>4.451133489481844</v>
          </cell>
          <cell r="BM374">
            <v>5.8138170658100154</v>
          </cell>
          <cell r="BN374">
            <v>-23.438707494631402</v>
          </cell>
          <cell r="BO374">
            <v>3.4449733098330659</v>
          </cell>
          <cell r="BP374">
            <v>4.1403616016070979</v>
          </cell>
          <cell r="BQ374">
            <v>-16.795351679044511</v>
          </cell>
          <cell r="BR374">
            <v>2.2287393902564152</v>
          </cell>
          <cell r="BS374">
            <v>3.8401640587798158</v>
          </cell>
          <cell r="BT374">
            <v>-41.962391290006998</v>
          </cell>
          <cell r="BU374">
            <v>2.8015037802162199</v>
          </cell>
          <cell r="BV374">
            <v>3.7787344933297309</v>
          </cell>
          <cell r="BW374">
            <v>25.861322483453936</v>
          </cell>
          <cell r="BX374">
            <v>1.1326458909288872</v>
          </cell>
          <cell r="BY374">
            <v>2.1140259883876062</v>
          </cell>
          <cell r="BZ374">
            <v>46.422328904633275</v>
          </cell>
          <cell r="CA374">
            <v>5.1970275594320112</v>
          </cell>
          <cell r="CB374">
            <v>5.2073520353231633</v>
          </cell>
          <cell r="CC374">
            <v>-0.19826729249564387</v>
          </cell>
        </row>
        <row r="375">
          <cell r="BK375" t="str">
            <v>Wellawatte</v>
          </cell>
          <cell r="BL375">
            <v>1.5144460931535431</v>
          </cell>
          <cell r="BM375">
            <v>2.1723548949783287</v>
          </cell>
          <cell r="BN375">
            <v>-30.28551197346366</v>
          </cell>
          <cell r="BO375">
            <v>1.5532021545356309</v>
          </cell>
          <cell r="BP375">
            <v>2.2748310996372521</v>
          </cell>
          <cell r="BQ375">
            <v>-31.722308755876121</v>
          </cell>
          <cell r="BR375">
            <v>0.9544735264216434</v>
          </cell>
          <cell r="BS375">
            <v>1.3231550143418056</v>
          </cell>
          <cell r="BT375">
            <v>-27.863816705071422</v>
          </cell>
          <cell r="BU375">
            <v>2.1649992645195102</v>
          </cell>
          <cell r="BV375">
            <v>2.0062250866046805</v>
          </cell>
          <cell r="BW375">
            <v>-7.9140759915198702</v>
          </cell>
          <cell r="BX375">
            <v>0.3615138671007605</v>
          </cell>
          <cell r="BY375">
            <v>0.68922919569405328</v>
          </cell>
          <cell r="BZ375">
            <v>47.548091497093893</v>
          </cell>
          <cell r="CA375">
            <v>0.33524750008014181</v>
          </cell>
          <cell r="CB375">
            <v>2.8896035130730269</v>
          </cell>
          <cell r="CC375">
            <v>-88.398148792267577</v>
          </cell>
        </row>
        <row r="376">
          <cell r="BK376" t="str">
            <v>Bambalapitiya</v>
          </cell>
          <cell r="BL376">
            <v>3.1027035552671429</v>
          </cell>
          <cell r="BM376">
            <v>4.7741074319893331</v>
          </cell>
          <cell r="BN376">
            <v>-35.009766758133665</v>
          </cell>
          <cell r="BO376">
            <v>3.2549863030230144</v>
          </cell>
          <cell r="BP376">
            <v>4.9025320507131021</v>
          </cell>
          <cell r="BQ376">
            <v>-33.606016863274611</v>
          </cell>
          <cell r="BR376">
            <v>4.5765589318685862</v>
          </cell>
          <cell r="BS376">
            <v>5.317402294835583</v>
          </cell>
          <cell r="BT376">
            <v>-13.932430195972302</v>
          </cell>
          <cell r="BU376">
            <v>3.462823254458808</v>
          </cell>
          <cell r="BV376">
            <v>5.2038993061762975</v>
          </cell>
          <cell r="BW376">
            <v>33.457143370377608</v>
          </cell>
          <cell r="BX376">
            <v>0.89093181372226082</v>
          </cell>
          <cell r="BY376">
            <v>1.5335257252085692</v>
          </cell>
          <cell r="BZ376">
            <v>41.903040876533815</v>
          </cell>
          <cell r="CA376">
            <v>3.8888161204618021</v>
          </cell>
          <cell r="CB376">
            <v>5.1920380013847423</v>
          </cell>
          <cell r="CC376">
            <v>-25.100391803283493</v>
          </cell>
        </row>
        <row r="377">
          <cell r="BK377" t="str">
            <v>Nuwara Eliya</v>
          </cell>
          <cell r="BL377">
            <v>1.7162902492918284</v>
          </cell>
          <cell r="BM377">
            <v>2.0667229355076788</v>
          </cell>
          <cell r="BN377">
            <v>-16.955958643279324</v>
          </cell>
          <cell r="BO377">
            <v>1.5273475896779294</v>
          </cell>
          <cell r="BP377">
            <v>1.6912610034894335</v>
          </cell>
          <cell r="BQ377">
            <v>-9.6917869845822544</v>
          </cell>
          <cell r="BR377">
            <v>1.8615443125445656</v>
          </cell>
          <cell r="BS377">
            <v>2.7759115299873187</v>
          </cell>
          <cell r="BT377">
            <v>-32.939350104105451</v>
          </cell>
          <cell r="BU377">
            <v>1.5780795441043887</v>
          </cell>
          <cell r="BV377">
            <v>2.1225682266364685</v>
          </cell>
          <cell r="BW377">
            <v>25.652352452053083</v>
          </cell>
          <cell r="BX377">
            <v>2.4575163914333786</v>
          </cell>
          <cell r="BY377">
            <v>4.2875047226948517</v>
          </cell>
          <cell r="BZ377">
            <v>42.681896572028947</v>
          </cell>
          <cell r="CA377">
            <v>1.2441774422436469</v>
          </cell>
          <cell r="CB377">
            <v>0.57367526624900145</v>
          </cell>
          <cell r="CC377">
            <v>116.87834833437228</v>
          </cell>
        </row>
        <row r="378">
          <cell r="BK378" t="str">
            <v>Bandarawela</v>
          </cell>
          <cell r="BL378">
            <v>3.6058234667497322</v>
          </cell>
          <cell r="BM378">
            <v>4.7283986696964204</v>
          </cell>
          <cell r="BN378">
            <v>-23.741128474235897</v>
          </cell>
          <cell r="BO378">
            <v>1.9668418025492711</v>
          </cell>
          <cell r="BP378">
            <v>2.4151565520347358</v>
          </cell>
          <cell r="BQ378">
            <v>-18.562554427693961</v>
          </cell>
          <cell r="BR378">
            <v>1.1653651424886686</v>
          </cell>
          <cell r="BS378">
            <v>2.2026600644226035</v>
          </cell>
          <cell r="BT378">
            <v>-47.092828289227974</v>
          </cell>
          <cell r="BU378">
            <v>1.5200538791292513</v>
          </cell>
          <cell r="BV378">
            <v>1.9844459324193247</v>
          </cell>
          <cell r="BW378">
            <v>23.401597680412124</v>
          </cell>
          <cell r="BX378">
            <v>0.60929460265389446</v>
          </cell>
          <cell r="BY378">
            <v>1.1435715104951152</v>
          </cell>
          <cell r="BZ378">
            <v>46.720026070770402</v>
          </cell>
          <cell r="CA378">
            <v>3.1240824971279926</v>
          </cell>
          <cell r="CB378">
            <v>3.468838648473036</v>
          </cell>
          <cell r="CC378">
            <v>-9.9386620792178739</v>
          </cell>
        </row>
        <row r="379">
          <cell r="BK379" t="str">
            <v>Maharagama</v>
          </cell>
          <cell r="BL379">
            <v>3.1030121809485003</v>
          </cell>
          <cell r="BM379">
            <v>3.7612018595357664</v>
          </cell>
          <cell r="BN379">
            <v>-17.499451057607008</v>
          </cell>
          <cell r="BO379">
            <v>3.3973218742753262</v>
          </cell>
          <cell r="BP379">
            <v>3.9618015446446648</v>
          </cell>
          <cell r="BQ379">
            <v>-14.248055184196943</v>
          </cell>
          <cell r="BR379">
            <v>2.4548436221946068</v>
          </cell>
          <cell r="BS379">
            <v>3.4661429085606605</v>
          </cell>
          <cell r="BT379">
            <v>-29.17650290379985</v>
          </cell>
          <cell r="BU379">
            <v>2.885366968963111</v>
          </cell>
          <cell r="BV379">
            <v>3.640597811287523</v>
          </cell>
          <cell r="BW379">
            <v>20.74469308262643</v>
          </cell>
          <cell r="BX379">
            <v>1.0006219107483405</v>
          </cell>
          <cell r="BY379">
            <v>1.9199245996907488</v>
          </cell>
          <cell r="BZ379">
            <v>47.882228765154878</v>
          </cell>
          <cell r="CA379">
            <v>4.9622527922605544</v>
          </cell>
          <cell r="CB379">
            <v>4.9022727625263567</v>
          </cell>
          <cell r="CC379">
            <v>1.2235147377496667</v>
          </cell>
        </row>
        <row r="380">
          <cell r="BK380" t="str">
            <v>Kiribathgoda</v>
          </cell>
          <cell r="BL380">
            <v>1.6882716025874391</v>
          </cell>
          <cell r="BM380">
            <v>3.086850759948597</v>
          </cell>
          <cell r="BN380">
            <v>-45.307637658013874</v>
          </cell>
          <cell r="BO380">
            <v>1.8311208394476852</v>
          </cell>
          <cell r="BP380">
            <v>3.2959568661399401</v>
          </cell>
          <cell r="BQ380">
            <v>-44.443422234702894</v>
          </cell>
          <cell r="BR380">
            <v>0.99367657183910962</v>
          </cell>
          <cell r="BS380">
            <v>2.2936631842564359</v>
          </cell>
          <cell r="BT380">
            <v>-56.677310833619998</v>
          </cell>
          <cell r="BU380">
            <v>1.5843055832904371</v>
          </cell>
          <cell r="BV380">
            <v>2.6081150460955</v>
          </cell>
          <cell r="BW380">
            <v>39.254766170601457</v>
          </cell>
          <cell r="BX380">
            <v>0.50066699833720485</v>
          </cell>
          <cell r="BY380">
            <v>0.99259545657224646</v>
          </cell>
          <cell r="BZ380">
            <v>49.559813615692931</v>
          </cell>
          <cell r="CA380">
            <v>2.5178454917858089</v>
          </cell>
          <cell r="CB380">
            <v>4.8616930036809967</v>
          </cell>
          <cell r="CC380">
            <v>-48.21052069969371</v>
          </cell>
        </row>
        <row r="381">
          <cell r="BK381" t="str">
            <v>Nugegoda</v>
          </cell>
          <cell r="BL381">
            <v>3.3386908992210405</v>
          </cell>
          <cell r="BM381">
            <v>4.8319124455088369</v>
          </cell>
          <cell r="BN381">
            <v>-30.903323748668399</v>
          </cell>
          <cell r="BO381">
            <v>3.6799062647899832</v>
          </cell>
          <cell r="BP381">
            <v>5.187322487175507</v>
          </cell>
          <cell r="BQ381">
            <v>-29.059620374716879</v>
          </cell>
          <cell r="BR381">
            <v>4.7009444225707773</v>
          </cell>
          <cell r="BS381">
            <v>6.0040376242371858</v>
          </cell>
          <cell r="BT381">
            <v>-21.703614854211821</v>
          </cell>
          <cell r="BU381">
            <v>3.6562317673360907</v>
          </cell>
          <cell r="BV381">
            <v>5.1044193865313119</v>
          </cell>
          <cell r="BW381">
            <v>28.371250665971072</v>
          </cell>
          <cell r="BX381">
            <v>1.7608690036772401</v>
          </cell>
          <cell r="BY381">
            <v>1.6650097563260535</v>
          </cell>
          <cell r="BZ381">
            <v>-5.7572784175574974</v>
          </cell>
          <cell r="CA381">
            <v>4.612629706658292</v>
          </cell>
          <cell r="CB381">
            <v>6.3557487162344524</v>
          </cell>
          <cell r="CC381">
            <v>-27.425864164889362</v>
          </cell>
        </row>
        <row r="382">
          <cell r="BK382" t="str">
            <v>Fort</v>
          </cell>
          <cell r="BL382">
            <v>2.392146148437539</v>
          </cell>
          <cell r="BM382">
            <v>3.3272083525152691</v>
          </cell>
          <cell r="BN382">
            <v>-28.103506153164449</v>
          </cell>
          <cell r="BO382">
            <v>1.8108672446299541</v>
          </cell>
          <cell r="BP382">
            <v>2.46789574747595</v>
          </cell>
          <cell r="BQ382">
            <v>-26.623025041393035</v>
          </cell>
          <cell r="BR382">
            <v>1.7981699654545862</v>
          </cell>
          <cell r="BS382">
            <v>2.6986350125338263</v>
          </cell>
          <cell r="BT382">
            <v>-33.367426232040451</v>
          </cell>
          <cell r="BU382">
            <v>1.1449196698042787</v>
          </cell>
          <cell r="BV382">
            <v>1.6193777590015839</v>
          </cell>
          <cell r="BW382">
            <v>29.298790017335364</v>
          </cell>
          <cell r="BX382">
            <v>0.48024453084934032</v>
          </cell>
          <cell r="BY382">
            <v>0.97744491351297624</v>
          </cell>
          <cell r="BZ382">
            <v>50.867355877547901</v>
          </cell>
          <cell r="CA382">
            <v>3.6999581492385998</v>
          </cell>
          <cell r="CB382">
            <v>4.4906076952348588</v>
          </cell>
          <cell r="CC382">
            <v>-17.606738322638268</v>
          </cell>
        </row>
        <row r="383">
          <cell r="BK383" t="str">
            <v>Malabe</v>
          </cell>
          <cell r="BL383">
            <v>2.3819094034648089</v>
          </cell>
          <cell r="BM383">
            <v>3.025406982707795</v>
          </cell>
          <cell r="BN383">
            <v>-21.269785616315456</v>
          </cell>
          <cell r="BO383">
            <v>2.5040864088823893</v>
          </cell>
          <cell r="BP383">
            <v>3.1806786104724414</v>
          </cell>
          <cell r="BQ383">
            <v>-21.271944903906988</v>
          </cell>
          <cell r="BR383">
            <v>2.0009744166172334</v>
          </cell>
          <cell r="BS383">
            <v>2.7843893755308504</v>
          </cell>
          <cell r="BT383">
            <v>-28.135969983158592</v>
          </cell>
          <cell r="BU383">
            <v>2.3841701587347037</v>
          </cell>
          <cell r="BV383">
            <v>3.4707398576936139</v>
          </cell>
          <cell r="BW383">
            <v>31.306572762873696</v>
          </cell>
          <cell r="BX383">
            <v>0.74195773457809056</v>
          </cell>
          <cell r="BY383">
            <v>3.2473493798686985</v>
          </cell>
          <cell r="BZ383">
            <v>77.151896892348219</v>
          </cell>
          <cell r="CA383">
            <v>3.1346542178034071</v>
          </cell>
          <cell r="CB383">
            <v>2.5032592619412859</v>
          </cell>
          <cell r="CC383">
            <v>25.222914999722096</v>
          </cell>
        </row>
        <row r="384">
          <cell r="BK384" t="str">
            <v>Negombo</v>
          </cell>
          <cell r="BL384">
            <v>4.0463593544622656</v>
          </cell>
          <cell r="BM384">
            <v>4.1192996095383201</v>
          </cell>
          <cell r="BN384">
            <v>-1.7706955548258714</v>
          </cell>
          <cell r="BO384">
            <v>2.9594161866900315</v>
          </cell>
          <cell r="BP384">
            <v>4.0177148657117714</v>
          </cell>
          <cell r="BQ384">
            <v>-26.340810993172699</v>
          </cell>
          <cell r="BR384">
            <v>7.6376658136605604</v>
          </cell>
          <cell r="BS384">
            <v>5.9142617852496864</v>
          </cell>
          <cell r="BT384">
            <v>29.139799538618426</v>
          </cell>
          <cell r="BU384">
            <v>2.7103269993208912</v>
          </cell>
          <cell r="BV384">
            <v>3.6366438519191115</v>
          </cell>
          <cell r="BW384">
            <v>25.471750611745748</v>
          </cell>
          <cell r="BX384">
            <v>1.3267180469377562</v>
          </cell>
          <cell r="BY384">
            <v>4.3736379875278999</v>
          </cell>
          <cell r="BZ384">
            <v>69.6655724428703</v>
          </cell>
          <cell r="CA384">
            <v>5.4531412440094762</v>
          </cell>
          <cell r="CB384">
            <v>5.1779325702750993</v>
          </cell>
          <cell r="CC384">
            <v>5.3150300819725667</v>
          </cell>
        </row>
        <row r="385">
          <cell r="BK385" t="str">
            <v>Rajagiriya</v>
          </cell>
          <cell r="BL385">
            <v>2.1399331721929569</v>
          </cell>
          <cell r="BM385">
            <v>2.8995436779082429</v>
          </cell>
          <cell r="BN385">
            <v>-26.197587968851565</v>
          </cell>
          <cell r="BO385">
            <v>2.3341768035352919</v>
          </cell>
          <cell r="BP385">
            <v>3.0656825586475813</v>
          </cell>
          <cell r="BQ385">
            <v>-23.861105679349642</v>
          </cell>
          <cell r="BR385">
            <v>1.5303719400811706</v>
          </cell>
          <cell r="BS385">
            <v>2.217858080716951</v>
          </cell>
          <cell r="BT385">
            <v>-30.997751687228863</v>
          </cell>
          <cell r="BU385">
            <v>1.9419824633482679</v>
          </cell>
          <cell r="BV385">
            <v>2.7228131639059217</v>
          </cell>
          <cell r="BW385">
            <v>28.677351457987626</v>
          </cell>
          <cell r="BX385">
            <v>1.0470729060520563</v>
          </cell>
          <cell r="BY385">
            <v>2.8085858148625937</v>
          </cell>
          <cell r="BZ385">
            <v>62.718856567917157</v>
          </cell>
          <cell r="CA385">
            <v>3.3468237121296194</v>
          </cell>
          <cell r="CB385">
            <v>3.5527215481628698</v>
          </cell>
          <cell r="CC385">
            <v>-5.7954960230339809</v>
          </cell>
        </row>
        <row r="386">
          <cell r="BK386" t="str">
            <v>Boralesgamuwa</v>
          </cell>
          <cell r="BL386">
            <v>1.0014675945069365</v>
          </cell>
          <cell r="BM386">
            <v>1.2026001598223799</v>
          </cell>
          <cell r="BN386">
            <v>-16.724807798557922</v>
          </cell>
          <cell r="BO386">
            <v>1.009071383854705</v>
          </cell>
          <cell r="BP386">
            <v>1.2532584941494325</v>
          </cell>
          <cell r="BQ386">
            <v>-19.484177560707742</v>
          </cell>
          <cell r="BR386">
            <v>0.65980568826543862</v>
          </cell>
          <cell r="BS386">
            <v>1.4196571109881784</v>
          </cell>
          <cell r="BT386">
            <v>-53.523587973565753</v>
          </cell>
          <cell r="BU386">
            <v>1.31132716672461</v>
          </cell>
          <cell r="BV386">
            <v>1.7843006638965269</v>
          </cell>
          <cell r="BW386">
            <v>26.507499926556378</v>
          </cell>
          <cell r="BX386">
            <v>0.66770857428480146</v>
          </cell>
          <cell r="BY386">
            <v>2.1417378572518442</v>
          </cell>
          <cell r="BZ386">
            <v>68.823982261696258</v>
          </cell>
          <cell r="CA386">
            <v>0.31827443666649868</v>
          </cell>
          <cell r="CB386">
            <v>8.0809204642665083E-2</v>
          </cell>
          <cell r="CC386">
            <v>293.85913779735228</v>
          </cell>
        </row>
        <row r="387">
          <cell r="BK387" t="str">
            <v>Pitakotte</v>
          </cell>
          <cell r="BL387">
            <v>2.0436336994892943</v>
          </cell>
          <cell r="BM387">
            <v>2.8069195661968664</v>
          </cell>
          <cell r="BN387">
            <v>-27.193008160962677</v>
          </cell>
          <cell r="BO387">
            <v>2.2365453150064698</v>
          </cell>
          <cell r="BP387">
            <v>2.9850254971219807</v>
          </cell>
          <cell r="BQ387">
            <v>-25.074498788608668</v>
          </cell>
          <cell r="BR387">
            <v>1.8784709237395818</v>
          </cell>
          <cell r="BS387">
            <v>2.9662007860861146</v>
          </cell>
          <cell r="BT387">
            <v>-36.670810265065917</v>
          </cell>
          <cell r="BU387">
            <v>1.9926579507662916</v>
          </cell>
          <cell r="BV387">
            <v>2.8649281345965081</v>
          </cell>
          <cell r="BW387">
            <v>30.446494391841551</v>
          </cell>
          <cell r="BX387">
            <v>2.3829435037680979</v>
          </cell>
          <cell r="BY387">
            <v>4.4121077590367745</v>
          </cell>
          <cell r="BZ387">
            <v>45.990813599522596</v>
          </cell>
          <cell r="CA387">
            <v>2.6329725384527318</v>
          </cell>
          <cell r="CB387">
            <v>2.8900685066624381</v>
          </cell>
          <cell r="CC387">
            <v>-8.8958433897683111</v>
          </cell>
        </row>
        <row r="388">
          <cell r="BK388" t="str">
            <v>Panadura</v>
          </cell>
          <cell r="BL388">
            <v>2.4085378837201845</v>
          </cell>
          <cell r="BM388">
            <v>2.6861493215034455</v>
          </cell>
          <cell r="BN388">
            <v>-10.334922022424319</v>
          </cell>
          <cell r="BO388">
            <v>2.5685003854011961</v>
          </cell>
          <cell r="BP388">
            <v>2.8609449445800861</v>
          </cell>
          <cell r="BQ388">
            <v>-10.221956900390945</v>
          </cell>
          <cell r="BR388">
            <v>1.7413099628766879</v>
          </cell>
          <cell r="BS388">
            <v>2.2795826281725087</v>
          </cell>
          <cell r="BT388">
            <v>-23.612772734952017</v>
          </cell>
          <cell r="BU388">
            <v>2.4146718917302539</v>
          </cell>
          <cell r="BV388">
            <v>3.250130386082843</v>
          </cell>
          <cell r="BW388">
            <v>25.705383941827307</v>
          </cell>
          <cell r="BX388">
            <v>3.4983738126201223</v>
          </cell>
          <cell r="BY388">
            <v>5.6825323582161085</v>
          </cell>
          <cell r="BZ388">
            <v>38.436359142557514</v>
          </cell>
          <cell r="CA388">
            <v>2.3864196899080161</v>
          </cell>
          <cell r="CB388">
            <v>1.3258672829026241</v>
          </cell>
          <cell r="CC388">
            <v>79.989333825599971</v>
          </cell>
        </row>
        <row r="389">
          <cell r="BK389" t="str">
            <v>Kurunagala</v>
          </cell>
          <cell r="BL389">
            <v>1.8260719840448532</v>
          </cell>
          <cell r="BM389">
            <v>1.9132743964703631</v>
          </cell>
          <cell r="BN389">
            <v>-4.5577577678550583</v>
          </cell>
          <cell r="BO389">
            <v>1.9081862505816152</v>
          </cell>
          <cell r="BP389">
            <v>2.0756960570973439</v>
          </cell>
          <cell r="BQ389">
            <v>-8.0700546663838004</v>
          </cell>
          <cell r="BR389">
            <v>1.961142682596561</v>
          </cell>
          <cell r="BS389">
            <v>3.0177077856023757</v>
          </cell>
          <cell r="BT389">
            <v>-35.012174076189083</v>
          </cell>
          <cell r="BU389">
            <v>2.0951386531281186</v>
          </cell>
          <cell r="BV389">
            <v>2.8266372613051285</v>
          </cell>
          <cell r="BW389">
            <v>25.878757709408344</v>
          </cell>
          <cell r="BX389">
            <v>3.6550855037164514</v>
          </cell>
          <cell r="BY389">
            <v>6.6422377608861378</v>
          </cell>
          <cell r="BZ389">
            <v>44.972076651034726</v>
          </cell>
          <cell r="CA389">
            <v>0.99092423236455029</v>
          </cell>
          <cell r="CB389">
            <v>-0.13481757150399176</v>
          </cell>
          <cell r="CC389">
            <v>835.01118682827666</v>
          </cell>
        </row>
        <row r="390">
          <cell r="BK390" t="str">
            <v>Matara</v>
          </cell>
          <cell r="BL390">
            <v>1.6918717088000941</v>
          </cell>
          <cell r="BM390">
            <v>1.8342699362131509</v>
          </cell>
          <cell r="BN390">
            <v>-7.7632100162442779</v>
          </cell>
          <cell r="BO390">
            <v>1.8093956598187231</v>
          </cell>
          <cell r="BP390">
            <v>1.9608183771951564</v>
          </cell>
          <cell r="BQ390">
            <v>-7.7224244293872468</v>
          </cell>
          <cell r="BR390">
            <v>1.1174597577270382</v>
          </cell>
          <cell r="BS390">
            <v>1.7178811827755776</v>
          </cell>
          <cell r="BT390">
            <v>-34.95127783392094</v>
          </cell>
          <cell r="BU390">
            <v>2.0542520118602918</v>
          </cell>
          <cell r="BV390">
            <v>2.7176319996359353</v>
          </cell>
          <cell r="BW390">
            <v>24.410221393643894</v>
          </cell>
          <cell r="BX390">
            <v>3.3198739841605018</v>
          </cell>
          <cell r="BY390">
            <v>5.333042950803204</v>
          </cell>
          <cell r="BZ390">
            <v>37.748973432503504</v>
          </cell>
          <cell r="CA390">
            <v>0.59929080309094584</v>
          </cell>
          <cell r="CB390">
            <v>-0.31147980115025298</v>
          </cell>
          <cell r="CC390">
            <v>292.40117685893131</v>
          </cell>
        </row>
        <row r="391">
          <cell r="BK391" t="str">
            <v>Wattala</v>
          </cell>
          <cell r="BL391">
            <v>2.6515578317652206</v>
          </cell>
          <cell r="BM391">
            <v>2.0471309340556898</v>
          </cell>
          <cell r="BN391">
            <v>29.525561245467852</v>
          </cell>
          <cell r="BO391">
            <v>1.7978884263286934</v>
          </cell>
          <cell r="BP391">
            <v>1.9926001002844622</v>
          </cell>
          <cell r="BQ391">
            <v>-9.7717386407825604</v>
          </cell>
          <cell r="BR391">
            <v>5.0658737171228667</v>
          </cell>
          <cell r="BS391">
            <v>3.5421678616083021</v>
          </cell>
          <cell r="BT391">
            <v>43.0161955911015</v>
          </cell>
          <cell r="BU391">
            <v>2.4003724043434445</v>
          </cell>
          <cell r="BV391">
            <v>3.0680337177755619</v>
          </cell>
          <cell r="BW391">
            <v>21.761863618506663</v>
          </cell>
          <cell r="BX391">
            <v>5.0855208995170429</v>
          </cell>
          <cell r="BY391">
            <v>8.7840491735927611</v>
          </cell>
          <cell r="BZ391">
            <v>42.105049743966589</v>
          </cell>
          <cell r="CA391">
            <v>0.49000340212950344</v>
          </cell>
          <cell r="CB391">
            <v>-1.175673561523854</v>
          </cell>
          <cell r="CC391">
            <v>141.67852524423392</v>
          </cell>
        </row>
        <row r="392">
          <cell r="BK392" t="str">
            <v>Pelawatte</v>
          </cell>
          <cell r="BL392">
            <v>2.4889874316721574</v>
          </cell>
          <cell r="BM392">
            <v>2.9870302775794988</v>
          </cell>
          <cell r="BN392">
            <v>-16.673511803533639</v>
          </cell>
          <cell r="BO392">
            <v>2.7853784240271726</v>
          </cell>
          <cell r="BP392">
            <v>3.2341137233049753</v>
          </cell>
          <cell r="BQ392">
            <v>-13.875062464384685</v>
          </cell>
          <cell r="BR392">
            <v>2.1746939367424134</v>
          </cell>
          <cell r="BS392">
            <v>2.9426976482734775</v>
          </cell>
          <cell r="BT392">
            <v>-26.098627970891357</v>
          </cell>
          <cell r="BU392">
            <v>2.3922734923376545</v>
          </cell>
          <cell r="BV392">
            <v>3.1591972836540987</v>
          </cell>
          <cell r="BW392">
            <v>24.275906898393458</v>
          </cell>
          <cell r="BX392">
            <v>3.6876498150002379</v>
          </cell>
          <cell r="BY392">
            <v>6.6171785515755754</v>
          </cell>
          <cell r="BZ392">
            <v>44.271568520359864</v>
          </cell>
          <cell r="CA392">
            <v>3.2187654109173915</v>
          </cell>
          <cell r="CB392">
            <v>2.5405782332795135</v>
          </cell>
          <cell r="CC392">
            <v>26.694205624301443</v>
          </cell>
        </row>
        <row r="393">
          <cell r="BK393" t="str">
            <v>Gampaha</v>
          </cell>
          <cell r="BL393">
            <v>2.1553604628517959</v>
          </cell>
          <cell r="BM393">
            <v>1.8679287300693408</v>
          </cell>
          <cell r="BN393">
            <v>15.387724818161836</v>
          </cell>
          <cell r="BO393">
            <v>1.8415662098618197</v>
          </cell>
          <cell r="BP393">
            <v>1.9796537880825595</v>
          </cell>
          <cell r="BQ393">
            <v>-6.975339781734653</v>
          </cell>
          <cell r="BR393">
            <v>2.5403148310228101</v>
          </cell>
          <cell r="BS393">
            <v>2.9652840817143629</v>
          </cell>
          <cell r="BT393">
            <v>-14.331485246629697</v>
          </cell>
          <cell r="BU393">
            <v>2.1839296602949316</v>
          </cell>
          <cell r="BV393">
            <v>2.8716106786295788</v>
          </cell>
          <cell r="BW393">
            <v>23.947571425762693</v>
          </cell>
          <cell r="BX393">
            <v>5.8067755789806021</v>
          </cell>
          <cell r="BY393">
            <v>9.9784240722896946</v>
          </cell>
          <cell r="BZ393">
            <v>41.806686738177959</v>
          </cell>
          <cell r="CA393">
            <v>0.12430989515129652</v>
          </cell>
          <cell r="CB393">
            <v>-1.2592822187735795</v>
          </cell>
          <cell r="CC393">
            <v>109.87148816191198</v>
          </cell>
        </row>
        <row r="394">
          <cell r="BK394" t="str">
            <v>Ja-ela</v>
          </cell>
          <cell r="BL394">
            <v>2.1219822832598294</v>
          </cell>
          <cell r="BM394">
            <v>2.0910666336409731</v>
          </cell>
          <cell r="BN394">
            <v>1.478463149929653</v>
          </cell>
          <cell r="BO394">
            <v>2.3289854306157265</v>
          </cell>
          <cell r="BP394">
            <v>2.2380318851958361</v>
          </cell>
          <cell r="BQ394">
            <v>4.0639968546262093</v>
          </cell>
          <cell r="BR394">
            <v>5.4866887582417849</v>
          </cell>
          <cell r="BS394">
            <v>6.0565485310922229</v>
          </cell>
          <cell r="BT394">
            <v>-9.408985496029219</v>
          </cell>
          <cell r="BU394">
            <v>2.3276999348701479</v>
          </cell>
          <cell r="BV394">
            <v>2.842308304306409</v>
          </cell>
          <cell r="BW394">
            <v>18.105297326703543</v>
          </cell>
          <cell r="BX394">
            <v>7.7690340686532533</v>
          </cell>
          <cell r="BY394">
            <v>5.7570154215430014</v>
          </cell>
          <cell r="BZ394">
            <v>-34.948988317474203</v>
          </cell>
          <cell r="CA394">
            <v>1.7192815036756242</v>
          </cell>
          <cell r="CB394">
            <v>1.3165692146330092</v>
          </cell>
          <cell r="CC394">
            <v>30.588007418574652</v>
          </cell>
        </row>
        <row r="395">
          <cell r="BK395" t="str">
            <v>Piliyandala</v>
          </cell>
          <cell r="BL395">
            <v>1.5620485013246306</v>
          </cell>
          <cell r="BM395">
            <v>1.1073767245321606</v>
          </cell>
          <cell r="BN395">
            <v>41.058455241106643</v>
          </cell>
          <cell r="BO395">
            <v>0</v>
          </cell>
          <cell r="BP395">
            <v>1.1464838999185445</v>
          </cell>
          <cell r="BQ395">
            <v>-100</v>
          </cell>
          <cell r="BR395">
            <v>1.4368248933096419</v>
          </cell>
          <cell r="BS395">
            <v>1.5894809167589865</v>
          </cell>
          <cell r="BT395">
            <v>-9.6041432042239396</v>
          </cell>
          <cell r="BU395">
            <v>1.9413551112653451</v>
          </cell>
          <cell r="BV395">
            <v>2.0485294197815471</v>
          </cell>
          <cell r="BW395">
            <v>5.23176809086935</v>
          </cell>
          <cell r="BX395">
            <v>6.9920035754597407</v>
          </cell>
          <cell r="BY395">
            <v>0</v>
          </cell>
          <cell r="BZ395">
            <v>0</v>
          </cell>
          <cell r="CA395">
            <v>-0.92544804463443897</v>
          </cell>
          <cell r="CB395">
            <v>-0.20631722820118648</v>
          </cell>
          <cell r="CC395">
            <v>-348.5558732555312</v>
          </cell>
        </row>
        <row r="396">
          <cell r="BK396" t="str">
            <v>Chilaw</v>
          </cell>
          <cell r="BL396">
            <v>1.3222892560681725</v>
          </cell>
          <cell r="BM396">
            <v>1.2159579457841994</v>
          </cell>
          <cell r="BN396">
            <v>8.7446536002852966</v>
          </cell>
          <cell r="BO396">
            <v>1.3090116738831239</v>
          </cell>
          <cell r="BP396">
            <v>1.2502245638224201</v>
          </cell>
          <cell r="BQ396">
            <v>4.7021240632937875</v>
          </cell>
          <cell r="BR396">
            <v>1.6599893984716321</v>
          </cell>
          <cell r="BS396">
            <v>1.7757200083085387</v>
          </cell>
          <cell r="BT396">
            <v>-6.5173906525469505</v>
          </cell>
          <cell r="BU396">
            <v>1.8830219279152967</v>
          </cell>
          <cell r="BV396">
            <v>2.5273334873133622</v>
          </cell>
          <cell r="BW396">
            <v>25.49372936465894</v>
          </cell>
          <cell r="BX396">
            <v>5.1466510167443476</v>
          </cell>
          <cell r="BY396">
            <v>0</v>
          </cell>
          <cell r="BZ396">
            <v>0</v>
          </cell>
          <cell r="CA396">
            <v>-1.0018118551062054</v>
          </cell>
          <cell r="CB396">
            <v>-0.77604278004417016</v>
          </cell>
          <cell r="CC396">
            <v>-29.092349142038938</v>
          </cell>
        </row>
        <row r="397">
          <cell r="BK397" t="str">
            <v>Ratnapura</v>
          </cell>
          <cell r="BL397">
            <v>2.4431943576127093</v>
          </cell>
          <cell r="BM397">
            <v>1.3253125905150136</v>
          </cell>
          <cell r="BN397">
            <v>84.348535967902421</v>
          </cell>
          <cell r="BO397">
            <v>1.924502648814242</v>
          </cell>
          <cell r="BP397">
            <v>1.3949435040721148</v>
          </cell>
          <cell r="BQ397">
            <v>37.962766463031649</v>
          </cell>
          <cell r="BR397">
            <v>4.1864831181091677</v>
          </cell>
          <cell r="BS397">
            <v>1.8381029990342075</v>
          </cell>
          <cell r="BT397">
            <v>127.7610732537223</v>
          </cell>
          <cell r="BU397">
            <v>2.2462359707545501</v>
          </cell>
          <cell r="BV397">
            <v>2.0201714993935678</v>
          </cell>
          <cell r="BW397">
            <v>-11.190360394097445</v>
          </cell>
          <cell r="BX397">
            <v>8.1633393189700065</v>
          </cell>
          <cell r="BY397">
            <v>0</v>
          </cell>
          <cell r="BZ397">
            <v>0</v>
          </cell>
          <cell r="CA397">
            <v>7.3417894386682725E-2</v>
          </cell>
          <cell r="CB397">
            <v>0.6285065498216249</v>
          </cell>
          <cell r="CC397">
            <v>-88.318674736560922</v>
          </cell>
        </row>
        <row r="398">
          <cell r="BK398" t="str">
            <v>Nawala</v>
          </cell>
          <cell r="BL398">
            <v>3.8293027979912866</v>
          </cell>
          <cell r="BM398">
            <v>0.71007656609843872</v>
          </cell>
          <cell r="BN398">
            <v>0</v>
          </cell>
          <cell r="BO398">
            <v>3.5812199990131273</v>
          </cell>
          <cell r="BP398">
            <v>0.73905291207455481</v>
          </cell>
          <cell r="BQ398">
            <v>0</v>
          </cell>
          <cell r="BR398">
            <v>5.4430988294130964</v>
          </cell>
          <cell r="BS398">
            <v>0.62452397495712209</v>
          </cell>
          <cell r="BT398">
            <v>0</v>
          </cell>
          <cell r="BU398">
            <v>2.9693226259418641</v>
          </cell>
          <cell r="BV398">
            <v>0.79643013154204523</v>
          </cell>
          <cell r="BW398">
            <v>-272.82901642516617</v>
          </cell>
          <cell r="BX398">
            <v>8.4963935711315202</v>
          </cell>
          <cell r="BY398">
            <v>0</v>
          </cell>
          <cell r="BZ398">
            <v>0</v>
          </cell>
          <cell r="CA398">
            <v>4.1011017345951934</v>
          </cell>
          <cell r="CB398">
            <v>0</v>
          </cell>
          <cell r="CC398">
            <v>0</v>
          </cell>
        </row>
        <row r="399">
          <cell r="BK399" t="str">
            <v>Collupitiya</v>
          </cell>
          <cell r="BL399">
            <v>2.1565220520631208</v>
          </cell>
          <cell r="BM399">
            <v>1.4019106643096282</v>
          </cell>
          <cell r="BN399">
            <v>53.827351982167947</v>
          </cell>
          <cell r="BO399">
            <v>2.3388321995319012</v>
          </cell>
          <cell r="BP399">
            <v>1.4422718973638291</v>
          </cell>
          <cell r="BQ399">
            <v>62.163057035694621</v>
          </cell>
          <cell r="BR399">
            <v>1.5521735506321772</v>
          </cell>
          <cell r="BS399">
            <v>0.88051158440094612</v>
          </cell>
          <cell r="BT399">
            <v>76.280877858999958</v>
          </cell>
          <cell r="BU399">
            <v>2.4128974092618232</v>
          </cell>
          <cell r="BV399">
            <v>1.7278292971276557</v>
          </cell>
          <cell r="BW399">
            <v>-39.649062165633211</v>
          </cell>
          <cell r="BX399">
            <v>3.4733835072049928</v>
          </cell>
          <cell r="BY399">
            <v>0</v>
          </cell>
          <cell r="BZ399">
            <v>0</v>
          </cell>
          <cell r="CA399">
            <v>1.5949535303452407</v>
          </cell>
          <cell r="CB399">
            <v>0</v>
          </cell>
          <cell r="CC399">
            <v>0</v>
          </cell>
        </row>
        <row r="400">
          <cell r="BK400" t="str">
            <v>Dehiwala</v>
          </cell>
          <cell r="BL400">
            <v>2.1595147908548107</v>
          </cell>
          <cell r="BM400">
            <v>1.5417644970155249</v>
          </cell>
          <cell r="BN400">
            <v>40.067746730132761</v>
          </cell>
          <cell r="BO400">
            <v>2.2807401826232674</v>
          </cell>
          <cell r="BP400">
            <v>1.586390707505531</v>
          </cell>
          <cell r="BQ400">
            <v>43.769134036945026</v>
          </cell>
          <cell r="BR400">
            <v>1.7285518107096085</v>
          </cell>
          <cell r="BS400">
            <v>1.0353327956624343</v>
          </cell>
          <cell r="BT400">
            <v>0</v>
          </cell>
          <cell r="BU400">
            <v>2.7294158644988311</v>
          </cell>
          <cell r="BV400">
            <v>1.8793356595728634</v>
          </cell>
          <cell r="BW400">
            <v>-45.233016284018923</v>
          </cell>
          <cell r="BX400">
            <v>2.2352792033176203</v>
          </cell>
          <cell r="BY400">
            <v>0</v>
          </cell>
          <cell r="BZ400">
            <v>0</v>
          </cell>
          <cell r="CA400">
            <v>1.1097147327486612</v>
          </cell>
          <cell r="CB400">
            <v>0</v>
          </cell>
          <cell r="CC400">
            <v>0</v>
          </cell>
        </row>
        <row r="401">
          <cell r="BK401" t="str">
            <v>Thibirigasyaya</v>
          </cell>
          <cell r="BL401">
            <v>1.5002142564542356</v>
          </cell>
          <cell r="BM401">
            <v>0.97713502025050525</v>
          </cell>
          <cell r="BN401">
            <v>53.53193011848353</v>
          </cell>
          <cell r="BO401">
            <v>1.635592139792734</v>
          </cell>
          <cell r="BP401">
            <v>1.0354409766887536</v>
          </cell>
          <cell r="BQ401">
            <v>57.960924535091266</v>
          </cell>
          <cell r="BR401">
            <v>0.39745082768619161</v>
          </cell>
          <cell r="BS401">
            <v>0.26622721441574182</v>
          </cell>
          <cell r="BT401">
            <v>0</v>
          </cell>
          <cell r="BU401">
            <v>1.7395130015748166</v>
          </cell>
          <cell r="BV401">
            <v>1.2654644751138682</v>
          </cell>
          <cell r="BW401">
            <v>-37.460437316368989</v>
          </cell>
          <cell r="BX401">
            <v>2.250987247385146</v>
          </cell>
          <cell r="BY401">
            <v>0</v>
          </cell>
          <cell r="BZ401">
            <v>0</v>
          </cell>
          <cell r="CA401">
            <v>0.83614474465888433</v>
          </cell>
          <cell r="CB401">
            <v>0</v>
          </cell>
          <cell r="CC401">
            <v>0</v>
          </cell>
        </row>
        <row r="402">
          <cell r="BK402" t="str">
            <v>Moratuwa</v>
          </cell>
          <cell r="BL402">
            <v>2.4288278658358244</v>
          </cell>
          <cell r="BM402">
            <v>0.71618929979897794</v>
          </cell>
          <cell r="BN402">
            <v>0</v>
          </cell>
          <cell r="BO402">
            <v>2.657633499354251</v>
          </cell>
          <cell r="BP402">
            <v>0.77447329914289553</v>
          </cell>
          <cell r="BQ402">
            <v>0</v>
          </cell>
          <cell r="BR402">
            <v>1.7648631738395921</v>
          </cell>
          <cell r="BS402">
            <v>0.41915999448851593</v>
          </cell>
          <cell r="BT402">
            <v>0</v>
          </cell>
          <cell r="BU402">
            <v>2.394721835809893</v>
          </cell>
          <cell r="BV402">
            <v>1.0023441117301601</v>
          </cell>
          <cell r="BW402">
            <v>-138.91214681516212</v>
          </cell>
          <cell r="BX402">
            <v>4.0455483473402394</v>
          </cell>
          <cell r="BY402">
            <v>0</v>
          </cell>
          <cell r="BZ402">
            <v>0</v>
          </cell>
          <cell r="CA402">
            <v>2.5672522493545893</v>
          </cell>
          <cell r="CB402">
            <v>0</v>
          </cell>
          <cell r="CC402">
            <v>0</v>
          </cell>
        </row>
        <row r="403">
          <cell r="BK403" t="str">
            <v>Kegalle</v>
          </cell>
          <cell r="BL403">
            <v>1.0057095027527385</v>
          </cell>
          <cell r="BM403">
            <v>1.1543857996880864E-8</v>
          </cell>
          <cell r="BN403">
            <v>0</v>
          </cell>
          <cell r="BO403">
            <v>0.99923030973956029</v>
          </cell>
          <cell r="BP403">
            <v>9.758524300321847E-4</v>
          </cell>
          <cell r="BQ403">
            <v>0</v>
          </cell>
          <cell r="BR403">
            <v>0.89806497509182237</v>
          </cell>
          <cell r="BS403">
            <v>8.0090895503299311E-7</v>
          </cell>
          <cell r="BT403">
            <v>0</v>
          </cell>
          <cell r="BU403">
            <v>1.5266180403656662</v>
          </cell>
          <cell r="BV403">
            <v>1.6932002140178714E-2</v>
          </cell>
          <cell r="BW403">
            <v>-8916.1696633801221</v>
          </cell>
          <cell r="BX403">
            <v>4.9386604549963246E-3</v>
          </cell>
          <cell r="BY403">
            <v>0</v>
          </cell>
          <cell r="BZ403">
            <v>0</v>
          </cell>
          <cell r="CA403">
            <v>6.8553666220885864E-2</v>
          </cell>
          <cell r="CB403">
            <v>0</v>
          </cell>
          <cell r="CC403">
            <v>0</v>
          </cell>
        </row>
        <row r="404">
          <cell r="BK404" t="str">
            <v>Kadawatha</v>
          </cell>
          <cell r="BL404">
            <v>1.1115528479715635</v>
          </cell>
          <cell r="BM404">
            <v>1.1543857996880864E-8</v>
          </cell>
          <cell r="BN404">
            <v>0</v>
          </cell>
          <cell r="BO404">
            <v>1.1713378408182149</v>
          </cell>
          <cell r="BP404">
            <v>-3.4372079770523276E-4</v>
          </cell>
          <cell r="BQ404">
            <v>0</v>
          </cell>
          <cell r="BR404">
            <v>1.0403142139570214</v>
          </cell>
          <cell r="BS404">
            <v>8.0090895503299311E-7</v>
          </cell>
          <cell r="BT404">
            <v>0</v>
          </cell>
          <cell r="BU404">
            <v>1.7299818686731989</v>
          </cell>
          <cell r="BV404">
            <v>3.9809623091434543E-2</v>
          </cell>
          <cell r="BW404">
            <v>-4245.6373970177647</v>
          </cell>
          <cell r="BX404">
            <v>0</v>
          </cell>
          <cell r="BY404">
            <v>0</v>
          </cell>
          <cell r="BZ404">
            <v>0</v>
          </cell>
          <cell r="CA404">
            <v>0.21268984589382151</v>
          </cell>
          <cell r="CB404">
            <v>0</v>
          </cell>
          <cell r="CC404">
            <v>0</v>
          </cell>
        </row>
        <row r="405">
          <cell r="BK405" t="str">
            <v>Aluthgama</v>
          </cell>
          <cell r="BL405">
            <v>0.98586735449289542</v>
          </cell>
          <cell r="BM405">
            <v>1.1543857996880864E-8</v>
          </cell>
          <cell r="BN405">
            <v>0</v>
          </cell>
          <cell r="BO405">
            <v>1.0915670577701775</v>
          </cell>
          <cell r="BP405">
            <v>7.4927474441889007E-8</v>
          </cell>
          <cell r="BQ405">
            <v>0</v>
          </cell>
          <cell r="BR405">
            <v>0.51501024999105993</v>
          </cell>
          <cell r="BS405">
            <v>8.0090895503299311E-7</v>
          </cell>
          <cell r="BT405">
            <v>0</v>
          </cell>
          <cell r="BU405">
            <v>1.4207829567839656</v>
          </cell>
          <cell r="BV405">
            <v>0</v>
          </cell>
          <cell r="BW405">
            <v>0</v>
          </cell>
          <cell r="BX405">
            <v>0</v>
          </cell>
          <cell r="BY405">
            <v>0</v>
          </cell>
          <cell r="BZ405">
            <v>0</v>
          </cell>
          <cell r="CA405">
            <v>0.48905582393532221</v>
          </cell>
          <cell r="CB405">
            <v>0</v>
          </cell>
          <cell r="CC405">
            <v>0</v>
          </cell>
        </row>
        <row r="406">
          <cell r="BK406" t="str">
            <v>Park Road</v>
          </cell>
          <cell r="BL406">
            <v>1.0930188457260388</v>
          </cell>
          <cell r="BM406">
            <v>1.1543857996880864E-8</v>
          </cell>
          <cell r="BN406">
            <v>0</v>
          </cell>
          <cell r="BO406">
            <v>1.1786584827211735</v>
          </cell>
          <cell r="BP406">
            <v>7.4927474441889007E-8</v>
          </cell>
          <cell r="BQ406">
            <v>0</v>
          </cell>
          <cell r="BR406">
            <v>0.52503116594314503</v>
          </cell>
          <cell r="BS406">
            <v>8.0090895503299311E-7</v>
          </cell>
          <cell r="BT406">
            <v>0</v>
          </cell>
          <cell r="BU406">
            <v>1.1366538973939255</v>
          </cell>
          <cell r="BV406">
            <v>0</v>
          </cell>
          <cell r="BW406">
            <v>0</v>
          </cell>
          <cell r="BX406">
            <v>0</v>
          </cell>
          <cell r="BY406">
            <v>0</v>
          </cell>
          <cell r="BZ406">
            <v>0</v>
          </cell>
          <cell r="CA406">
            <v>1.4156902474313162</v>
          </cell>
          <cell r="CB406">
            <v>0</v>
          </cell>
          <cell r="CC406">
            <v>0</v>
          </cell>
        </row>
        <row r="407">
          <cell r="BK407" t="str">
            <v>Kotahena</v>
          </cell>
          <cell r="BL407">
            <v>1.4067979472945225</v>
          </cell>
          <cell r="BM407">
            <v>1.1543857996880864E-8</v>
          </cell>
          <cell r="BN407">
            <v>0</v>
          </cell>
          <cell r="BO407">
            <v>1.5223444197504685</v>
          </cell>
          <cell r="BP407">
            <v>7.4927474441889007E-8</v>
          </cell>
          <cell r="BQ407">
            <v>0</v>
          </cell>
          <cell r="BR407">
            <v>1.9219702157474587</v>
          </cell>
          <cell r="BS407">
            <v>8.0090895503299311E-7</v>
          </cell>
          <cell r="BT407">
            <v>0</v>
          </cell>
          <cell r="BU407">
            <v>1.8266676484772031</v>
          </cell>
          <cell r="BV407">
            <v>0</v>
          </cell>
          <cell r="BW407">
            <v>0</v>
          </cell>
          <cell r="BX407">
            <v>0</v>
          </cell>
          <cell r="BY407">
            <v>0</v>
          </cell>
          <cell r="BZ407">
            <v>0</v>
          </cell>
          <cell r="CA407">
            <v>1.4054370742492166</v>
          </cell>
          <cell r="CB407">
            <v>0</v>
          </cell>
          <cell r="CC407">
            <v>0</v>
          </cell>
        </row>
        <row r="408">
          <cell r="BK408" t="str">
            <v>Ambalangoda</v>
          </cell>
          <cell r="BL408">
            <v>0.63246253536851049</v>
          </cell>
          <cell r="BM408">
            <v>1.1543857996880864E-8</v>
          </cell>
          <cell r="BN408">
            <v>0</v>
          </cell>
          <cell r="BO408">
            <v>0.6553846579071263</v>
          </cell>
          <cell r="BP408">
            <v>7.4927474441889007E-8</v>
          </cell>
          <cell r="BQ408">
            <v>0</v>
          </cell>
          <cell r="BR408">
            <v>0.46594284793299923</v>
          </cell>
          <cell r="BS408">
            <v>8.0090895503299311E-7</v>
          </cell>
          <cell r="BT408">
            <v>0</v>
          </cell>
          <cell r="BU408">
            <v>1.0232607426728098</v>
          </cell>
          <cell r="BV408">
            <v>0</v>
          </cell>
          <cell r="BW408">
            <v>0</v>
          </cell>
          <cell r="BX408">
            <v>3.627189786876802E-2</v>
          </cell>
          <cell r="BY408">
            <v>0</v>
          </cell>
          <cell r="BZ408">
            <v>0</v>
          </cell>
          <cell r="CA408">
            <v>-5.2536465192421868E-2</v>
          </cell>
          <cell r="CB408">
            <v>0</v>
          </cell>
          <cell r="CC408">
            <v>0</v>
          </cell>
        </row>
        <row r="409">
          <cell r="BK409" t="str">
            <v>Katugastota</v>
          </cell>
          <cell r="BL409">
            <v>0.84406828040822501</v>
          </cell>
          <cell r="BM409">
            <v>1.1543857996880864E-8</v>
          </cell>
          <cell r="BN409">
            <v>0</v>
          </cell>
          <cell r="BO409">
            <v>0.82137130012574244</v>
          </cell>
          <cell r="BP409">
            <v>7.4927474441889007E-8</v>
          </cell>
          <cell r="BQ409">
            <v>0</v>
          </cell>
          <cell r="BR409">
            <v>0.84532867313979099</v>
          </cell>
          <cell r="BS409">
            <v>8.0090895503299311E-7</v>
          </cell>
          <cell r="BT409">
            <v>0</v>
          </cell>
          <cell r="BU409">
            <v>1.078296691147361</v>
          </cell>
          <cell r="BV409">
            <v>0</v>
          </cell>
          <cell r="BW409">
            <v>0</v>
          </cell>
          <cell r="BX409">
            <v>2.4540128166258314E-2</v>
          </cell>
          <cell r="BY409">
            <v>0</v>
          </cell>
          <cell r="BZ409">
            <v>0</v>
          </cell>
          <cell r="CA409">
            <v>0.48224886436193981</v>
          </cell>
          <cell r="CB409">
            <v>0</v>
          </cell>
          <cell r="CC409">
            <v>0</v>
          </cell>
        </row>
        <row r="410">
          <cell r="BK410" t="str">
            <v>Beruwela</v>
          </cell>
          <cell r="BL410">
            <v>0.49610502914345839</v>
          </cell>
          <cell r="BM410">
            <v>1.1543857996880864E-8</v>
          </cell>
          <cell r="BN410">
            <v>0</v>
          </cell>
          <cell r="BO410">
            <v>0.50723742113427173</v>
          </cell>
          <cell r="BP410">
            <v>7.4927474441889007E-8</v>
          </cell>
          <cell r="BQ410">
            <v>0</v>
          </cell>
          <cell r="BR410">
            <v>0.40994544838348013</v>
          </cell>
          <cell r="BS410">
            <v>8.0090895503299311E-7</v>
          </cell>
          <cell r="BT410">
            <v>0</v>
          </cell>
          <cell r="BU410">
            <v>0.80896147289953613</v>
          </cell>
          <cell r="BV410">
            <v>0</v>
          </cell>
          <cell r="BW410">
            <v>0</v>
          </cell>
          <cell r="BX410">
            <v>1.6446327584392186E-3</v>
          </cell>
          <cell r="BY410">
            <v>0</v>
          </cell>
          <cell r="BZ410">
            <v>0</v>
          </cell>
          <cell r="CA410">
            <v>-5.598317769061361E-2</v>
          </cell>
          <cell r="CB410">
            <v>0</v>
          </cell>
          <cell r="CC410">
            <v>0</v>
          </cell>
        </row>
        <row r="411">
          <cell r="BK411" t="str">
            <v>Warakapola</v>
          </cell>
          <cell r="BL411">
            <v>0.36167954496414861</v>
          </cell>
          <cell r="BM411">
            <v>1.1543857996880864E-8</v>
          </cell>
          <cell r="BN411">
            <v>0</v>
          </cell>
          <cell r="BO411">
            <v>0.32447036027108284</v>
          </cell>
          <cell r="BP411">
            <v>7.4927474441889007E-8</v>
          </cell>
          <cell r="BQ411">
            <v>0</v>
          </cell>
          <cell r="BR411">
            <v>0.35449689926765743</v>
          </cell>
          <cell r="BS411">
            <v>8.0090895503299311E-7</v>
          </cell>
          <cell r="BT411">
            <v>0</v>
          </cell>
          <cell r="BU411">
            <v>0.69767011370237975</v>
          </cell>
          <cell r="BV411">
            <v>0</v>
          </cell>
          <cell r="BW411">
            <v>0</v>
          </cell>
          <cell r="BX411">
            <v>3.3671411610354974E-4</v>
          </cell>
          <cell r="BY411">
            <v>0</v>
          </cell>
          <cell r="BZ411">
            <v>0</v>
          </cell>
          <cell r="CA411">
            <v>-0.4136991301778265</v>
          </cell>
          <cell r="CB411">
            <v>0</v>
          </cell>
          <cell r="CC411">
            <v>0</v>
          </cell>
        </row>
        <row r="412">
          <cell r="BK412" t="str">
            <v>Karagampitiya</v>
          </cell>
          <cell r="BL412">
            <v>0.36672609023961106</v>
          </cell>
          <cell r="BM412">
            <v>1.1543857996880864E-8</v>
          </cell>
          <cell r="BN412">
            <v>0</v>
          </cell>
          <cell r="BO412">
            <v>0.38001102830710598</v>
          </cell>
          <cell r="BP412">
            <v>7.4927474441889007E-8</v>
          </cell>
          <cell r="BQ412">
            <v>0</v>
          </cell>
          <cell r="BR412">
            <v>0.24057715076135711</v>
          </cell>
          <cell r="BS412">
            <v>8.0090895503299311E-7</v>
          </cell>
          <cell r="BT412">
            <v>0</v>
          </cell>
          <cell r="BU412">
            <v>0.67278693664429112</v>
          </cell>
          <cell r="BV412">
            <v>0</v>
          </cell>
          <cell r="BW412">
            <v>0</v>
          </cell>
          <cell r="BX412">
            <v>0</v>
          </cell>
          <cell r="BY412">
            <v>0</v>
          </cell>
          <cell r="BZ412">
            <v>0</v>
          </cell>
          <cell r="CA412">
            <v>-0.21288599807552547</v>
          </cell>
          <cell r="CB412">
            <v>0</v>
          </cell>
          <cell r="CC412">
            <v>0</v>
          </cell>
        </row>
        <row r="413">
          <cell r="BK413" t="str">
            <v>Mathale</v>
          </cell>
          <cell r="BL413">
            <v>0.51414531548766074</v>
          </cell>
          <cell r="BM413">
            <v>1.1543857996880864E-8</v>
          </cell>
          <cell r="BN413">
            <v>0</v>
          </cell>
          <cell r="BO413">
            <v>0.38274422683660264</v>
          </cell>
          <cell r="BP413">
            <v>7.4927474441889007E-8</v>
          </cell>
          <cell r="BQ413">
            <v>0</v>
          </cell>
          <cell r="BR413">
            <v>0.20261953218374454</v>
          </cell>
          <cell r="BS413">
            <v>8.0090895503299311E-7</v>
          </cell>
          <cell r="BT413">
            <v>0</v>
          </cell>
          <cell r="BU413">
            <v>0.57105985996851238</v>
          </cell>
          <cell r="BV413">
            <v>0</v>
          </cell>
          <cell r="BW413">
            <v>0</v>
          </cell>
          <cell r="BX413">
            <v>3.3671411610354974E-4</v>
          </cell>
          <cell r="BY413">
            <v>0</v>
          </cell>
          <cell r="BZ413">
            <v>0</v>
          </cell>
          <cell r="CA413">
            <v>1.3712331659793896E-2</v>
          </cell>
          <cell r="CB413">
            <v>0</v>
          </cell>
          <cell r="CC413">
            <v>0</v>
          </cell>
        </row>
        <row r="414">
          <cell r="BK414" t="str">
            <v>Peliyagoda</v>
          </cell>
          <cell r="BL414">
            <v>0.22057789134583625</v>
          </cell>
          <cell r="BM414">
            <v>1.1543857996880864E-8</v>
          </cell>
          <cell r="BN414">
            <v>0</v>
          </cell>
          <cell r="BO414">
            <v>0.22286132626090338</v>
          </cell>
          <cell r="BP414">
            <v>7.4927474441889007E-8</v>
          </cell>
          <cell r="BQ414">
            <v>0</v>
          </cell>
          <cell r="BR414">
            <v>0.15910897661198514</v>
          </cell>
          <cell r="BS414">
            <v>8.0090895503299311E-7</v>
          </cell>
          <cell r="BT414">
            <v>0</v>
          </cell>
          <cell r="BU414">
            <v>0.51370519162809125</v>
          </cell>
          <cell r="BV414">
            <v>0</v>
          </cell>
          <cell r="BW414">
            <v>0</v>
          </cell>
          <cell r="BX414">
            <v>0</v>
          </cell>
          <cell r="BY414">
            <v>0</v>
          </cell>
          <cell r="BZ414">
            <v>0</v>
          </cell>
          <cell r="CA414">
            <v>-0.38819727550855071</v>
          </cell>
          <cell r="CB414">
            <v>0</v>
          </cell>
          <cell r="CC414">
            <v>0</v>
          </cell>
        </row>
        <row r="415">
          <cell r="BK415" t="str">
            <v>Kelaniya</v>
          </cell>
          <cell r="BL415">
            <v>0.22228304065774387</v>
          </cell>
          <cell r="BM415">
            <v>1.1543857996880864E-8</v>
          </cell>
          <cell r="BN415">
            <v>0</v>
          </cell>
          <cell r="BO415">
            <v>0.23567697903988089</v>
          </cell>
          <cell r="BP415">
            <v>7.4927474441889007E-8</v>
          </cell>
          <cell r="BQ415">
            <v>0</v>
          </cell>
          <cell r="BR415">
            <v>0.17537843387443339</v>
          </cell>
          <cell r="BS415">
            <v>8.0090895503299311E-7</v>
          </cell>
          <cell r="BT415">
            <v>0</v>
          </cell>
          <cell r="BU415">
            <v>0.40882798069662807</v>
          </cell>
          <cell r="BV415">
            <v>0</v>
          </cell>
          <cell r="BW415">
            <v>0</v>
          </cell>
          <cell r="BX415">
            <v>0</v>
          </cell>
          <cell r="BY415">
            <v>0</v>
          </cell>
          <cell r="BZ415">
            <v>0</v>
          </cell>
          <cell r="CA415">
            <v>-0.10488141918811333</v>
          </cell>
          <cell r="CB415">
            <v>0</v>
          </cell>
          <cell r="CC415">
            <v>0</v>
          </cell>
        </row>
        <row r="416">
          <cell r="BK416" t="str">
            <v>Demategoda</v>
          </cell>
          <cell r="BL416">
            <v>0.18913064277177211</v>
          </cell>
          <cell r="BM416">
            <v>1.1543857996880864E-8</v>
          </cell>
          <cell r="BN416">
            <v>0</v>
          </cell>
          <cell r="BO416">
            <v>0.19859647812956385</v>
          </cell>
          <cell r="BP416">
            <v>7.4927474441889007E-8</v>
          </cell>
          <cell r="BQ416">
            <v>0</v>
          </cell>
          <cell r="BR416">
            <v>0.2115940567114144</v>
          </cell>
          <cell r="BS416">
            <v>8.0090895503299311E-7</v>
          </cell>
          <cell r="BT416">
            <v>0</v>
          </cell>
          <cell r="BU416">
            <v>0.32474814241278044</v>
          </cell>
          <cell r="BV416">
            <v>0</v>
          </cell>
          <cell r="BW416">
            <v>0</v>
          </cell>
          <cell r="BX416">
            <v>0</v>
          </cell>
          <cell r="BY416">
            <v>0</v>
          </cell>
          <cell r="BZ416">
            <v>0</v>
          </cell>
          <cell r="CA416">
            <v>-2.3961769735175491E-2</v>
          </cell>
          <cell r="CB416">
            <v>0</v>
          </cell>
          <cell r="CC416">
            <v>0</v>
          </cell>
        </row>
        <row r="417">
          <cell r="BK417" t="str">
            <v>Kolannawa</v>
          </cell>
          <cell r="BL417">
            <v>0.23406068110086872</v>
          </cell>
          <cell r="BM417">
            <v>1.1543857996880864E-8</v>
          </cell>
          <cell r="BN417">
            <v>0</v>
          </cell>
          <cell r="BO417">
            <v>0.21825611462192446</v>
          </cell>
          <cell r="BP417">
            <v>7.4927474441889007E-8</v>
          </cell>
          <cell r="BQ417">
            <v>0</v>
          </cell>
          <cell r="BR417">
            <v>0.15738473207897352</v>
          </cell>
          <cell r="BS417">
            <v>8.0090895503299311E-7</v>
          </cell>
          <cell r="BT417">
            <v>0</v>
          </cell>
          <cell r="BU417">
            <v>0.28273677536012476</v>
          </cell>
          <cell r="BV417">
            <v>0</v>
          </cell>
          <cell r="BW417">
            <v>0</v>
          </cell>
          <cell r="BX417">
            <v>0</v>
          </cell>
          <cell r="BY417">
            <v>0</v>
          </cell>
          <cell r="BZ417">
            <v>0</v>
          </cell>
          <cell r="CA417">
            <v>0.11772340205712724</v>
          </cell>
          <cell r="CB417">
            <v>0</v>
          </cell>
          <cell r="CC417">
            <v>0</v>
          </cell>
        </row>
        <row r="418">
          <cell r="BK418" t="str">
            <v>Avissawella</v>
          </cell>
          <cell r="BL418">
            <v>0.13496154955100753</v>
          </cell>
          <cell r="BM418">
            <v>1.1543857996880864E-8</v>
          </cell>
          <cell r="BN418">
            <v>0</v>
          </cell>
          <cell r="BO418">
            <v>0.1398770189649324</v>
          </cell>
          <cell r="BP418">
            <v>7.4927474441889007E-8</v>
          </cell>
          <cell r="BQ418">
            <v>0</v>
          </cell>
          <cell r="BR418">
            <v>9.732205239580842E-2</v>
          </cell>
          <cell r="BS418">
            <v>8.0090895503299311E-7</v>
          </cell>
          <cell r="BT418">
            <v>0</v>
          </cell>
          <cell r="BU418">
            <v>0.26221647298937245</v>
          </cell>
          <cell r="BV418">
            <v>0</v>
          </cell>
          <cell r="BW418">
            <v>0</v>
          </cell>
          <cell r="BX418">
            <v>0</v>
          </cell>
          <cell r="BY418">
            <v>0</v>
          </cell>
          <cell r="BZ418">
            <v>0</v>
          </cell>
          <cell r="CA418">
            <v>-0.10853189193248326</v>
          </cell>
          <cell r="CB418">
            <v>0</v>
          </cell>
          <cell r="CC418">
            <v>0</v>
          </cell>
        </row>
        <row r="419">
          <cell r="BK419" t="str">
            <v>Homagama</v>
          </cell>
          <cell r="BL419">
            <v>0.19014388417903888</v>
          </cell>
          <cell r="BM419">
            <v>1.1543857996880864E-8</v>
          </cell>
          <cell r="BN419">
            <v>0</v>
          </cell>
          <cell r="BO419">
            <v>0.19292296902910988</v>
          </cell>
          <cell r="BP419">
            <v>7.4927474441889007E-8</v>
          </cell>
          <cell r="BQ419">
            <v>0</v>
          </cell>
          <cell r="BR419">
            <v>8.207318390955648E-2</v>
          </cell>
          <cell r="BS419">
            <v>8.0090895503299311E-7</v>
          </cell>
          <cell r="BT419">
            <v>0</v>
          </cell>
          <cell r="BU419">
            <v>0.31409062908063551</v>
          </cell>
          <cell r="BV419">
            <v>0</v>
          </cell>
          <cell r="BW419">
            <v>0</v>
          </cell>
          <cell r="BX419">
            <v>0</v>
          </cell>
          <cell r="BY419">
            <v>0</v>
          </cell>
          <cell r="BZ419">
            <v>0</v>
          </cell>
          <cell r="CA419">
            <v>-5.8517119381919655E-2</v>
          </cell>
          <cell r="CB419">
            <v>0</v>
          </cell>
          <cell r="CC419">
            <v>0</v>
          </cell>
        </row>
        <row r="420">
          <cell r="BK420" t="str">
            <v>Galle</v>
          </cell>
          <cell r="BL420">
            <v>0.24766755001404511</v>
          </cell>
          <cell r="BM420">
            <v>1.1543857996880864E-8</v>
          </cell>
          <cell r="BN420">
            <v>0</v>
          </cell>
          <cell r="BO420">
            <v>0.2634306946943803</v>
          </cell>
          <cell r="BP420">
            <v>7.4927474441889007E-8</v>
          </cell>
          <cell r="BQ420">
            <v>0</v>
          </cell>
          <cell r="BR420">
            <v>7.6670001597312826E-2</v>
          </cell>
          <cell r="BS420">
            <v>8.0090895503299311E-7</v>
          </cell>
          <cell r="BT420">
            <v>0</v>
          </cell>
          <cell r="BU420">
            <v>0.28819510837774565</v>
          </cell>
          <cell r="BV420">
            <v>0</v>
          </cell>
          <cell r="BW420">
            <v>0</v>
          </cell>
          <cell r="BX420">
            <v>0</v>
          </cell>
          <cell r="BY420">
            <v>0</v>
          </cell>
          <cell r="BZ420">
            <v>0</v>
          </cell>
          <cell r="CA420">
            <v>0.22667876581645677</v>
          </cell>
          <cell r="CB420">
            <v>0</v>
          </cell>
          <cell r="CC420">
            <v>0</v>
          </cell>
        </row>
        <row r="421">
          <cell r="BK421" t="str">
            <v>Kohuwela</v>
          </cell>
          <cell r="BL421">
            <v>0.22282406617199932</v>
          </cell>
          <cell r="BM421">
            <v>1.1543857996880864E-8</v>
          </cell>
          <cell r="BN421">
            <v>0</v>
          </cell>
          <cell r="BO421">
            <v>0.23037904819681812</v>
          </cell>
          <cell r="BP421">
            <v>7.4927474441889007E-8</v>
          </cell>
          <cell r="BQ421">
            <v>0</v>
          </cell>
          <cell r="BR421">
            <v>0.12075861256578148</v>
          </cell>
          <cell r="BS421">
            <v>8.0090895503299311E-7</v>
          </cell>
          <cell r="BT421">
            <v>0</v>
          </cell>
          <cell r="BU421">
            <v>0.29433272579852121</v>
          </cell>
          <cell r="BV421">
            <v>0</v>
          </cell>
          <cell r="BW421">
            <v>0</v>
          </cell>
          <cell r="BX421">
            <v>0</v>
          </cell>
          <cell r="BY421">
            <v>0</v>
          </cell>
          <cell r="BZ421">
            <v>0</v>
          </cell>
          <cell r="CA421">
            <v>0.1194440521590447</v>
          </cell>
          <cell r="CB421">
            <v>0</v>
          </cell>
          <cell r="CC421">
            <v>0</v>
          </cell>
        </row>
        <row r="422">
          <cell r="BK422" t="str">
            <v>Mt lavinia-STC</v>
          </cell>
          <cell r="BL422">
            <v>8.3667960146427189E-2</v>
          </cell>
          <cell r="BM422">
            <v>1.1543857996880864E-8</v>
          </cell>
          <cell r="BN422">
            <v>0</v>
          </cell>
          <cell r="BO422">
            <v>9.2898028876457789E-2</v>
          </cell>
          <cell r="BP422">
            <v>7.4927474441889007E-8</v>
          </cell>
          <cell r="BQ422">
            <v>0</v>
          </cell>
          <cell r="BR422">
            <v>5.3359284809931121E-5</v>
          </cell>
          <cell r="BS422">
            <v>8.0090895503299311E-7</v>
          </cell>
          <cell r="BT422">
            <v>0</v>
          </cell>
          <cell r="BU422">
            <v>0.18506386126731733</v>
          </cell>
          <cell r="BV422">
            <v>0</v>
          </cell>
          <cell r="BW422">
            <v>0</v>
          </cell>
          <cell r="BX422">
            <v>0</v>
          </cell>
          <cell r="BY422">
            <v>0</v>
          </cell>
          <cell r="BZ422">
            <v>0</v>
          </cell>
          <cell r="CA422">
            <v>-0.11678096701955988</v>
          </cell>
          <cell r="CB422">
            <v>0</v>
          </cell>
          <cell r="CC422">
            <v>0</v>
          </cell>
        </row>
        <row r="423">
          <cell r="BK423" t="str">
            <v>Mini Mart</v>
          </cell>
          <cell r="BL423">
            <v>0.27410099287025003</v>
          </cell>
          <cell r="BM423">
            <v>6.2411188326900374E-2</v>
          </cell>
          <cell r="BN423">
            <v>0</v>
          </cell>
          <cell r="BO423">
            <v>0.27753627208292292</v>
          </cell>
          <cell r="BP423">
            <v>5.9842366473339688E-2</v>
          </cell>
          <cell r="BQ423">
            <v>0</v>
          </cell>
          <cell r="BR423">
            <v>1.1041673787401587E-4</v>
          </cell>
          <cell r="BS423">
            <v>1.6098269996163162E-4</v>
          </cell>
          <cell r="BT423">
            <v>0</v>
          </cell>
          <cell r="BU423">
            <v>0.34210201415790809</v>
          </cell>
          <cell r="BV423">
            <v>8.8806661829140029E-2</v>
          </cell>
          <cell r="BW423">
            <v>-285.22111642491052</v>
          </cell>
          <cell r="BX423">
            <v>-1.6807692983538259E-6</v>
          </cell>
          <cell r="BY423">
            <v>0</v>
          </cell>
          <cell r="BZ423">
            <v>0</v>
          </cell>
          <cell r="CA423">
            <v>0.12690801306549615</v>
          </cell>
          <cell r="CB423">
            <v>0</v>
          </cell>
          <cell r="CC423">
            <v>0</v>
          </cell>
        </row>
        <row r="424">
          <cell r="BK424" t="str">
            <v>Express Maligawatte</v>
          </cell>
          <cell r="BL424">
            <v>0.1810923516053721</v>
          </cell>
          <cell r="BM424">
            <v>1.1543857996880864E-8</v>
          </cell>
          <cell r="BN424">
            <v>0</v>
          </cell>
          <cell r="BO424">
            <v>0.18079482695535529</v>
          </cell>
          <cell r="BP424">
            <v>7.4927474441889007E-8</v>
          </cell>
          <cell r="BQ424">
            <v>0</v>
          </cell>
          <cell r="BR424">
            <v>2.6272315587258068E-3</v>
          </cell>
          <cell r="BS424">
            <v>8.0090895503299311E-7</v>
          </cell>
          <cell r="BT424">
            <v>0</v>
          </cell>
          <cell r="BU424">
            <v>0.27548190423206564</v>
          </cell>
          <cell r="BV424">
            <v>0</v>
          </cell>
          <cell r="BW424">
            <v>0</v>
          </cell>
          <cell r="BX424">
            <v>0</v>
          </cell>
          <cell r="BY424">
            <v>0</v>
          </cell>
          <cell r="BZ424">
            <v>0</v>
          </cell>
          <cell r="CA424">
            <v>-3.5332845916391874E-2</v>
          </cell>
          <cell r="CB424">
            <v>0</v>
          </cell>
          <cell r="CC424">
            <v>0</v>
          </cell>
        </row>
        <row r="425">
          <cell r="BK425" t="str">
            <v>Express Peradeniya</v>
          </cell>
          <cell r="BL425">
            <v>6.4523399532424475E-2</v>
          </cell>
          <cell r="BM425">
            <v>1.1543857996880864E-8</v>
          </cell>
          <cell r="BN425">
            <v>0</v>
          </cell>
          <cell r="BO425">
            <v>7.0854246354905989E-2</v>
          </cell>
          <cell r="BP425">
            <v>7.4927474441889007E-8</v>
          </cell>
          <cell r="BQ425">
            <v>0</v>
          </cell>
          <cell r="BR425">
            <v>2.2585241837866883E-4</v>
          </cell>
          <cell r="BS425">
            <v>8.0090895503299311E-7</v>
          </cell>
          <cell r="BT425">
            <v>0</v>
          </cell>
          <cell r="BU425">
            <v>0.15738551216777993</v>
          </cell>
          <cell r="BV425">
            <v>0</v>
          </cell>
          <cell r="BW425">
            <v>0</v>
          </cell>
          <cell r="BX425">
            <v>0</v>
          </cell>
          <cell r="BY425">
            <v>0</v>
          </cell>
          <cell r="BZ425">
            <v>0</v>
          </cell>
          <cell r="CA425">
            <v>-0.12566155412619937</v>
          </cell>
          <cell r="CB425">
            <v>0</v>
          </cell>
          <cell r="CC425">
            <v>0</v>
          </cell>
        </row>
        <row r="426">
          <cell r="BK426" t="str">
            <v>Express Alexandra Place</v>
          </cell>
          <cell r="BL426">
            <v>0.14830657250948689</v>
          </cell>
          <cell r="BM426">
            <v>1.1543857996880864E-8</v>
          </cell>
          <cell r="BN426">
            <v>0</v>
          </cell>
          <cell r="BO426">
            <v>0.15926885999698856</v>
          </cell>
          <cell r="BP426">
            <v>7.4927474441889007E-8</v>
          </cell>
          <cell r="BQ426">
            <v>0</v>
          </cell>
          <cell r="BR426">
            <v>6.9508128956318888E-3</v>
          </cell>
          <cell r="BS426">
            <v>8.0090895503299311E-7</v>
          </cell>
          <cell r="BT426">
            <v>0</v>
          </cell>
          <cell r="BU426">
            <v>0.22268202476213478</v>
          </cell>
          <cell r="BV426">
            <v>0</v>
          </cell>
          <cell r="BW426">
            <v>0</v>
          </cell>
          <cell r="BX426">
            <v>0</v>
          </cell>
          <cell r="BY426">
            <v>0</v>
          </cell>
          <cell r="BZ426">
            <v>0</v>
          </cell>
          <cell r="CA426">
            <v>1.5461516926742035E-2</v>
          </cell>
          <cell r="CB426">
            <v>0</v>
          </cell>
          <cell r="CC426">
            <v>0</v>
          </cell>
        </row>
        <row r="427">
          <cell r="BK427" t="str">
            <v>Express Boralla</v>
          </cell>
          <cell r="BL427">
            <v>1.5637847402053363E-2</v>
          </cell>
          <cell r="BM427">
            <v>1.1543857996880864E-8</v>
          </cell>
          <cell r="BN427">
            <v>0</v>
          </cell>
          <cell r="BO427">
            <v>1.1782060069201045E-2</v>
          </cell>
          <cell r="BP427">
            <v>7.4927474441889007E-8</v>
          </cell>
          <cell r="BQ427">
            <v>0</v>
          </cell>
          <cell r="BR427">
            <v>8.7805080548619319E-5</v>
          </cell>
          <cell r="BS427">
            <v>8.0090895503299311E-7</v>
          </cell>
          <cell r="BT427">
            <v>0</v>
          </cell>
          <cell r="BU427">
            <v>7.4045611666107333E-2</v>
          </cell>
          <cell r="BV427">
            <v>0</v>
          </cell>
          <cell r="BW427">
            <v>0</v>
          </cell>
          <cell r="BX427">
            <v>0</v>
          </cell>
          <cell r="BY427">
            <v>0</v>
          </cell>
          <cell r="BZ427">
            <v>0</v>
          </cell>
          <cell r="CA427">
            <v>-0.12894969197942907</v>
          </cell>
          <cell r="CB427">
            <v>0</v>
          </cell>
          <cell r="CC427">
            <v>0</v>
          </cell>
        </row>
        <row r="428">
          <cell r="BK428" t="str">
            <v>Express Havelock Road</v>
          </cell>
          <cell r="BL428">
            <v>2.3455854886829459E-2</v>
          </cell>
          <cell r="BM428">
            <v>1.1543857996880864E-8</v>
          </cell>
          <cell r="BN428">
            <v>0</v>
          </cell>
          <cell r="BO428">
            <v>2.6867131077425253E-2</v>
          </cell>
          <cell r="BP428">
            <v>7.4927474441889007E-8</v>
          </cell>
          <cell r="BQ428">
            <v>0</v>
          </cell>
          <cell r="BR428">
            <v>7.9299293564065953E-4</v>
          </cell>
          <cell r="BS428">
            <v>8.0090895503299311E-7</v>
          </cell>
          <cell r="BT428">
            <v>0</v>
          </cell>
          <cell r="BU428">
            <v>8.7090429782937684E-2</v>
          </cell>
          <cell r="BV428">
            <v>0</v>
          </cell>
          <cell r="BW428">
            <v>0</v>
          </cell>
          <cell r="BX428">
            <v>0</v>
          </cell>
          <cell r="BY428">
            <v>0</v>
          </cell>
          <cell r="BZ428">
            <v>0</v>
          </cell>
          <cell r="CA428">
            <v>-0.10930720884285103</v>
          </cell>
          <cell r="CB428">
            <v>0</v>
          </cell>
          <cell r="CC428">
            <v>0</v>
          </cell>
        </row>
        <row r="429">
          <cell r="BK429" t="str">
            <v>Express Maradana</v>
          </cell>
          <cell r="BL429">
            <v>1.6948823110829179E-3</v>
          </cell>
          <cell r="BM429">
            <v>1.1543857996880864E-8</v>
          </cell>
          <cell r="BN429">
            <v>0</v>
          </cell>
          <cell r="BO429">
            <v>4.9772520480871575E-4</v>
          </cell>
          <cell r="BP429">
            <v>7.4927474441889007E-8</v>
          </cell>
          <cell r="BQ429">
            <v>0</v>
          </cell>
          <cell r="BR429">
            <v>5.2830975059337738E-7</v>
          </cell>
          <cell r="BS429">
            <v>8.0090895503299311E-7</v>
          </cell>
          <cell r="BT429">
            <v>0</v>
          </cell>
          <cell r="BU429">
            <v>1.0208249399028139E-2</v>
          </cell>
          <cell r="BV429">
            <v>0</v>
          </cell>
          <cell r="BW429">
            <v>0</v>
          </cell>
          <cell r="BX429">
            <v>0</v>
          </cell>
          <cell r="BY429">
            <v>0</v>
          </cell>
          <cell r="BZ429">
            <v>0</v>
          </cell>
          <cell r="CA429">
            <v>-2.1430932974410049E-2</v>
          </cell>
          <cell r="CB429">
            <v>0</v>
          </cell>
          <cell r="CC429">
            <v>0</v>
          </cell>
        </row>
        <row r="430">
          <cell r="BK430" t="str">
            <v xml:space="preserve">Food City </v>
          </cell>
          <cell r="BL430">
            <v>96.657591299483784</v>
          </cell>
          <cell r="BM430">
            <v>95.667814793581243</v>
          </cell>
          <cell r="BN430">
            <v>1.0345971715128468</v>
          </cell>
          <cell r="BO430">
            <v>93.133815093148769</v>
          </cell>
          <cell r="BP430">
            <v>92.339640895419919</v>
          </cell>
          <cell r="BQ430">
            <v>0.86005770655779268</v>
          </cell>
          <cell r="BR430">
            <v>96.080173462349507</v>
          </cell>
          <cell r="BS430">
            <v>92.140520354597484</v>
          </cell>
          <cell r="BT430">
            <v>4.2757009539239572</v>
          </cell>
          <cell r="BU430">
            <v>93.437721959765554</v>
          </cell>
          <cell r="BV430">
            <v>93.091973852996929</v>
          </cell>
          <cell r="BW430">
            <v>-0.37140485098597342</v>
          </cell>
          <cell r="BX430">
            <v>100.85602808447258</v>
          </cell>
          <cell r="BY430">
            <v>99.666371589611089</v>
          </cell>
          <cell r="BZ430">
            <v>-1.1936388130592901</v>
          </cell>
          <cell r="CA430">
            <v>91.10105302223927</v>
          </cell>
          <cell r="CB430">
            <v>89.200706962412298</v>
          </cell>
          <cell r="CC430">
            <v>2.1304159176986648</v>
          </cell>
        </row>
        <row r="431">
          <cell r="BJ431">
            <v>26</v>
          </cell>
          <cell r="CB431" t="str">
            <v>Appendix IV</v>
          </cell>
        </row>
        <row r="432">
          <cell r="BJ432" t="str">
            <v>CARGILLS ( CEYLON ) LTD</v>
          </cell>
        </row>
        <row r="434">
          <cell r="BJ434" t="str">
            <v xml:space="preserve"> Contribution % by Profit Centres/Divisions  -Twelve  months ended 31st March 2004 </v>
          </cell>
        </row>
        <row r="435">
          <cell r="BK435" t="str">
            <v>YTD V YTD</v>
          </cell>
          <cell r="CC435">
            <v>38154.357810300928</v>
          </cell>
        </row>
        <row r="436">
          <cell r="BJ436" t="str">
            <v>Profit Centre</v>
          </cell>
          <cell r="BL436" t="str">
            <v>Gross Turnover</v>
          </cell>
          <cell r="BO436" t="str">
            <v>Achieved Gross Profit</v>
          </cell>
          <cell r="BR436" t="str">
            <v>Other Income</v>
          </cell>
          <cell r="BU436" t="str">
            <v>Direct Expenses</v>
          </cell>
          <cell r="BX436" t="str">
            <v>D&amp;A and Finance</v>
          </cell>
          <cell r="CA436" t="str">
            <v>Contribution</v>
          </cell>
        </row>
        <row r="437">
          <cell r="BL437">
            <v>38047</v>
          </cell>
          <cell r="BM437">
            <v>37681</v>
          </cell>
          <cell r="BN437" t="str">
            <v>Var %</v>
          </cell>
          <cell r="BO437">
            <v>38047</v>
          </cell>
          <cell r="BP437">
            <v>37681</v>
          </cell>
          <cell r="BQ437" t="str">
            <v>Var %</v>
          </cell>
          <cell r="BR437">
            <v>38047</v>
          </cell>
          <cell r="BS437">
            <v>37681</v>
          </cell>
          <cell r="BT437" t="str">
            <v>Var %</v>
          </cell>
          <cell r="BU437">
            <v>38047</v>
          </cell>
          <cell r="BV437">
            <v>37681</v>
          </cell>
          <cell r="BW437" t="str">
            <v>Var %</v>
          </cell>
          <cell r="BX437">
            <v>38047</v>
          </cell>
          <cell r="BY437">
            <v>37681</v>
          </cell>
          <cell r="BZ437" t="str">
            <v>Var %</v>
          </cell>
          <cell r="CA437">
            <v>38047</v>
          </cell>
          <cell r="CB437">
            <v>37681</v>
          </cell>
          <cell r="CC437" t="str">
            <v>Var %</v>
          </cell>
        </row>
        <row r="438">
          <cell r="BK438" t="str">
            <v>Department Store</v>
          </cell>
          <cell r="BL438">
            <v>0.14620947671590065</v>
          </cell>
          <cell r="BM438">
            <v>0.1986251133151711</v>
          </cell>
          <cell r="BN438">
            <v>-26.3892292995696</v>
          </cell>
          <cell r="BO438">
            <v>0.21142785366555816</v>
          </cell>
          <cell r="BP438">
            <v>0.27579744017425689</v>
          </cell>
          <cell r="BQ438">
            <v>-23.339443059380152</v>
          </cell>
          <cell r="BR438">
            <v>2.1132390023735095E-6</v>
          </cell>
          <cell r="BS438">
            <v>3.2036358201319724E-6</v>
          </cell>
          <cell r="BT438">
            <v>-34.036228803108607</v>
          </cell>
          <cell r="BU438">
            <v>8.596433433532516E-2</v>
          </cell>
          <cell r="BV438">
            <v>0.13071936635733852</v>
          </cell>
          <cell r="BW438">
            <v>34.2374915585726</v>
          </cell>
          <cell r="BX438">
            <v>6.8351284799722254E-5</v>
          </cell>
          <cell r="BY438">
            <v>2.5829804886355449E-4</v>
          </cell>
          <cell r="BZ438">
            <v>73.537823804534924</v>
          </cell>
          <cell r="CA438">
            <v>0.4908780505598262</v>
          </cell>
          <cell r="CB438">
            <v>0.54156959148554296</v>
          </cell>
          <cell r="CC438">
            <v>-9.3601158046315369</v>
          </cell>
        </row>
        <row r="439">
          <cell r="BK439" t="str">
            <v>Books and Stationery</v>
          </cell>
          <cell r="BL439">
            <v>0.42872172000622621</v>
          </cell>
          <cell r="BM439">
            <v>0.58182981940844325</v>
          </cell>
          <cell r="BN439">
            <v>-26.314928230712681</v>
          </cell>
          <cell r="BO439">
            <v>0.75651773987900572</v>
          </cell>
          <cell r="BP439">
            <v>0.96079106508173662</v>
          </cell>
          <cell r="BQ439">
            <v>-21.260951795524129</v>
          </cell>
          <cell r="BR439">
            <v>5.7240385598325227E-2</v>
          </cell>
          <cell r="BS439">
            <v>2.3525579281557126E-2</v>
          </cell>
          <cell r="BT439">
            <v>143.31126946233718</v>
          </cell>
          <cell r="BU439">
            <v>0.72184662327959381</v>
          </cell>
          <cell r="BV439">
            <v>1.0445304431833442</v>
          </cell>
          <cell r="BW439">
            <v>30.892715670433589</v>
          </cell>
          <cell r="BX439">
            <v>-8.2505267163732916E-3</v>
          </cell>
          <cell r="BY439">
            <v>0.30287058193301136</v>
          </cell>
          <cell r="BZ439">
            <v>102.72410963907947</v>
          </cell>
          <cell r="CA439">
            <v>0.84157981069416821</v>
          </cell>
          <cell r="CB439">
            <v>0.69599714817166303</v>
          </cell>
          <cell r="CC439">
            <v>20.917134920012373</v>
          </cell>
        </row>
        <row r="440">
          <cell r="BK440" t="str">
            <v>Hatton Liquor</v>
          </cell>
          <cell r="BL440">
            <v>0.45642948337937761</v>
          </cell>
          <cell r="BM440">
            <v>0.70990678249817807</v>
          </cell>
          <cell r="BN440">
            <v>-35.705715928900986</v>
          </cell>
          <cell r="BO440">
            <v>0.14840086969560257</v>
          </cell>
          <cell r="BP440">
            <v>0.20459882440803673</v>
          </cell>
          <cell r="BQ440">
            <v>-27.467388864540652</v>
          </cell>
          <cell r="BR440">
            <v>5.2830975059337738E-7</v>
          </cell>
          <cell r="BS440">
            <v>8.0090895503299311E-7</v>
          </cell>
          <cell r="BT440">
            <v>-34.036228803108607</v>
          </cell>
          <cell r="BU440">
            <v>0.21297793631116502</v>
          </cell>
          <cell r="BV440">
            <v>0.30660056160627025</v>
          </cell>
          <cell r="BW440">
            <v>30.535699218755301</v>
          </cell>
          <cell r="BX440">
            <v>0</v>
          </cell>
          <cell r="BY440">
            <v>0</v>
          </cell>
          <cell r="BZ440">
            <v>0</v>
          </cell>
          <cell r="CA440">
            <v>-2.6257340716471289E-7</v>
          </cell>
          <cell r="CB440">
            <v>-4.3043404030509641E-7</v>
          </cell>
          <cell r="CC440">
            <v>0</v>
          </cell>
        </row>
        <row r="441">
          <cell r="BK441" t="str">
            <v>Retail Division</v>
          </cell>
          <cell r="BL441">
            <v>97.688951979585298</v>
          </cell>
          <cell r="BM441">
            <v>97.158176508803024</v>
          </cell>
          <cell r="BN441">
            <v>0.54630036282554439</v>
          </cell>
          <cell r="BO441">
            <v>94.250161556388917</v>
          </cell>
          <cell r="BP441">
            <v>93.780828225083951</v>
          </cell>
          <cell r="BQ441">
            <v>0.50045765236634132</v>
          </cell>
          <cell r="BR441">
            <v>96.137416489496573</v>
          </cell>
          <cell r="BS441">
            <v>92.164049938423815</v>
          </cell>
          <cell r="BT441">
            <v>4.3111891824712822</v>
          </cell>
          <cell r="BU441">
            <v>94.458510853691635</v>
          </cell>
          <cell r="BV441">
            <v>94.573824224143891</v>
          </cell>
          <cell r="BW441">
            <v>0.12192947826552779</v>
          </cell>
          <cell r="BX441">
            <v>100.84784590904101</v>
          </cell>
          <cell r="BY441">
            <v>99.969500469592958</v>
          </cell>
          <cell r="BZ441">
            <v>-0.87861341241293367</v>
          </cell>
          <cell r="CA441">
            <v>92.433510620919847</v>
          </cell>
          <cell r="CB441">
            <v>90.438273271635467</v>
          </cell>
          <cell r="CC441">
            <v>2.206186913024748</v>
          </cell>
        </row>
        <row r="442">
          <cell r="BK442" t="str">
            <v>Commercial Division</v>
          </cell>
          <cell r="BL442">
            <v>3.634336575121309E-8</v>
          </cell>
          <cell r="BM442">
            <v>5.7719289984404319E-8</v>
          </cell>
          <cell r="BN442">
            <v>-37.034281327727655</v>
          </cell>
          <cell r="BO442">
            <v>2.2350022944328019</v>
          </cell>
          <cell r="BP442">
            <v>2.2123756240058063</v>
          </cell>
          <cell r="BQ442">
            <v>1.0227318625951434</v>
          </cell>
          <cell r="BR442">
            <v>2.2887735940440237</v>
          </cell>
          <cell r="BS442">
            <v>4.1366731282036238</v>
          </cell>
          <cell r="BT442">
            <v>-44.671151838435492</v>
          </cell>
          <cell r="BU442">
            <v>4.0673463186270196</v>
          </cell>
          <cell r="BV442">
            <v>3.6602801493758892</v>
          </cell>
          <cell r="BW442">
            <v>-11.121175228091182</v>
          </cell>
          <cell r="BX442">
            <v>1.129634972012945</v>
          </cell>
          <cell r="BY442">
            <v>1.915565426720188</v>
          </cell>
          <cell r="BZ442">
            <v>41.028640616724076</v>
          </cell>
          <cell r="CA442">
            <v>-1.5607475969779996</v>
          </cell>
          <cell r="CB442">
            <v>2.07642457133171E-2</v>
          </cell>
          <cell r="CC442">
            <v>-7616.5147750925416</v>
          </cell>
        </row>
        <row r="443">
          <cell r="BK443" t="str">
            <v>Hampers</v>
          </cell>
          <cell r="BL443">
            <v>0.32351705216333432</v>
          </cell>
          <cell r="BM443">
            <v>0.42757175347646703</v>
          </cell>
          <cell r="BN443">
            <v>-24.336196314909223</v>
          </cell>
          <cell r="BO443">
            <v>0.76281389609344052</v>
          </cell>
          <cell r="BP443">
            <v>0.66143727062631208</v>
          </cell>
          <cell r="BQ443">
            <v>15.32671803799858</v>
          </cell>
          <cell r="BR443">
            <v>1.0639101757449436E-4</v>
          </cell>
          <cell r="BS443">
            <v>1.0571998206435509E-6</v>
          </cell>
          <cell r="BT443">
            <v>9963.4729118409032</v>
          </cell>
          <cell r="BU443">
            <v>0.26762510411426765</v>
          </cell>
          <cell r="BV443">
            <v>0.358276019623258</v>
          </cell>
          <cell r="BW443">
            <v>25.301976840178565</v>
          </cell>
          <cell r="BX443">
            <v>0</v>
          </cell>
          <cell r="BY443">
            <v>0</v>
          </cell>
          <cell r="BZ443">
            <v>0</v>
          </cell>
          <cell r="CA443">
            <v>1.8671476666028055</v>
          </cell>
          <cell r="CB443">
            <v>1.2131448979036692</v>
          </cell>
          <cell r="CC443">
            <v>53.909699478542251</v>
          </cell>
        </row>
        <row r="444">
          <cell r="BK444" t="str">
            <v>Wines &amp; Spirits</v>
          </cell>
          <cell r="BL444">
            <v>1.9875309319080068</v>
          </cell>
          <cell r="BM444">
            <v>2.4142516800011919</v>
          </cell>
          <cell r="BN444">
            <v>-17.675073051744732</v>
          </cell>
          <cell r="BO444">
            <v>2.7520222530848271</v>
          </cell>
          <cell r="BP444">
            <v>3.3453588802839329</v>
          </cell>
          <cell r="BQ444">
            <v>-17.736112878530605</v>
          </cell>
          <cell r="BR444">
            <v>1.5737035254418188</v>
          </cell>
          <cell r="BS444">
            <v>3.6992758761727385</v>
          </cell>
          <cell r="BT444">
            <v>-57.459146651426053</v>
          </cell>
          <cell r="BU444">
            <v>1.2065177235670743</v>
          </cell>
          <cell r="BV444">
            <v>1.4076196068569664</v>
          </cell>
          <cell r="BW444">
            <v>14.286663975854012</v>
          </cell>
          <cell r="BX444">
            <v>-1.9774808810539815</v>
          </cell>
          <cell r="BY444">
            <v>-1.8850658963131415</v>
          </cell>
          <cell r="BZ444">
            <v>4.9024803282255274</v>
          </cell>
          <cell r="CA444">
            <v>7.2600893094553527</v>
          </cell>
          <cell r="CB444">
            <v>8.3278175847475513</v>
          </cell>
          <cell r="CC444">
            <v>-12.821225542304738</v>
          </cell>
        </row>
        <row r="445">
          <cell r="BK445" t="str">
            <v xml:space="preserve">Total </v>
          </cell>
          <cell r="BL445">
            <v>100</v>
          </cell>
          <cell r="BM445">
            <v>100</v>
          </cell>
          <cell r="BN445">
            <v>0</v>
          </cell>
          <cell r="BO445">
            <v>100</v>
          </cell>
          <cell r="BP445">
            <v>100</v>
          </cell>
          <cell r="BQ445">
            <v>0</v>
          </cell>
          <cell r="BR445">
            <v>100</v>
          </cell>
          <cell r="BS445">
            <v>100</v>
          </cell>
          <cell r="BT445">
            <v>0</v>
          </cell>
          <cell r="BU445">
            <v>100</v>
          </cell>
          <cell r="BV445">
            <v>100</v>
          </cell>
          <cell r="BW445">
            <v>0</v>
          </cell>
          <cell r="BX445">
            <v>100</v>
          </cell>
          <cell r="BY445">
            <v>100</v>
          </cell>
          <cell r="BZ445">
            <v>0</v>
          </cell>
          <cell r="CA445">
            <v>100</v>
          </cell>
          <cell r="CB445">
            <v>100</v>
          </cell>
          <cell r="CC445">
            <v>0</v>
          </cell>
        </row>
        <row r="457">
          <cell r="CE457">
            <v>23</v>
          </cell>
          <cell r="CT457" t="str">
            <v>Appendix I</v>
          </cell>
        </row>
        <row r="458">
          <cell r="CE458" t="str">
            <v>CARGILLS ( CEYLON ) LTD</v>
          </cell>
        </row>
        <row r="460">
          <cell r="CE460" t="str">
            <v xml:space="preserve"> Margin Analysis by Profit Centres/Divisions -Twelve  months ended 31st March 2004 </v>
          </cell>
        </row>
        <row r="461">
          <cell r="CF461" t="str">
            <v>YTD V YTD</v>
          </cell>
          <cell r="CU461">
            <v>38154.357810300928</v>
          </cell>
        </row>
        <row r="462">
          <cell r="CE462" t="str">
            <v>Profit Centre</v>
          </cell>
          <cell r="CG462" t="str">
            <v>Achieved Gross Profit</v>
          </cell>
          <cell r="CJ462" t="str">
            <v>Other Income</v>
          </cell>
          <cell r="CM462" t="str">
            <v>Direct Expenses</v>
          </cell>
          <cell r="CP462" t="str">
            <v>D&amp;A and Finance</v>
          </cell>
          <cell r="CS462" t="str">
            <v>Contribution</v>
          </cell>
        </row>
        <row r="463">
          <cell r="CG463">
            <v>38047</v>
          </cell>
          <cell r="CH463">
            <v>37681</v>
          </cell>
          <cell r="CI463" t="str">
            <v>Var %</v>
          </cell>
          <cell r="CJ463">
            <v>38047</v>
          </cell>
          <cell r="CK463">
            <v>37681</v>
          </cell>
          <cell r="CL463" t="str">
            <v>Var %</v>
          </cell>
          <cell r="CM463">
            <v>38047</v>
          </cell>
          <cell r="CN463">
            <v>37681</v>
          </cell>
          <cell r="CO463" t="str">
            <v>Var %</v>
          </cell>
          <cell r="CP463">
            <v>38047</v>
          </cell>
          <cell r="CQ463">
            <v>37681</v>
          </cell>
          <cell r="CR463" t="str">
            <v>Var %</v>
          </cell>
          <cell r="CS463">
            <v>38047</v>
          </cell>
          <cell r="CT463">
            <v>37681</v>
          </cell>
          <cell r="CU463" t="str">
            <v>Var %</v>
          </cell>
        </row>
        <row r="464">
          <cell r="CF464" t="str">
            <v>Staples Street</v>
          </cell>
          <cell r="CG464">
            <v>14.995549156435251</v>
          </cell>
          <cell r="CH464">
            <v>15.995098801929419</v>
          </cell>
          <cell r="CI464">
            <v>-6.249099539001266</v>
          </cell>
          <cell r="CJ464">
            <v>1.327634801486149</v>
          </cell>
          <cell r="CK464">
            <v>0.98722561621849647</v>
          </cell>
          <cell r="CL464">
            <v>34.481397126987829</v>
          </cell>
          <cell r="CM464">
            <v>8.3263055544155176</v>
          </cell>
          <cell r="CN464">
            <v>8.2886428228170335</v>
          </cell>
          <cell r="CO464">
            <v>-0.45438960760627634</v>
          </cell>
          <cell r="CP464">
            <v>0.91415552664169653</v>
          </cell>
          <cell r="CQ464">
            <v>0.99878864388994582</v>
          </cell>
          <cell r="CR464">
            <v>8.4735762431811157</v>
          </cell>
          <cell r="CS464">
            <v>7.0827228768641834</v>
          </cell>
          <cell r="CT464">
            <v>7.6948929514409334</v>
          </cell>
          <cell r="CU464">
            <v>-7.9555372432064315</v>
          </cell>
        </row>
        <row r="465">
          <cell r="CF465" t="str">
            <v>Kandy</v>
          </cell>
          <cell r="CG465">
            <v>12.723715035291342</v>
          </cell>
          <cell r="CH465">
            <v>13.094593578047345</v>
          </cell>
          <cell r="CI465">
            <v>-2.8323028167729372</v>
          </cell>
          <cell r="CJ465">
            <v>1.1936070393212068</v>
          </cell>
          <cell r="CK465">
            <v>1.0684382006129254</v>
          </cell>
          <cell r="CL465">
            <v>11.715122001111201</v>
          </cell>
          <cell r="CM465">
            <v>5.6807571590147026</v>
          </cell>
          <cell r="CN465">
            <v>6.2418298788005409</v>
          </cell>
          <cell r="CO465">
            <v>8.9889139992654954</v>
          </cell>
          <cell r="CP465">
            <v>0.99767854729925531</v>
          </cell>
          <cell r="CQ465">
            <v>0.97634205035574495</v>
          </cell>
          <cell r="CR465">
            <v>-2.1853506090141348</v>
          </cell>
          <cell r="CS465">
            <v>7.2388863682985898</v>
          </cell>
          <cell r="CT465">
            <v>6.9448598495039855</v>
          </cell>
          <cell r="CU465">
            <v>4.2337286160728533</v>
          </cell>
        </row>
        <row r="466">
          <cell r="CF466" t="str">
            <v>Mount Lavinia</v>
          </cell>
          <cell r="CG466">
            <v>11.105430766679653</v>
          </cell>
          <cell r="CH466">
            <v>10.9720250735537</v>
          </cell>
          <cell r="CI466">
            <v>1.21587120182131</v>
          </cell>
          <cell r="CJ466">
            <v>0.68889841259187878</v>
          </cell>
          <cell r="CK466">
            <v>0.9520422946606113</v>
          </cell>
          <cell r="CL466">
            <v>-27.639936118861119</v>
          </cell>
          <cell r="CM466">
            <v>6.2927862089599591</v>
          </cell>
          <cell r="CN466">
            <v>6.6822937378202569</v>
          </cell>
          <cell r="CO466">
            <v>5.8289495215658382</v>
          </cell>
          <cell r="CP466">
            <v>0.33013519308476491</v>
          </cell>
          <cell r="CQ466">
            <v>0.43747563002041812</v>
          </cell>
          <cell r="CR466">
            <v>24.536323756055474</v>
          </cell>
          <cell r="CS466">
            <v>5.1714077772268094</v>
          </cell>
          <cell r="CT466">
            <v>4.8042980003736373</v>
          </cell>
          <cell r="CU466">
            <v>7.6412782226377614</v>
          </cell>
        </row>
        <row r="467">
          <cell r="CF467" t="str">
            <v>Wellawatte</v>
          </cell>
          <cell r="CG467">
            <v>14.716154257556525</v>
          </cell>
          <cell r="CH467">
            <v>16.133487674936458</v>
          </cell>
          <cell r="CI467">
            <v>-8.7850404446756727</v>
          </cell>
          <cell r="CJ467">
            <v>0.86711476672774679</v>
          </cell>
          <cell r="CK467">
            <v>0.87790551305687237</v>
          </cell>
          <cell r="CL467">
            <v>-1.2291466642636897</v>
          </cell>
          <cell r="CM467">
            <v>14.293096221149796</v>
          </cell>
          <cell r="CN467">
            <v>9.4948788232635088</v>
          </cell>
          <cell r="CO467">
            <v>-50.534793410213098</v>
          </cell>
          <cell r="CP467">
            <v>0.30969873417711558</v>
          </cell>
          <cell r="CQ467">
            <v>0.38171374157938337</v>
          </cell>
          <cell r="CR467">
            <v>18.866233922912397</v>
          </cell>
          <cell r="CS467">
            <v>0.98047406895735967</v>
          </cell>
          <cell r="CT467">
            <v>7.1348006231504346</v>
          </cell>
          <cell r="CU467">
            <v>-86.257863103055811</v>
          </cell>
        </row>
        <row r="468">
          <cell r="CF468" t="str">
            <v>Bambalapitiya</v>
          </cell>
          <cell r="CG468">
            <v>15.053207510857849</v>
          </cell>
          <cell r="CH468">
            <v>15.821153181471129</v>
          </cell>
          <cell r="CI468">
            <v>-4.8539171690256797</v>
          </cell>
          <cell r="CJ468">
            <v>2.0293889438235806</v>
          </cell>
          <cell r="CK468">
            <v>1.6053700524911469</v>
          </cell>
          <cell r="CL468">
            <v>26.41253277862376</v>
          </cell>
          <cell r="CM468">
            <v>11.158669775002036</v>
          </cell>
          <cell r="CN468">
            <v>11.206687028195667</v>
          </cell>
          <cell r="CO468">
            <v>0.42846965452699154</v>
          </cell>
          <cell r="CP468">
            <v>0.37253962451529998</v>
          </cell>
          <cell r="CQ468">
            <v>0.38645931856290872</v>
          </cell>
          <cell r="CR468">
            <v>3.6018523500405268</v>
          </cell>
          <cell r="CS468">
            <v>5.5513870551640938</v>
          </cell>
          <cell r="CT468">
            <v>5.8333768872037002</v>
          </cell>
          <cell r="CU468">
            <v>-4.834075313360759</v>
          </cell>
        </row>
        <row r="469">
          <cell r="CF469" t="str">
            <v>Nuwara Eliya</v>
          </cell>
          <cell r="CG469">
            <v>12.769306610292114</v>
          </cell>
          <cell r="CH469">
            <v>12.60776942364569</v>
          </cell>
          <cell r="CI469">
            <v>1.2812511176121528</v>
          </cell>
          <cell r="CJ469">
            <v>1.4922760117448381</v>
          </cell>
          <cell r="CK469">
            <v>1.9359368558388423</v>
          </cell>
          <cell r="CL469">
            <v>-22.917113373605659</v>
          </cell>
          <cell r="CM469">
            <v>9.1930693980462976</v>
          </cell>
          <cell r="CN469">
            <v>10.558930867874292</v>
          </cell>
          <cell r="CO469">
            <v>12.93560386860424</v>
          </cell>
          <cell r="CP469">
            <v>1.85769313738401</v>
          </cell>
          <cell r="CQ469">
            <v>2.4959004426462696</v>
          </cell>
          <cell r="CR469">
            <v>25.570222848536485</v>
          </cell>
          <cell r="CS469">
            <v>3.2108200866066463</v>
          </cell>
          <cell r="CT469">
            <v>1.4888749689639718</v>
          </cell>
          <cell r="CU469">
            <v>115.65411156323515</v>
          </cell>
        </row>
        <row r="470">
          <cell r="CF470" t="str">
            <v>Bandarawela</v>
          </cell>
          <cell r="CG470">
            <v>7.8268162079347601</v>
          </cell>
          <cell r="CH470">
            <v>7.8693902402242504</v>
          </cell>
          <cell r="CI470">
            <v>-0.54100801955244116</v>
          </cell>
          <cell r="CJ470">
            <v>0.44465591831363055</v>
          </cell>
          <cell r="CK470">
            <v>0.6714307353253407</v>
          </cell>
          <cell r="CL470">
            <v>-33.774863895950006</v>
          </cell>
          <cell r="CM470">
            <v>4.2147993524369181</v>
          </cell>
          <cell r="CN470">
            <v>4.3148502813308003</v>
          </cell>
          <cell r="CO470">
            <v>2.3187578333082786</v>
          </cell>
          <cell r="CP470">
            <v>0.21922554523603244</v>
          </cell>
          <cell r="CQ470">
            <v>0.29097397474055364</v>
          </cell>
          <cell r="CR470">
            <v>24.65802296184583</v>
          </cell>
          <cell r="CS470">
            <v>3.8374472285754404</v>
          </cell>
          <cell r="CT470">
            <v>3.9349967194782356</v>
          </cell>
          <cell r="CU470">
            <v>-2.4790234365361772</v>
          </cell>
        </row>
        <row r="471">
          <cell r="CF471" t="str">
            <v>Maharagama</v>
          </cell>
          <cell r="CG471">
            <v>15.709898583129171</v>
          </cell>
          <cell r="CH471">
            <v>16.228409442091841</v>
          </cell>
          <cell r="CI471">
            <v>-3.1950811988869487</v>
          </cell>
          <cell r="CJ471">
            <v>1.0884459452286477</v>
          </cell>
          <cell r="CK471">
            <v>1.3282739295672925</v>
          </cell>
          <cell r="CL471">
            <v>-18.055611798145645</v>
          </cell>
          <cell r="CM471">
            <v>9.2969385152871169</v>
          </cell>
          <cell r="CN471">
            <v>9.951455565968006</v>
          </cell>
          <cell r="CO471">
            <v>6.5770986600111732</v>
          </cell>
          <cell r="CP471">
            <v>0.41836449134006237</v>
          </cell>
          <cell r="CQ471">
            <v>0.61413300319086173</v>
          </cell>
          <cell r="CR471">
            <v>31.877217285773835</v>
          </cell>
          <cell r="CS471">
            <v>7.0830415217306406</v>
          </cell>
          <cell r="CT471">
            <v>6.9910948025002684</v>
          </cell>
          <cell r="CU471">
            <v>1.3151977169225164</v>
          </cell>
        </row>
        <row r="472">
          <cell r="CF472" t="str">
            <v>Kiribathgoda</v>
          </cell>
          <cell r="CG472">
            <v>15.563055139180735</v>
          </cell>
          <cell r="CH472">
            <v>16.450373690131638</v>
          </cell>
          <cell r="CI472">
            <v>-5.3939112123829371</v>
          </cell>
          <cell r="CJ472">
            <v>0.80978410740771989</v>
          </cell>
          <cell r="CK472">
            <v>1.0709811741507975</v>
          </cell>
          <cell r="CL472">
            <v>-24.388576853387363</v>
          </cell>
          <cell r="CM472">
            <v>9.3825096687098668</v>
          </cell>
          <cell r="CN472">
            <v>8.6866366930343855</v>
          </cell>
          <cell r="CO472">
            <v>-8.0108447062542147</v>
          </cell>
          <cell r="CP472">
            <v>0.38474673123415543</v>
          </cell>
          <cell r="CQ472">
            <v>0.38686688405436698</v>
          </cell>
          <cell r="CR472">
            <v>0.54803161180205939</v>
          </cell>
          <cell r="CS472">
            <v>6.6055828466444328</v>
          </cell>
          <cell r="CT472">
            <v>8.4478512871936804</v>
          </cell>
          <cell r="CU472">
            <v>-21.807538721023541</v>
          </cell>
        </row>
        <row r="473">
          <cell r="CF473" t="str">
            <v>Nugegoda</v>
          </cell>
          <cell r="CG473">
            <v>15.815419265026648</v>
          </cell>
          <cell r="CH473">
            <v>16.53994547430316</v>
          </cell>
          <cell r="CI473">
            <v>-4.3804631061338881</v>
          </cell>
          <cell r="CJ473">
            <v>1.9372042699545917</v>
          </cell>
          <cell r="CK473">
            <v>1.7909859341251424</v>
          </cell>
          <cell r="CL473">
            <v>8.164125303467209</v>
          </cell>
          <cell r="CM473">
            <v>10.949136948811677</v>
          </cell>
          <cell r="CN473">
            <v>10.860950638211435</v>
          </cell>
          <cell r="CO473">
            <v>-0.81195756741571123</v>
          </cell>
          <cell r="CP473">
            <v>0.68425680320150761</v>
          </cell>
          <cell r="CQ473">
            <v>0.41457454439584118</v>
          </cell>
          <cell r="CR473">
            <v>-65.050366080405141</v>
          </cell>
          <cell r="CS473">
            <v>6.1192297829680538</v>
          </cell>
          <cell r="CT473">
            <v>7.0554062258210246</v>
          </cell>
          <cell r="CU473">
            <v>-13.268923331824592</v>
          </cell>
        </row>
        <row r="474">
          <cell r="CF474" t="str">
            <v>Fort</v>
          </cell>
          <cell r="CG474">
            <v>10.862231895422132</v>
          </cell>
          <cell r="CH474">
            <v>11.427643764758621</v>
          </cell>
          <cell r="CI474">
            <v>-4.9477554688932948</v>
          </cell>
          <cell r="CJ474">
            <v>1.0342119325321228</v>
          </cell>
          <cell r="CK474">
            <v>1.1690470202624579</v>
          </cell>
          <cell r="CL474">
            <v>-11.533760866185157</v>
          </cell>
          <cell r="CM474">
            <v>4.7853057398561685</v>
          </cell>
          <cell r="CN474">
            <v>5.0039011216892186</v>
          </cell>
          <cell r="CO474">
            <v>4.3684992272440564</v>
          </cell>
          <cell r="CP474">
            <v>0.26046118192680762</v>
          </cell>
          <cell r="CQ474">
            <v>0.35344122118955779</v>
          </cell>
          <cell r="CR474">
            <v>26.307072771481586</v>
          </cell>
          <cell r="CS474">
            <v>6.8506769061712784</v>
          </cell>
          <cell r="CT474">
            <v>7.2393484421423011</v>
          </cell>
          <cell r="CU474">
            <v>-5.368874548273646</v>
          </cell>
        </row>
        <row r="475">
          <cell r="CF475" t="str">
            <v>Malabe</v>
          </cell>
          <cell r="CG475">
            <v>15.084962626277479</v>
          </cell>
          <cell r="CH475">
            <v>16.197420796719587</v>
          </cell>
          <cell r="CI475">
            <v>-6.8681192172732288</v>
          </cell>
          <cell r="CJ475">
            <v>1.1558003224300981</v>
          </cell>
          <cell r="CK475">
            <v>1.3265205711208266</v>
          </cell>
          <cell r="CL475">
            <v>-12.869777703219526</v>
          </cell>
          <cell r="CM475">
            <v>10.00770263309369</v>
          </cell>
          <cell r="CN475">
            <v>11.794480181850316</v>
          </cell>
          <cell r="CO475">
            <v>15.149269159875068</v>
          </cell>
          <cell r="CP475">
            <v>0.40413104721144938</v>
          </cell>
          <cell r="CQ475">
            <v>1.2913682882546109</v>
          </cell>
          <cell r="CR475">
            <v>68.70520587448641</v>
          </cell>
          <cell r="CS475">
            <v>5.828929268402435</v>
          </cell>
          <cell r="CT475">
            <v>4.4380928977354834</v>
          </cell>
          <cell r="CU475">
            <v>31.338604276999689</v>
          </cell>
        </row>
        <row r="476">
          <cell r="CF476" t="str">
            <v>Negombo</v>
          </cell>
          <cell r="CG476">
            <v>10.494500238408371</v>
          </cell>
          <cell r="CH476">
            <v>15.026769089119515</v>
          </cell>
          <cell r="CI476">
            <v>-30.161299636878297</v>
          </cell>
          <cell r="CJ476">
            <v>2.5969447885553341</v>
          </cell>
          <cell r="CK476">
            <v>2.0694025955537518</v>
          </cell>
          <cell r="CL476">
            <v>25.492487258643703</v>
          </cell>
          <cell r="CM476">
            <v>6.6969896120229606</v>
          </cell>
          <cell r="CN476">
            <v>9.0764900788962102</v>
          </cell>
          <cell r="CO476">
            <v>26.216086242476454</v>
          </cell>
          <cell r="CP476">
            <v>0.42538529796707159</v>
          </cell>
          <cell r="CQ476">
            <v>1.2773924884767733</v>
          </cell>
          <cell r="CR476">
            <v>66.698935385605537</v>
          </cell>
          <cell r="CS476">
            <v>5.9690701169736728</v>
          </cell>
          <cell r="CT476">
            <v>6.7422891173002846</v>
          </cell>
          <cell r="CU476">
            <v>-11.468197030331746</v>
          </cell>
        </row>
        <row r="477">
          <cell r="CF477" t="str">
            <v>Rajagiriya</v>
          </cell>
          <cell r="CG477">
            <v>15.651418505075226</v>
          </cell>
          <cell r="CH477">
            <v>16.289487075516899</v>
          </cell>
          <cell r="CI477">
            <v>-3.9170574707701524</v>
          </cell>
          <cell r="CJ477">
            <v>0.98392794956397422</v>
          </cell>
          <cell r="CK477">
            <v>1.1024830558066321</v>
          </cell>
          <cell r="CL477">
            <v>-10.75346288709326</v>
          </cell>
          <cell r="CM477">
            <v>9.0733460787541826</v>
          </cell>
          <cell r="CN477">
            <v>9.6544765734119053</v>
          </cell>
          <cell r="CO477">
            <v>6.0192853567860531</v>
          </cell>
          <cell r="CP477">
            <v>0.63481181276761034</v>
          </cell>
          <cell r="CQ477">
            <v>1.1653676243164202</v>
          </cell>
          <cell r="CR477">
            <v>45.5269050279325</v>
          </cell>
          <cell r="CS477">
            <v>6.9271885631174088</v>
          </cell>
          <cell r="CT477">
            <v>6.5721259335952036</v>
          </cell>
          <cell r="CU477">
            <v>5.402553650215471</v>
          </cell>
        </row>
        <row r="478">
          <cell r="CF478" t="str">
            <v>Boralesgamuwa</v>
          </cell>
          <cell r="CG478">
            <v>14.457897974049494</v>
          </cell>
          <cell r="CH478">
            <v>16.055701344018878</v>
          </cell>
          <cell r="CI478">
            <v>-9.9516261279025517</v>
          </cell>
          <cell r="CJ478">
            <v>0.90645378886269956</v>
          </cell>
          <cell r="CK478">
            <v>1.7014924686871575</v>
          </cell>
          <cell r="CL478">
            <v>-46.725959383052469</v>
          </cell>
          <cell r="CM478">
            <v>13.091714960101008</v>
          </cell>
          <cell r="CN478">
            <v>15.254125900383727</v>
          </cell>
          <cell r="CO478">
            <v>14.175908566667344</v>
          </cell>
          <cell r="CP478">
            <v>0.86500444846303992</v>
          </cell>
          <cell r="CQ478">
            <v>2.1426437175452921</v>
          </cell>
          <cell r="CR478">
            <v>59.629104858645036</v>
          </cell>
          <cell r="CS478">
            <v>1.4076323543481462</v>
          </cell>
          <cell r="CT478">
            <v>0.36042419477701781</v>
          </cell>
          <cell r="CU478">
            <v>290.54879632012501</v>
          </cell>
        </row>
        <row r="479">
          <cell r="CF479" t="str">
            <v>Pitakotte</v>
          </cell>
          <cell r="CG479">
            <v>15.703440479145195</v>
          </cell>
          <cell r="CH479">
            <v>16.384302542572087</v>
          </cell>
          <cell r="CI479">
            <v>-4.1555755068473399</v>
          </cell>
          <cell r="CJ479">
            <v>1.2646429747159693</v>
          </cell>
          <cell r="CK479">
            <v>1.5231350215362003</v>
          </cell>
          <cell r="CL479">
            <v>-16.971052675259322</v>
          </cell>
          <cell r="CM479">
            <v>9.7488207291571083</v>
          </cell>
          <cell r="CN479">
            <v>10.493595303798665</v>
          </cell>
          <cell r="CO479">
            <v>7.0974204081602972</v>
          </cell>
          <cell r="CP479">
            <v>1.5127911635163356</v>
          </cell>
          <cell r="CQ479">
            <v>1.8911285395634376</v>
          </cell>
          <cell r="CR479">
            <v>20.005904841055401</v>
          </cell>
          <cell r="CS479">
            <v>5.7064715611877208</v>
          </cell>
          <cell r="CT479">
            <v>5.5227137207461841</v>
          </cell>
          <cell r="CU479">
            <v>3.327310625413133</v>
          </cell>
        </row>
        <row r="480">
          <cell r="CF480" t="str">
            <v>Panadura</v>
          </cell>
          <cell r="CG480">
            <v>15.301933842068314</v>
          </cell>
          <cell r="CH480">
            <v>16.409268858869268</v>
          </cell>
          <cell r="CI480">
            <v>-6.7482288597059332</v>
          </cell>
          <cell r="CJ480">
            <v>0.99469312757585349</v>
          </cell>
          <cell r="CK480">
            <v>1.2231874421496203</v>
          </cell>
          <cell r="CL480">
            <v>-18.680237116579011</v>
          </cell>
          <cell r="CM480">
            <v>10.023676187340785</v>
          </cell>
          <cell r="CN480">
            <v>12.439736451955682</v>
          </cell>
          <cell r="CO480">
            <v>19.422117775132303</v>
          </cell>
          <cell r="CP480">
            <v>1.8844343860211787</v>
          </cell>
          <cell r="CQ480">
            <v>2.5451692757229147</v>
          </cell>
          <cell r="CR480">
            <v>25.960351478550077</v>
          </cell>
          <cell r="CS480">
            <v>4.3885163962822027</v>
          </cell>
          <cell r="CT480">
            <v>2.6475505733402942</v>
          </cell>
          <cell r="CU480">
            <v>65.757604046271751</v>
          </cell>
        </row>
        <row r="481">
          <cell r="CF481" t="str">
            <v>Kurunagala</v>
          </cell>
          <cell r="CG481">
            <v>14.994190877332441</v>
          </cell>
          <cell r="CH481">
            <v>16.714615173701116</v>
          </cell>
          <cell r="CI481">
            <v>-10.292933929317149</v>
          </cell>
          <cell r="CJ481">
            <v>1.4776031646166838</v>
          </cell>
          <cell r="CK481">
            <v>2.273357568414681</v>
          </cell>
          <cell r="CL481">
            <v>-35.003486246684631</v>
          </cell>
          <cell r="CM481">
            <v>11.471422070521484</v>
          </cell>
          <cell r="CN481">
            <v>15.189146345654461</v>
          </cell>
          <cell r="CO481">
            <v>24.476189711587043</v>
          </cell>
          <cell r="CP481">
            <v>2.5968564074229969</v>
          </cell>
          <cell r="CQ481">
            <v>4.1767844483702508</v>
          </cell>
          <cell r="CR481">
            <v>37.826420311532466</v>
          </cell>
          <cell r="CS481">
            <v>2.4035155640046448</v>
          </cell>
          <cell r="CT481">
            <v>-0.37795805190891268</v>
          </cell>
          <cell r="CU481">
            <v>735.92124889666025</v>
          </cell>
        </row>
        <row r="482">
          <cell r="CF482" t="str">
            <v>Matara</v>
          </cell>
          <cell r="CG482">
            <v>15.345685111939437</v>
          </cell>
          <cell r="CH482">
            <v>16.469636049735747</v>
          </cell>
          <cell r="CI482">
            <v>-6.824382362804819</v>
          </cell>
          <cell r="CJ482">
            <v>0.90872186550749845</v>
          </cell>
          <cell r="CK482">
            <v>1.3498878884717185</v>
          </cell>
          <cell r="CL482">
            <v>-32.681678732867816</v>
          </cell>
          <cell r="CM482">
            <v>12.139720172747893</v>
          </cell>
          <cell r="CN482">
            <v>15.232386343038595</v>
          </cell>
          <cell r="CO482">
            <v>20.303228270625446</v>
          </cell>
          <cell r="CP482">
            <v>2.5457893154967275</v>
          </cell>
          <cell r="CQ482">
            <v>3.4979753048355198</v>
          </cell>
          <cell r="CR482">
            <v>27.221060938380909</v>
          </cell>
          <cell r="CS482">
            <v>1.5688974892023158</v>
          </cell>
          <cell r="CT482">
            <v>-0.91083770966664779</v>
          </cell>
          <cell r="CU482">
            <v>272.24775309055963</v>
          </cell>
        </row>
        <row r="483">
          <cell r="CF483" t="str">
            <v>Wattala</v>
          </cell>
          <cell r="CG483">
            <v>9.7293045805807683</v>
          </cell>
          <cell r="CH483">
            <v>14.996309965771411</v>
          </cell>
          <cell r="CI483">
            <v>-35.122009329044353</v>
          </cell>
          <cell r="CJ483">
            <v>2.6285713494658034</v>
          </cell>
          <cell r="CK483">
            <v>2.4939706809576525</v>
          </cell>
          <cell r="CL483">
            <v>5.3970429378290028</v>
          </cell>
          <cell r="CM483">
            <v>9.0510696103095469</v>
          </cell>
          <cell r="CN483">
            <v>15.408311650318021</v>
          </cell>
          <cell r="CO483">
            <v>41.258524517689537</v>
          </cell>
          <cell r="CP483">
            <v>2.4882993629646539</v>
          </cell>
          <cell r="CQ483">
            <v>5.1624284217536465</v>
          </cell>
          <cell r="CR483">
            <v>51.799828304071802</v>
          </cell>
          <cell r="CS483">
            <v>0.81850695677237084</v>
          </cell>
          <cell r="CT483">
            <v>-3.0804594253426019</v>
          </cell>
          <cell r="CU483">
            <v>126.57093776462705</v>
          </cell>
        </row>
        <row r="484">
          <cell r="CF484" t="str">
            <v>Pelawatte</v>
          </cell>
          <cell r="CG484">
            <v>16.057638256027492</v>
          </cell>
          <cell r="CH484">
            <v>16.681132960555523</v>
          </cell>
          <cell r="CI484">
            <v>-3.7377239663658162</v>
          </cell>
          <cell r="CJ484">
            <v>1.2021037563224182</v>
          </cell>
          <cell r="CK484">
            <v>1.4199525879968757</v>
          </cell>
          <cell r="CL484">
            <v>-15.341979268601952</v>
          </cell>
          <cell r="CM484">
            <v>9.6097150028286862</v>
          </cell>
          <cell r="CN484">
            <v>10.873708070798004</v>
          </cell>
          <cell r="CO484">
            <v>11.624305708223376</v>
          </cell>
          <cell r="CP484">
            <v>1.9221853286638477</v>
          </cell>
          <cell r="CQ484">
            <v>2.6652511188100432</v>
          </cell>
          <cell r="CR484">
            <v>27.879766559405954</v>
          </cell>
          <cell r="CS484">
            <v>5.7278416808573773</v>
          </cell>
          <cell r="CT484">
            <v>4.5621263589443499</v>
          </cell>
          <cell r="CU484">
            <v>25.552017418973183</v>
          </cell>
        </row>
        <row r="485">
          <cell r="CF485" t="str">
            <v>Gampaha</v>
          </cell>
          <cell r="CG485">
            <v>12.259918751160205</v>
          </cell>
          <cell r="CH485">
            <v>16.328219311091701</v>
          </cell>
          <cell r="CI485">
            <v>-24.915763822255339</v>
          </cell>
          <cell r="CJ485">
            <v>1.621564193440276</v>
          </cell>
          <cell r="CK485">
            <v>2.2880938326016222</v>
          </cell>
          <cell r="CL485">
            <v>-29.130345515746818</v>
          </cell>
          <cell r="CM485">
            <v>10.130738795731039</v>
          </cell>
          <cell r="CN485">
            <v>15.805411394223187</v>
          </cell>
          <cell r="CO485">
            <v>35.903352699609052</v>
          </cell>
          <cell r="CP485">
            <v>3.4952916405483911</v>
          </cell>
          <cell r="CQ485">
            <v>6.4269742643751941</v>
          </cell>
          <cell r="CR485">
            <v>45.61528494173627</v>
          </cell>
          <cell r="CS485">
            <v>0.2554525083210521</v>
          </cell>
          <cell r="CT485">
            <v>-3.6160725149050545</v>
          </cell>
          <cell r="CU485">
            <v>107.0643635399485</v>
          </cell>
        </row>
        <row r="486">
          <cell r="CF486" t="str">
            <v>Ja-ela</v>
          </cell>
          <cell r="CG486">
            <v>15.748717204894906</v>
          </cell>
          <cell r="CH486">
            <v>16.489530069622841</v>
          </cell>
          <cell r="CI486">
            <v>-4.4926256940012355</v>
          </cell>
          <cell r="CJ486">
            <v>3.5574195337060042</v>
          </cell>
          <cell r="CK486">
            <v>4.1746988816972035</v>
          </cell>
          <cell r="CL486">
            <v>-14.786200525683121</v>
          </cell>
          <cell r="CM486">
            <v>10.967499525166195</v>
          </cell>
          <cell r="CN486">
            <v>13.974743920078659</v>
          </cell>
          <cell r="CO486">
            <v>21.519137753871178</v>
          </cell>
          <cell r="CP486">
            <v>4.7499994681184514</v>
          </cell>
          <cell r="CQ486">
            <v>3.3123363173052929</v>
          </cell>
          <cell r="CR486">
            <v>-43.403296437686322</v>
          </cell>
          <cell r="CS486">
            <v>3.5886377453162623</v>
          </cell>
          <cell r="CT486">
            <v>3.3771487139360929</v>
          </cell>
          <cell r="CU486">
            <v>6.2623547049450865</v>
          </cell>
        </row>
        <row r="487">
          <cell r="CF487" t="str">
            <v>Piliyandala</v>
          </cell>
          <cell r="CG487">
            <v>14.343709291808269</v>
          </cell>
          <cell r="CH487">
            <v>15.950799309973016</v>
          </cell>
          <cell r="CI487">
            <v>-10.075294578873779</v>
          </cell>
          <cell r="CJ487">
            <v>1.2655399034415138</v>
          </cell>
          <cell r="CK487">
            <v>2.0688440436798703</v>
          </cell>
          <cell r="CL487">
            <v>-38.828646494276711</v>
          </cell>
          <cell r="CM487">
            <v>12.426043007319857</v>
          </cell>
          <cell r="CN487">
            <v>19.018986101948418</v>
          </cell>
          <cell r="CO487">
            <v>34.665060793924972</v>
          </cell>
          <cell r="CP487">
            <v>5.8073154308525323</v>
          </cell>
          <cell r="CQ487">
            <v>0</v>
          </cell>
          <cell r="CR487">
            <v>0</v>
          </cell>
          <cell r="CS487">
            <v>-2.6241092429226049</v>
          </cell>
          <cell r="CT487">
            <v>-0.99934274829553382</v>
          </cell>
          <cell r="CU487">
            <v>-162.58350775029407</v>
          </cell>
        </row>
        <row r="488">
          <cell r="CF488" t="str">
            <v>Chilaw</v>
          </cell>
          <cell r="CG488">
            <v>14.204868474690116</v>
          </cell>
          <cell r="CH488">
            <v>15.840881822671813</v>
          </cell>
          <cell r="CI488">
            <v>-10.327792141219053</v>
          </cell>
          <cell r="CJ488">
            <v>1.7272108578198795</v>
          </cell>
          <cell r="CK488">
            <v>2.1048626385238598</v>
          </cell>
          <cell r="CL488">
            <v>-17.941872965583517</v>
          </cell>
          <cell r="CM488">
            <v>14.238075504360136</v>
          </cell>
          <cell r="CN488">
            <v>21.369016947663617</v>
          </cell>
          <cell r="CO488">
            <v>33.370470250308557</v>
          </cell>
          <cell r="CP488">
            <v>5.0497111910557679</v>
          </cell>
          <cell r="CQ488">
            <v>0</v>
          </cell>
          <cell r="CR488">
            <v>0</v>
          </cell>
          <cell r="CS488">
            <v>-3.3557073629059091</v>
          </cell>
          <cell r="CT488">
            <v>-3.4232724864679454</v>
          </cell>
          <cell r="CU488">
            <v>1.9736998392362395</v>
          </cell>
        </row>
        <row r="489">
          <cell r="CF489" t="str">
            <v>Ratnapura</v>
          </cell>
          <cell r="CG489">
            <v>11.302659980652434</v>
          </cell>
          <cell r="CH489">
            <v>16.216165818473939</v>
          </cell>
          <cell r="CI489">
            <v>-30.300046834892953</v>
          </cell>
          <cell r="CJ489">
            <v>2.3575333321318812</v>
          </cell>
          <cell r="CK489">
            <v>1.9990301579027112</v>
          </cell>
          <cell r="CL489">
            <v>17.933855215335758</v>
          </cell>
          <cell r="CM489">
            <v>9.1922059132558651</v>
          </cell>
          <cell r="CN489">
            <v>15.671496234286094</v>
          </cell>
          <cell r="CO489">
            <v>41.344427004071505</v>
          </cell>
          <cell r="CP489">
            <v>4.3348903919162423</v>
          </cell>
          <cell r="CQ489">
            <v>0</v>
          </cell>
          <cell r="CR489">
            <v>0</v>
          </cell>
          <cell r="CS489">
            <v>0.13309700761220802</v>
          </cell>
          <cell r="CT489">
            <v>2.5436997420905572</v>
          </cell>
          <cell r="CU489">
            <v>-94.767581825407532</v>
          </cell>
        </row>
        <row r="490">
          <cell r="CF490" t="str">
            <v>Nawala</v>
          </cell>
          <cell r="CG490">
            <v>13.419349328330277</v>
          </cell>
          <cell r="CH490">
            <v>0</v>
          </cell>
          <cell r="CI490">
            <v>0</v>
          </cell>
          <cell r="CJ490">
            <v>1.9556585226491026</v>
          </cell>
          <cell r="CK490">
            <v>0</v>
          </cell>
          <cell r="CL490">
            <v>0</v>
          </cell>
          <cell r="CM490">
            <v>7.7528264447323716</v>
          </cell>
          <cell r="CN490">
            <v>0</v>
          </cell>
          <cell r="CO490">
            <v>0</v>
          </cell>
          <cell r="CP490">
            <v>2.8786124623817018</v>
          </cell>
          <cell r="CQ490">
            <v>0</v>
          </cell>
          <cell r="CR490">
            <v>0</v>
          </cell>
          <cell r="CS490">
            <v>4.7435689438653057</v>
          </cell>
          <cell r="CT490">
            <v>0</v>
          </cell>
          <cell r="CU490">
            <v>0</v>
          </cell>
        </row>
        <row r="491">
          <cell r="CF491" t="str">
            <v>Collupitiya</v>
          </cell>
          <cell r="CG491">
            <v>15.561996998805153</v>
          </cell>
          <cell r="CH491">
            <v>15.850270691817745</v>
          </cell>
          <cell r="CI491">
            <v>-1.8187304091999181</v>
          </cell>
          <cell r="CJ491">
            <v>0.99026832869293491</v>
          </cell>
          <cell r="CK491">
            <v>0.90527923940356947</v>
          </cell>
          <cell r="CL491">
            <v>9.3881628551825962</v>
          </cell>
          <cell r="CM491">
            <v>11.186837692960147</v>
          </cell>
          <cell r="CN491">
            <v>12.671296139835549</v>
          </cell>
          <cell r="CO491">
            <v>11.715127091131722</v>
          </cell>
          <cell r="CP491">
            <v>2.0896190697401513</v>
          </cell>
          <cell r="CQ491">
            <v>0</v>
          </cell>
          <cell r="CR491">
            <v>0</v>
          </cell>
          <cell r="CS491">
            <v>3.2758085647977886</v>
          </cell>
          <cell r="CT491">
            <v>4.0842537913857644</v>
          </cell>
          <cell r="CU491">
            <v>-19.79419663619079</v>
          </cell>
        </row>
        <row r="492">
          <cell r="CF492" t="str">
            <v>Dehiwala</v>
          </cell>
          <cell r="CG492">
            <v>15.154436686366033</v>
          </cell>
          <cell r="CH492">
            <v>15.85265463109771</v>
          </cell>
          <cell r="CI492">
            <v>-4.4044228615313594</v>
          </cell>
          <cell r="CJ492">
            <v>1.1012672715756961</v>
          </cell>
          <cell r="CK492">
            <v>0.96789836582736899</v>
          </cell>
          <cell r="CL492">
            <v>0</v>
          </cell>
          <cell r="CM492">
            <v>12.636765081840052</v>
          </cell>
          <cell r="CN492">
            <v>12.532186818695095</v>
          </cell>
          <cell r="CO492">
            <v>-0.83447737141095124</v>
          </cell>
          <cell r="CP492">
            <v>1.342900647591124</v>
          </cell>
          <cell r="CQ492">
            <v>0</v>
          </cell>
          <cell r="CR492">
            <v>0</v>
          </cell>
          <cell r="CS492">
            <v>2.2760382285105516</v>
          </cell>
          <cell r="CT492">
            <v>4.2883661782299836</v>
          </cell>
          <cell r="CU492">
            <v>-46.925282638760507</v>
          </cell>
        </row>
        <row r="493">
          <cell r="CF493" t="str">
            <v>Thibirigasyaya</v>
          </cell>
          <cell r="CG493">
            <v>15.643786958964567</v>
          </cell>
          <cell r="CH493">
            <v>16.326032279089979</v>
          </cell>
          <cell r="CI493">
            <v>-4.1788801373326763</v>
          </cell>
          <cell r="CJ493">
            <v>0.36449924386846538</v>
          </cell>
          <cell r="CK493">
            <v>0.39270433529638049</v>
          </cell>
          <cell r="CL493">
            <v>0</v>
          </cell>
          <cell r="CM493">
            <v>11.593025051404323</v>
          </cell>
          <cell r="CN493">
            <v>13.314839202160512</v>
          </cell>
          <cell r="CO493">
            <v>12.931542954546538</v>
          </cell>
          <cell r="CP493">
            <v>1.9466507213332258</v>
          </cell>
          <cell r="CQ493">
            <v>0</v>
          </cell>
          <cell r="CR493">
            <v>0</v>
          </cell>
          <cell r="CS493">
            <v>2.4686104300954836</v>
          </cell>
          <cell r="CT493">
            <v>3.4038974122258479</v>
          </cell>
          <cell r="CU493">
            <v>-27.476943892935047</v>
          </cell>
        </row>
        <row r="494">
          <cell r="CF494" t="str">
            <v>Moratuwa</v>
          </cell>
          <cell r="CG494">
            <v>15.700682051088579</v>
          </cell>
          <cell r="CH494">
            <v>0</v>
          </cell>
          <cell r="CI494">
            <v>0</v>
          </cell>
          <cell r="CJ494">
            <v>0.99972561193373732</v>
          </cell>
          <cell r="CK494">
            <v>0</v>
          </cell>
          <cell r="CL494">
            <v>0</v>
          </cell>
          <cell r="CM494">
            <v>9.8578162990636429</v>
          </cell>
          <cell r="CN494">
            <v>14.388965191190801</v>
          </cell>
          <cell r="CO494">
            <v>31.490443071620007</v>
          </cell>
          <cell r="CP494">
            <v>2.1609710434658651</v>
          </cell>
          <cell r="CQ494">
            <v>0</v>
          </cell>
          <cell r="CR494">
            <v>0</v>
          </cell>
          <cell r="CS494">
            <v>4.6816203204928071</v>
          </cell>
          <cell r="CT494">
            <v>0</v>
          </cell>
          <cell r="CU494">
            <v>0</v>
          </cell>
        </row>
        <row r="495">
          <cell r="CF495" t="str">
            <v>Kegalle</v>
          </cell>
          <cell r="CG495">
            <v>14.256509629937868</v>
          </cell>
          <cell r="CH495">
            <v>0</v>
          </cell>
          <cell r="CI495">
            <v>0</v>
          </cell>
          <cell r="CJ495">
            <v>1.2285751297271899</v>
          </cell>
          <cell r="CK495">
            <v>0</v>
          </cell>
          <cell r="CL495">
            <v>0</v>
          </cell>
          <cell r="CM495">
            <v>15.176800311527316</v>
          </cell>
          <cell r="CN495">
            <v>15079879.999999998</v>
          </cell>
          <cell r="CO495">
            <v>99.999899357287262</v>
          </cell>
          <cell r="CP495">
            <v>6.3709603661905156E-3</v>
          </cell>
          <cell r="CQ495">
            <v>0</v>
          </cell>
          <cell r="CR495">
            <v>0</v>
          </cell>
          <cell r="CS495">
            <v>0.30191348777155341</v>
          </cell>
          <cell r="CT495">
            <v>0</v>
          </cell>
          <cell r="CU495">
            <v>0</v>
          </cell>
        </row>
        <row r="496">
          <cell r="CF496" t="str">
            <v>Kadawatha</v>
          </cell>
          <cell r="CG496">
            <v>15.12071140007334</v>
          </cell>
          <cell r="CH496">
            <v>0</v>
          </cell>
          <cell r="CI496">
            <v>0</v>
          </cell>
          <cell r="CJ496">
            <v>1.287659187318702</v>
          </cell>
          <cell r="CK496">
            <v>0</v>
          </cell>
          <cell r="CL496">
            <v>0</v>
          </cell>
          <cell r="CM496">
            <v>15.560868016753293</v>
          </cell>
          <cell r="CN496">
            <v>35455012</v>
          </cell>
          <cell r="CO496">
            <v>99.999956110949796</v>
          </cell>
          <cell r="CP496">
            <v>0</v>
          </cell>
          <cell r="CQ496">
            <v>0</v>
          </cell>
          <cell r="CR496">
            <v>0</v>
          </cell>
          <cell r="CS496">
            <v>0.84750257063874912</v>
          </cell>
          <cell r="CT496">
            <v>0</v>
          </cell>
          <cell r="CU496">
            <v>0</v>
          </cell>
        </row>
        <row r="497">
          <cell r="CF497" t="str">
            <v>Aluthgama</v>
          </cell>
          <cell r="CG497">
            <v>15.887373341775252</v>
          </cell>
          <cell r="CH497">
            <v>0</v>
          </cell>
          <cell r="CI497">
            <v>0</v>
          </cell>
          <cell r="CJ497">
            <v>0.71872690236086734</v>
          </cell>
          <cell r="CK497">
            <v>0</v>
          </cell>
          <cell r="CL497">
            <v>0</v>
          </cell>
          <cell r="CM497">
            <v>14.408926844338726</v>
          </cell>
          <cell r="CN497">
            <v>0</v>
          </cell>
          <cell r="CO497">
            <v>0</v>
          </cell>
          <cell r="CP497">
            <v>0</v>
          </cell>
          <cell r="CQ497">
            <v>0</v>
          </cell>
          <cell r="CR497">
            <v>0</v>
          </cell>
          <cell r="CS497">
            <v>2.1971733997973923</v>
          </cell>
          <cell r="CT497">
            <v>0</v>
          </cell>
          <cell r="CU497">
            <v>0</v>
          </cell>
        </row>
        <row r="498">
          <cell r="CF498" t="str">
            <v>Park Road</v>
          </cell>
          <cell r="CG498">
            <v>15.473212947383775</v>
          </cell>
          <cell r="CH498">
            <v>0</v>
          </cell>
          <cell r="CI498">
            <v>0</v>
          </cell>
          <cell r="CJ498">
            <v>0.6608820375469906</v>
          </cell>
          <cell r="CK498">
            <v>0</v>
          </cell>
          <cell r="CL498">
            <v>0</v>
          </cell>
          <cell r="CM498">
            <v>10.397357544376247</v>
          </cell>
          <cell r="CN498">
            <v>0</v>
          </cell>
          <cell r="CO498">
            <v>0</v>
          </cell>
          <cell r="CP498">
            <v>0</v>
          </cell>
          <cell r="CQ498">
            <v>0</v>
          </cell>
          <cell r="CR498">
            <v>0</v>
          </cell>
          <cell r="CS498">
            <v>5.7367374405545171</v>
          </cell>
          <cell r="CT498">
            <v>0</v>
          </cell>
          <cell r="CU498">
            <v>0</v>
          </cell>
        </row>
        <row r="499">
          <cell r="CF499" t="str">
            <v>Kotahena</v>
          </cell>
          <cell r="CG499">
            <v>15.527493642594919</v>
          </cell>
          <cell r="CH499">
            <v>0</v>
          </cell>
          <cell r="CI499">
            <v>0</v>
          </cell>
          <cell r="CJ499">
            <v>1.8796692706522997</v>
          </cell>
          <cell r="CK499">
            <v>0</v>
          </cell>
          <cell r="CL499">
            <v>0</v>
          </cell>
          <cell r="CM499">
            <v>12.982256772490041</v>
          </cell>
          <cell r="CN499">
            <v>0</v>
          </cell>
          <cell r="CO499">
            <v>0</v>
          </cell>
          <cell r="CP499">
            <v>0</v>
          </cell>
          <cell r="CQ499">
            <v>0</v>
          </cell>
          <cell r="CR499">
            <v>0</v>
          </cell>
          <cell r="CS499">
            <v>4.4249061407571766</v>
          </cell>
          <cell r="CT499">
            <v>0</v>
          </cell>
          <cell r="CU499">
            <v>0</v>
          </cell>
        </row>
        <row r="500">
          <cell r="CF500" t="str">
            <v>Ambalangoda</v>
          </cell>
          <cell r="CG500">
            <v>14.868995580692946</v>
          </cell>
          <cell r="CH500">
            <v>0</v>
          </cell>
          <cell r="CI500">
            <v>0</v>
          </cell>
          <cell r="CJ500">
            <v>1.0135947662673888</v>
          </cell>
          <cell r="CK500">
            <v>0</v>
          </cell>
          <cell r="CL500">
            <v>0</v>
          </cell>
          <cell r="CM500">
            <v>16.176102550184545</v>
          </cell>
          <cell r="CN500">
            <v>0</v>
          </cell>
          <cell r="CO500">
            <v>0</v>
          </cell>
          <cell r="CP500">
            <v>7.4405281468499354E-2</v>
          </cell>
          <cell r="CQ500">
            <v>0</v>
          </cell>
          <cell r="CR500">
            <v>0</v>
          </cell>
          <cell r="CS500">
            <v>-0.36791748469271324</v>
          </cell>
          <cell r="CT500">
            <v>0</v>
          </cell>
          <cell r="CU500">
            <v>0</v>
          </cell>
        </row>
        <row r="501">
          <cell r="CF501" t="str">
            <v>Katugastota</v>
          </cell>
          <cell r="CG501">
            <v>13.96310842258173</v>
          </cell>
          <cell r="CH501">
            <v>0</v>
          </cell>
          <cell r="CI501">
            <v>0</v>
          </cell>
          <cell r="CJ501">
            <v>1.3778899562133176</v>
          </cell>
          <cell r="CK501">
            <v>0</v>
          </cell>
          <cell r="CL501">
            <v>0</v>
          </cell>
          <cell r="CM501">
            <v>12.772710710120251</v>
          </cell>
          <cell r="CN501">
            <v>0</v>
          </cell>
          <cell r="CO501">
            <v>0</v>
          </cell>
          <cell r="CP501">
            <v>3.7719639660394072E-2</v>
          </cell>
          <cell r="CQ501">
            <v>0</v>
          </cell>
          <cell r="CR501">
            <v>0</v>
          </cell>
          <cell r="CS501">
            <v>2.530568029014403</v>
          </cell>
          <cell r="CT501">
            <v>0</v>
          </cell>
          <cell r="CU501">
            <v>0</v>
          </cell>
        </row>
        <row r="502">
          <cell r="CF502" t="str">
            <v>Beruwela</v>
          </cell>
          <cell r="CG502">
            <v>14.670936004541243</v>
          </cell>
          <cell r="CH502">
            <v>0</v>
          </cell>
          <cell r="CI502">
            <v>0</v>
          </cell>
          <cell r="CJ502">
            <v>1.1368913270814773</v>
          </cell>
          <cell r="CK502">
            <v>0</v>
          </cell>
          <cell r="CL502">
            <v>0</v>
          </cell>
          <cell r="CM502">
            <v>16.303340254922251</v>
          </cell>
          <cell r="CN502">
            <v>0</v>
          </cell>
          <cell r="CO502">
            <v>0</v>
          </cell>
          <cell r="CP502">
            <v>4.3009420947367864E-3</v>
          </cell>
          <cell r="CQ502">
            <v>0</v>
          </cell>
          <cell r="CR502">
            <v>0</v>
          </cell>
          <cell r="CS502">
            <v>-0.49981386539426664</v>
          </cell>
          <cell r="CT502">
            <v>0</v>
          </cell>
          <cell r="CU502">
            <v>0</v>
          </cell>
        </row>
        <row r="503">
          <cell r="CF503" t="str">
            <v>Warakapola</v>
          </cell>
          <cell r="CG503">
            <v>12.872747475691423</v>
          </cell>
          <cell r="CH503">
            <v>0</v>
          </cell>
          <cell r="CI503">
            <v>0</v>
          </cell>
          <cell r="CJ503">
            <v>1.3485125960448101</v>
          </cell>
          <cell r="CK503">
            <v>0</v>
          </cell>
          <cell r="CL503">
            <v>0</v>
          </cell>
          <cell r="CM503">
            <v>19.286283889191179</v>
          </cell>
          <cell r="CN503">
            <v>0</v>
          </cell>
          <cell r="CO503">
            <v>0</v>
          </cell>
          <cell r="CP503">
            <v>1.2078295895137882E-3</v>
          </cell>
          <cell r="CQ503">
            <v>0</v>
          </cell>
          <cell r="CR503">
            <v>0</v>
          </cell>
          <cell r="CS503">
            <v>-5.0662316470444599</v>
          </cell>
          <cell r="CT503">
            <v>0</v>
          </cell>
          <cell r="CU503">
            <v>0</v>
          </cell>
        </row>
        <row r="504">
          <cell r="CF504" t="str">
            <v>Karagampitiya</v>
          </cell>
          <cell r="CG504">
            <v>14.868753394498423</v>
          </cell>
          <cell r="CH504">
            <v>0</v>
          </cell>
          <cell r="CI504">
            <v>0</v>
          </cell>
          <cell r="CJ504">
            <v>0.90256623585350648</v>
          </cell>
          <cell r="CK504">
            <v>0</v>
          </cell>
          <cell r="CL504">
            <v>0</v>
          </cell>
          <cell r="CM504">
            <v>18.342483004268413</v>
          </cell>
          <cell r="CN504">
            <v>0</v>
          </cell>
          <cell r="CO504">
            <v>0</v>
          </cell>
          <cell r="CP504">
            <v>0</v>
          </cell>
          <cell r="CQ504">
            <v>0</v>
          </cell>
          <cell r="CR504">
            <v>0</v>
          </cell>
          <cell r="CS504">
            <v>-2.5711633739164808</v>
          </cell>
          <cell r="CT504">
            <v>0</v>
          </cell>
          <cell r="CU504">
            <v>0</v>
          </cell>
        </row>
        <row r="505">
          <cell r="CF505" t="str">
            <v>Mathale</v>
          </cell>
          <cell r="CG505">
            <v>10.681762853212243</v>
          </cell>
          <cell r="CH505">
            <v>0</v>
          </cell>
          <cell r="CI505">
            <v>0</v>
          </cell>
          <cell r="CJ505">
            <v>0.54220302889861327</v>
          </cell>
          <cell r="CK505">
            <v>0</v>
          </cell>
          <cell r="CL505">
            <v>0</v>
          </cell>
          <cell r="CM505">
            <v>11.104989052344015</v>
          </cell>
          <cell r="CN505">
            <v>0</v>
          </cell>
          <cell r="CO505">
            <v>0</v>
          </cell>
          <cell r="CP505">
            <v>8.4965717506389575E-4</v>
          </cell>
          <cell r="CQ505">
            <v>0</v>
          </cell>
          <cell r="CR505">
            <v>0</v>
          </cell>
          <cell r="CS505">
            <v>0.11812717259177603</v>
          </cell>
          <cell r="CT505">
            <v>0</v>
          </cell>
          <cell r="CU505">
            <v>0</v>
          </cell>
        </row>
        <row r="506">
          <cell r="CF506" t="str">
            <v>Peliyagoda</v>
          </cell>
          <cell r="CG506">
            <v>14.497492623204922</v>
          </cell>
          <cell r="CH506">
            <v>0</v>
          </cell>
          <cell r="CI506">
            <v>0</v>
          </cell>
          <cell r="CJ506">
            <v>0.99242847327234762</v>
          </cell>
          <cell r="CK506">
            <v>0</v>
          </cell>
          <cell r="CL506">
            <v>0</v>
          </cell>
          <cell r="CM506">
            <v>23.284898950900772</v>
          </cell>
          <cell r="CN506">
            <v>0</v>
          </cell>
          <cell r="CO506">
            <v>0</v>
          </cell>
          <cell r="CP506">
            <v>0</v>
          </cell>
          <cell r="CQ506">
            <v>0</v>
          </cell>
          <cell r="CR506">
            <v>0</v>
          </cell>
          <cell r="CS506">
            <v>-7.7949778544235002</v>
          </cell>
          <cell r="CT506">
            <v>0</v>
          </cell>
          <cell r="CU506">
            <v>0</v>
          </cell>
        </row>
        <row r="507">
          <cell r="CF507" t="str">
            <v>Kelaniya</v>
          </cell>
          <cell r="CG507">
            <v>15.213565201663418</v>
          </cell>
          <cell r="CH507">
            <v>0</v>
          </cell>
          <cell r="CI507">
            <v>0</v>
          </cell>
          <cell r="CJ507">
            <v>1.0855163590454628</v>
          </cell>
          <cell r="CK507">
            <v>0</v>
          </cell>
          <cell r="CL507">
            <v>0</v>
          </cell>
          <cell r="CM507">
            <v>18.388938750697118</v>
          </cell>
          <cell r="CN507">
            <v>0</v>
          </cell>
          <cell r="CO507">
            <v>0</v>
          </cell>
          <cell r="CP507">
            <v>0</v>
          </cell>
          <cell r="CQ507">
            <v>0</v>
          </cell>
          <cell r="CR507">
            <v>0</v>
          </cell>
          <cell r="CS507">
            <v>-2.0898571899882383</v>
          </cell>
          <cell r="CT507">
            <v>0</v>
          </cell>
          <cell r="CU507">
            <v>0</v>
          </cell>
        </row>
        <row r="508">
          <cell r="CF508" t="str">
            <v>Demategoda</v>
          </cell>
          <cell r="CG508">
            <v>15.06710484809205</v>
          </cell>
          <cell r="CH508">
            <v>0</v>
          </cell>
          <cell r="CI508">
            <v>0</v>
          </cell>
          <cell r="CJ508">
            <v>1.5392461666363311</v>
          </cell>
          <cell r="CK508">
            <v>0</v>
          </cell>
          <cell r="CL508">
            <v>0</v>
          </cell>
          <cell r="CM508">
            <v>17.167504126061953</v>
          </cell>
          <cell r="CN508">
            <v>0</v>
          </cell>
          <cell r="CO508">
            <v>0</v>
          </cell>
          <cell r="CP508">
            <v>0</v>
          </cell>
          <cell r="CQ508">
            <v>0</v>
          </cell>
          <cell r="CR508">
            <v>0</v>
          </cell>
          <cell r="CS508">
            <v>-0.56115311133357126</v>
          </cell>
          <cell r="CT508">
            <v>0</v>
          </cell>
          <cell r="CU508">
            <v>0</v>
          </cell>
        </row>
        <row r="509">
          <cell r="CF509" t="str">
            <v>Kolannawa</v>
          </cell>
          <cell r="CG509">
            <v>13.380061869563379</v>
          </cell>
          <cell r="CH509">
            <v>0</v>
          </cell>
          <cell r="CI509">
            <v>0</v>
          </cell>
          <cell r="CJ509">
            <v>0.9251254934040849</v>
          </cell>
          <cell r="CK509">
            <v>0</v>
          </cell>
          <cell r="CL509">
            <v>0</v>
          </cell>
          <cell r="CM509">
            <v>12.077477010706463</v>
          </cell>
          <cell r="CN509">
            <v>0</v>
          </cell>
          <cell r="CO509">
            <v>0</v>
          </cell>
          <cell r="CP509">
            <v>0</v>
          </cell>
          <cell r="CQ509">
            <v>0</v>
          </cell>
          <cell r="CR509">
            <v>0</v>
          </cell>
          <cell r="CS509">
            <v>2.2277103522609991</v>
          </cell>
          <cell r="CT509">
            <v>0</v>
          </cell>
          <cell r="CU509">
            <v>0</v>
          </cell>
        </row>
        <row r="510">
          <cell r="CF510" t="str">
            <v>Avissawella</v>
          </cell>
          <cell r="CG510">
            <v>14.871558321971316</v>
          </cell>
          <cell r="CH510">
            <v>0</v>
          </cell>
          <cell r="CI510">
            <v>0</v>
          </cell>
          <cell r="CJ510">
            <v>0.99212802472509676</v>
          </cell>
          <cell r="CK510">
            <v>0</v>
          </cell>
          <cell r="CL510">
            <v>0</v>
          </cell>
          <cell r="CM510">
            <v>19.425504156350428</v>
          </cell>
          <cell r="CN510">
            <v>0</v>
          </cell>
          <cell r="CO510">
            <v>0</v>
          </cell>
          <cell r="CP510">
            <v>0</v>
          </cell>
          <cell r="CQ510">
            <v>0</v>
          </cell>
          <cell r="CR510">
            <v>0</v>
          </cell>
          <cell r="CS510">
            <v>-3.5618178096540145</v>
          </cell>
          <cell r="CT510">
            <v>0</v>
          </cell>
          <cell r="CU510">
            <v>0</v>
          </cell>
        </row>
        <row r="511">
          <cell r="CF511" t="str">
            <v>Homagama</v>
          </cell>
          <cell r="CG511">
            <v>14.558671344578133</v>
          </cell>
          <cell r="CH511">
            <v>0</v>
          </cell>
          <cell r="CI511">
            <v>0</v>
          </cell>
          <cell r="CJ511">
            <v>0.59386186050744716</v>
          </cell>
          <cell r="CK511">
            <v>0</v>
          </cell>
          <cell r="CL511">
            <v>0</v>
          </cell>
          <cell r="CM511">
            <v>16.51562455274146</v>
          </cell>
          <cell r="CN511">
            <v>0</v>
          </cell>
          <cell r="CO511">
            <v>0</v>
          </cell>
          <cell r="CP511">
            <v>0</v>
          </cell>
          <cell r="CQ511">
            <v>0</v>
          </cell>
          <cell r="CR511">
            <v>0</v>
          </cell>
          <cell r="CS511">
            <v>-1.3630913476558817</v>
          </cell>
          <cell r="CT511">
            <v>0</v>
          </cell>
          <cell r="CU511">
            <v>0</v>
          </cell>
        </row>
        <row r="512">
          <cell r="CF512" t="str">
            <v>Galle</v>
          </cell>
          <cell r="CG512">
            <v>15.262210373512008</v>
          </cell>
          <cell r="CH512">
            <v>0</v>
          </cell>
          <cell r="CI512">
            <v>0</v>
          </cell>
          <cell r="CJ512">
            <v>0.42591494414890824</v>
          </cell>
          <cell r="CK512">
            <v>0</v>
          </cell>
          <cell r="CL512">
            <v>0</v>
          </cell>
          <cell r="CM512">
            <v>11.634289881438484</v>
          </cell>
          <cell r="CN512">
            <v>0</v>
          </cell>
          <cell r="CO512">
            <v>0</v>
          </cell>
          <cell r="CP512">
            <v>0</v>
          </cell>
          <cell r="CQ512">
            <v>0</v>
          </cell>
          <cell r="CR512">
            <v>0</v>
          </cell>
          <cell r="CS512">
            <v>4.0538354362224336</v>
          </cell>
          <cell r="CT512">
            <v>0</v>
          </cell>
          <cell r="CU512">
            <v>0</v>
          </cell>
        </row>
        <row r="513">
          <cell r="CF513" t="str">
            <v>Kohuwela</v>
          </cell>
          <cell r="CG513">
            <v>14.835461162521471</v>
          </cell>
          <cell r="CH513">
            <v>0</v>
          </cell>
          <cell r="CI513">
            <v>0</v>
          </cell>
          <cell r="CJ513">
            <v>0.74562855858823196</v>
          </cell>
          <cell r="CK513">
            <v>0</v>
          </cell>
          <cell r="CL513">
            <v>0</v>
          </cell>
          <cell r="CM513">
            <v>13.206837698275889</v>
          </cell>
          <cell r="CN513">
            <v>0</v>
          </cell>
          <cell r="CO513">
            <v>0</v>
          </cell>
          <cell r="CP513">
            <v>0</v>
          </cell>
          <cell r="CQ513">
            <v>0</v>
          </cell>
          <cell r="CR513">
            <v>0</v>
          </cell>
          <cell r="CS513">
            <v>2.3742520228338124</v>
          </cell>
          <cell r="CT513">
            <v>0</v>
          </cell>
          <cell r="CU513">
            <v>0</v>
          </cell>
        </row>
        <row r="514">
          <cell r="CF514" t="str">
            <v>Mt lavinia-STC</v>
          </cell>
          <cell r="CG514">
            <v>15.931896805676907</v>
          </cell>
          <cell r="CH514">
            <v>0</v>
          </cell>
          <cell r="CI514">
            <v>0</v>
          </cell>
          <cell r="CJ514">
            <v>8.7743980717313306E-4</v>
          </cell>
          <cell r="CK514">
            <v>0</v>
          </cell>
          <cell r="CL514">
            <v>0</v>
          </cell>
          <cell r="CM514">
            <v>22.114891950976208</v>
          </cell>
          <cell r="CN514">
            <v>0</v>
          </cell>
          <cell r="CO514">
            <v>0</v>
          </cell>
          <cell r="CP514">
            <v>0</v>
          </cell>
          <cell r="CQ514">
            <v>0</v>
          </cell>
          <cell r="CR514">
            <v>0</v>
          </cell>
          <cell r="CS514">
            <v>-6.1821177054921241</v>
          </cell>
          <cell r="CT514">
            <v>0</v>
          </cell>
          <cell r="CU514">
            <v>0</v>
          </cell>
        </row>
        <row r="515">
          <cell r="CF515" t="str">
            <v>Mini Mart</v>
          </cell>
          <cell r="CG515">
            <v>14.528785374165171</v>
          </cell>
          <cell r="CH515">
            <v>0</v>
          </cell>
          <cell r="CI515">
            <v>0</v>
          </cell>
          <cell r="CJ515">
            <v>5.5423100532868983E-4</v>
          </cell>
          <cell r="CK515">
            <v>0</v>
          </cell>
          <cell r="CL515">
            <v>0</v>
          </cell>
          <cell r="CM515">
            <v>12.478644312562572</v>
          </cell>
          <cell r="CN515">
            <v>14.629303184307323</v>
          </cell>
          <cell r="CO515">
            <v>14.701034250570025</v>
          </cell>
          <cell r="CP515">
            <v>-7.9554689760099014E-6</v>
          </cell>
          <cell r="CQ515">
            <v>0</v>
          </cell>
          <cell r="CR515">
            <v>0</v>
          </cell>
          <cell r="CS515">
            <v>2.0507032480769043</v>
          </cell>
          <cell r="CT515">
            <v>0</v>
          </cell>
          <cell r="CU515">
            <v>0</v>
          </cell>
        </row>
        <row r="516">
          <cell r="CF516" t="str">
            <v>Express Maligawatte</v>
          </cell>
          <cell r="CG516">
            <v>14.3253769308379</v>
          </cell>
          <cell r="CH516">
            <v>0</v>
          </cell>
          <cell r="CI516">
            <v>0</v>
          </cell>
          <cell r="CJ516">
            <v>1.9960194005106308E-2</v>
          </cell>
          <cell r="CK516">
            <v>0</v>
          </cell>
          <cell r="CL516">
            <v>0</v>
          </cell>
          <cell r="CM516">
            <v>15.209514504976932</v>
          </cell>
          <cell r="CN516">
            <v>0</v>
          </cell>
          <cell r="CO516">
            <v>0</v>
          </cell>
          <cell r="CP516">
            <v>0</v>
          </cell>
          <cell r="CQ516">
            <v>0</v>
          </cell>
          <cell r="CR516">
            <v>0</v>
          </cell>
          <cell r="CS516">
            <v>-0.86417738013392331</v>
          </cell>
          <cell r="CT516">
            <v>0</v>
          </cell>
          <cell r="CU516">
            <v>0</v>
          </cell>
        </row>
        <row r="517">
          <cell r="CF517" t="str">
            <v>Express Peradeniya</v>
          </cell>
          <cell r="CG517">
            <v>15.756828514696512</v>
          </cell>
          <cell r="CH517">
            <v>0</v>
          </cell>
          <cell r="CI517">
            <v>0</v>
          </cell>
          <cell r="CJ517">
            <v>4.815861833453461E-3</v>
          </cell>
          <cell r="CK517">
            <v>0</v>
          </cell>
          <cell r="CL517">
            <v>0</v>
          </cell>
          <cell r="CM517">
            <v>24.387646664396655</v>
          </cell>
          <cell r="CN517">
            <v>0</v>
          </cell>
          <cell r="CO517">
            <v>0</v>
          </cell>
          <cell r="CP517">
            <v>0</v>
          </cell>
          <cell r="CQ517">
            <v>0</v>
          </cell>
          <cell r="CR517">
            <v>0</v>
          </cell>
          <cell r="CS517">
            <v>-8.6260022878666938</v>
          </cell>
          <cell r="CT517">
            <v>0</v>
          </cell>
          <cell r="CU517">
            <v>0</v>
          </cell>
        </row>
        <row r="518">
          <cell r="CF518" t="str">
            <v>Express Alexandra Place</v>
          </cell>
          <cell r="CG518">
            <v>15.409574251315123</v>
          </cell>
          <cell r="CH518">
            <v>0</v>
          </cell>
          <cell r="CI518">
            <v>0</v>
          </cell>
          <cell r="CJ518">
            <v>6.4482477355937595E-2</v>
          </cell>
          <cell r="CK518">
            <v>0</v>
          </cell>
          <cell r="CL518">
            <v>0</v>
          </cell>
          <cell r="CM518">
            <v>15.012296966786748</v>
          </cell>
          <cell r="CN518">
            <v>0</v>
          </cell>
          <cell r="CO518">
            <v>0</v>
          </cell>
          <cell r="CP518">
            <v>0</v>
          </cell>
          <cell r="CQ518">
            <v>0</v>
          </cell>
          <cell r="CR518">
            <v>0</v>
          </cell>
          <cell r="CS518">
            <v>0.46175976188431089</v>
          </cell>
          <cell r="CT518">
            <v>0</v>
          </cell>
          <cell r="CU518">
            <v>0</v>
          </cell>
        </row>
        <row r="519">
          <cell r="CF519" t="str">
            <v>Express Boralla</v>
          </cell>
          <cell r="CG519">
            <v>10.810964173941723</v>
          </cell>
          <cell r="CH519">
            <v>0</v>
          </cell>
          <cell r="CI519">
            <v>0</v>
          </cell>
          <cell r="CJ519">
            <v>7.7251903443673244E-3</v>
          </cell>
          <cell r="CK519">
            <v>0</v>
          </cell>
          <cell r="CL519">
            <v>0</v>
          </cell>
          <cell r="CM519">
            <v>47.341796863470456</v>
          </cell>
          <cell r="CN519">
            <v>0</v>
          </cell>
          <cell r="CO519">
            <v>0</v>
          </cell>
          <cell r="CP519">
            <v>0</v>
          </cell>
          <cell r="CQ519">
            <v>0</v>
          </cell>
          <cell r="CR519">
            <v>0</v>
          </cell>
          <cell r="CS519">
            <v>-36.52310749918437</v>
          </cell>
          <cell r="CT519">
            <v>0</v>
          </cell>
          <cell r="CU519">
            <v>0</v>
          </cell>
        </row>
        <row r="520">
          <cell r="CF520" t="str">
            <v>Express Havelock Road</v>
          </cell>
          <cell r="CG520">
            <v>16.435775269556302</v>
          </cell>
          <cell r="CH520">
            <v>0</v>
          </cell>
          <cell r="CI520">
            <v>0</v>
          </cell>
          <cell r="CJ520">
            <v>4.651409403389653E-2</v>
          </cell>
          <cell r="CK520">
            <v>0</v>
          </cell>
          <cell r="CL520">
            <v>0</v>
          </cell>
          <cell r="CM520">
            <v>37.122870558589646</v>
          </cell>
          <cell r="CN520">
            <v>0</v>
          </cell>
          <cell r="CO520">
            <v>0</v>
          </cell>
          <cell r="CP520">
            <v>0</v>
          </cell>
          <cell r="CQ520">
            <v>0</v>
          </cell>
          <cell r="CR520">
            <v>0</v>
          </cell>
          <cell r="CS520">
            <v>-20.640581194999449</v>
          </cell>
          <cell r="CT520">
            <v>0</v>
          </cell>
          <cell r="CU520">
            <v>0</v>
          </cell>
        </row>
        <row r="521">
          <cell r="CF521" t="str">
            <v>Express Maradana</v>
          </cell>
          <cell r="CG521">
            <v>4.2137644348932541</v>
          </cell>
          <cell r="CH521">
            <v>0</v>
          </cell>
          <cell r="CI521">
            <v>0</v>
          </cell>
          <cell r="CJ521">
            <v>4.2886005138601142E-4</v>
          </cell>
          <cell r="CK521">
            <v>0</v>
          </cell>
          <cell r="CL521">
            <v>0</v>
          </cell>
          <cell r="CM521">
            <v>60.21907886865003</v>
          </cell>
          <cell r="CN521">
            <v>0</v>
          </cell>
          <cell r="CO521">
            <v>0</v>
          </cell>
          <cell r="CP521">
            <v>0</v>
          </cell>
          <cell r="CQ521">
            <v>0</v>
          </cell>
          <cell r="CR521">
            <v>0</v>
          </cell>
          <cell r="CS521">
            <v>-56.004885573705387</v>
          </cell>
          <cell r="CT521">
            <v>0</v>
          </cell>
          <cell r="CU521">
            <v>0</v>
          </cell>
        </row>
        <row r="522">
          <cell r="CF522" t="str">
            <v xml:space="preserve">Food City </v>
          </cell>
          <cell r="CG522">
            <v>13.825842067921744</v>
          </cell>
          <cell r="CH522">
            <v>14.870727271188242</v>
          </cell>
          <cell r="CI522">
            <v>-7.0264566366632479</v>
          </cell>
          <cell r="CJ522">
            <v>1.3676164764422067</v>
          </cell>
          <cell r="CK522">
            <v>1.3882018942399814</v>
          </cell>
          <cell r="CL522">
            <v>-1.4828835692552391</v>
          </cell>
          <cell r="CM522">
            <v>9.6651512956761572</v>
          </cell>
          <cell r="CN522">
            <v>10.004305182106146</v>
          </cell>
          <cell r="CO522">
            <v>3.3900793733942107</v>
          </cell>
          <cell r="CP522">
            <v>1.3537366321225537</v>
          </cell>
          <cell r="CQ522">
            <v>1.2533942541165639</v>
          </cell>
          <cell r="CR522">
            <v>-8.0056516675764229</v>
          </cell>
          <cell r="CS522">
            <v>4.1745706165652399</v>
          </cell>
          <cell r="CT522">
            <v>5.0012297292055239</v>
          </cell>
          <cell r="CU522">
            <v>-16.529116985226029</v>
          </cell>
        </row>
        <row r="523">
          <cell r="CE523">
            <v>23</v>
          </cell>
          <cell r="CT523" t="str">
            <v>Appendix I</v>
          </cell>
        </row>
        <row r="524">
          <cell r="CE524" t="str">
            <v>CARGILLS ( CEYLON ) LTD</v>
          </cell>
        </row>
        <row r="526">
          <cell r="CE526" t="str">
            <v xml:space="preserve"> Margin Analysis by Profit Centres/Divisions -Twelve  months ended 31st March 2004 </v>
          </cell>
        </row>
        <row r="527">
          <cell r="CF527" t="str">
            <v>YTD V YTD</v>
          </cell>
          <cell r="CU527">
            <v>38154.357810300928</v>
          </cell>
        </row>
        <row r="528">
          <cell r="CE528" t="str">
            <v>Profit Centre</v>
          </cell>
          <cell r="CG528" t="str">
            <v>Achieved Gross Profit</v>
          </cell>
          <cell r="CJ528" t="str">
            <v>Other Income</v>
          </cell>
          <cell r="CM528" t="str">
            <v>Direct Expenses</v>
          </cell>
          <cell r="CP528" t="str">
            <v>D&amp;A and Finance</v>
          </cell>
          <cell r="CS528" t="str">
            <v>Contribution</v>
          </cell>
        </row>
        <row r="529">
          <cell r="CG529">
            <v>38047</v>
          </cell>
          <cell r="CH529">
            <v>37681</v>
          </cell>
          <cell r="CI529" t="str">
            <v>Var %</v>
          </cell>
          <cell r="CJ529">
            <v>38047</v>
          </cell>
          <cell r="CK529">
            <v>37681</v>
          </cell>
          <cell r="CL529" t="str">
            <v>Var %</v>
          </cell>
          <cell r="CM529">
            <v>38047</v>
          </cell>
          <cell r="CN529">
            <v>37681</v>
          </cell>
          <cell r="CO529" t="str">
            <v>Var %</v>
          </cell>
          <cell r="CP529">
            <v>38047</v>
          </cell>
          <cell r="CQ529">
            <v>37681</v>
          </cell>
          <cell r="CR529" t="str">
            <v>Var %</v>
          </cell>
          <cell r="CS529">
            <v>38047</v>
          </cell>
          <cell r="CT529">
            <v>37681</v>
          </cell>
          <cell r="CU529" t="str">
            <v>Var %</v>
          </cell>
        </row>
        <row r="530">
          <cell r="CF530" t="str">
            <v>Department Store</v>
          </cell>
          <cell r="CG530">
            <v>20.749462192821522</v>
          </cell>
          <cell r="CH530">
            <v>21.392717419600004</v>
          </cell>
          <cell r="CI530">
            <v>-3.0068888124943483</v>
          </cell>
          <cell r="CJ530">
            <v>1.9885641651987752E-5</v>
          </cell>
          <cell r="CK530">
            <v>2.3247529588191574E-5</v>
          </cell>
          <cell r="CL530">
            <v>-14.461269630608282</v>
          </cell>
          <cell r="CM530">
            <v>5.8784816278545353</v>
          </cell>
          <cell r="CN530">
            <v>6.7662232434810319</v>
          </cell>
          <cell r="CO530">
            <v>13.120193994216756</v>
          </cell>
          <cell r="CP530">
            <v>6.0651207038562628E-4</v>
          </cell>
          <cell r="CQ530">
            <v>1.5645587412852931E-3</v>
          </cell>
          <cell r="CR530">
            <v>61.234304958893816</v>
          </cell>
          <cell r="CS530">
            <v>14.870393938538253</v>
          </cell>
          <cell r="CT530">
            <v>14.624952864907275</v>
          </cell>
          <cell r="CU530">
            <v>1.6782349720929124</v>
          </cell>
        </row>
        <row r="531">
          <cell r="CF531" t="str">
            <v>Books and Stationery</v>
          </cell>
          <cell r="CG531">
            <v>25.320005544189065</v>
          </cell>
          <cell r="CH531">
            <v>25.441508698961286</v>
          </cell>
          <cell r="CI531">
            <v>-0.47757841804869533</v>
          </cell>
          <cell r="CJ531">
            <v>0.18369341095659178</v>
          </cell>
          <cell r="CK531">
            <v>5.8279011481730703E-2</v>
          </cell>
          <cell r="CL531">
            <v>215.19651120742839</v>
          </cell>
          <cell r="CM531">
            <v>16.834174561212247</v>
          </cell>
          <cell r="CN531">
            <v>18.457193841272566</v>
          </cell>
          <cell r="CO531">
            <v>8.7934238217244456</v>
          </cell>
          <cell r="CP531">
            <v>-2.4967466578970931E-2</v>
          </cell>
          <cell r="CQ531">
            <v>0.62627636498256689</v>
          </cell>
          <cell r="CR531">
            <v>103.98665317342224</v>
          </cell>
          <cell r="CS531">
            <v>8.6944918605123789</v>
          </cell>
          <cell r="CT531">
            <v>6.4163175041878819</v>
          </cell>
          <cell r="CU531">
            <v>35.50594799645669</v>
          </cell>
        </row>
        <row r="532">
          <cell r="CF532" t="str">
            <v>Hatton Liquor</v>
          </cell>
          <cell r="CG532">
            <v>4.6653359462769552</v>
          </cell>
          <cell r="CH532">
            <v>4.4402936278008562</v>
          </cell>
          <cell r="CI532">
            <v>5.0681855151898079</v>
          </cell>
          <cell r="CJ532">
            <v>1.5925073674964599E-6</v>
          </cell>
          <cell r="CK532">
            <v>1.6261089880361143E-6</v>
          </cell>
          <cell r="CL532">
            <v>-2.066381822305511</v>
          </cell>
          <cell r="CM532">
            <v>4.6653400867961103</v>
          </cell>
          <cell r="CN532">
            <v>4.4402985061278208</v>
          </cell>
          <cell r="CO532">
            <v>-5.0681633308598855</v>
          </cell>
          <cell r="CP532">
            <v>0</v>
          </cell>
          <cell r="CQ532">
            <v>0</v>
          </cell>
          <cell r="CR532">
            <v>0</v>
          </cell>
          <cell r="CS532">
            <v>-2.5480117873547324E-6</v>
          </cell>
          <cell r="CT532">
            <v>-3.2522179759953243E-6</v>
          </cell>
          <cell r="CU532">
            <v>0</v>
          </cell>
        </row>
        <row r="533">
          <cell r="CF533" t="str">
            <v>Retail Division</v>
          </cell>
          <cell r="CG533">
            <v>13.843847904802775</v>
          </cell>
          <cell r="CH533">
            <v>14.871151232351759</v>
          </cell>
          <cell r="CI533">
            <v>-6.9080282454132726</v>
          </cell>
          <cell r="CJ533">
            <v>1.3539839331214014</v>
          </cell>
          <cell r="CK533">
            <v>1.3672565781518953</v>
          </cell>
          <cell r="CL533">
            <v>-0.97075013151038092</v>
          </cell>
          <cell r="CM533">
            <v>9.6675856318283486</v>
          </cell>
          <cell r="CN533">
            <v>10.007650780228685</v>
          </cell>
          <cell r="CO533">
            <v>3.3980517093199936</v>
          </cell>
          <cell r="CP533">
            <v>1.3393357595317439</v>
          </cell>
          <cell r="CQ533">
            <v>1.2379214052073089</v>
          </cell>
          <cell r="CR533">
            <v>-8.1923096165747005</v>
          </cell>
          <cell r="CS533">
            <v>4.1909104465640841</v>
          </cell>
          <cell r="CT533">
            <v>4.9928356250676744</v>
          </cell>
          <cell r="CU533">
            <v>-16.061517717053238</v>
          </cell>
        </row>
        <row r="534">
          <cell r="CF534" t="str">
            <v>Commercial Division</v>
          </cell>
          <cell r="CG534">
            <v>0</v>
          </cell>
          <cell r="CH534">
            <v>0</v>
          </cell>
          <cell r="CI534">
            <v>0</v>
          </cell>
          <cell r="CJ534">
            <v>0</v>
          </cell>
          <cell r="CK534">
            <v>0</v>
          </cell>
          <cell r="CL534">
            <v>0</v>
          </cell>
          <cell r="CM534">
            <v>0</v>
          </cell>
          <cell r="CN534">
            <v>0</v>
          </cell>
          <cell r="CO534">
            <v>0</v>
          </cell>
          <cell r="CP534">
            <v>0</v>
          </cell>
          <cell r="CQ534">
            <v>0</v>
          </cell>
          <cell r="CR534">
            <v>0</v>
          </cell>
          <cell r="CS534">
            <v>0</v>
          </cell>
          <cell r="CT534">
            <v>0</v>
          </cell>
          <cell r="CU534">
            <v>0</v>
          </cell>
        </row>
        <row r="535">
          <cell r="CF535" t="str">
            <v>Hampers</v>
          </cell>
          <cell r="CG535">
            <v>0</v>
          </cell>
          <cell r="CH535">
            <v>0</v>
          </cell>
          <cell r="CI535">
            <v>0</v>
          </cell>
          <cell r="CJ535">
            <v>0</v>
          </cell>
          <cell r="CK535">
            <v>0</v>
          </cell>
          <cell r="CL535">
            <v>0</v>
          </cell>
          <cell r="CM535">
            <v>8.270886402223109</v>
          </cell>
          <cell r="CN535">
            <v>0</v>
          </cell>
          <cell r="CO535">
            <v>0</v>
          </cell>
          <cell r="CP535">
            <v>0</v>
          </cell>
          <cell r="CQ535">
            <v>0</v>
          </cell>
          <cell r="CR535">
            <v>0</v>
          </cell>
          <cell r="CS535">
            <v>0</v>
          </cell>
          <cell r="CT535">
            <v>0</v>
          </cell>
          <cell r="CU535">
            <v>0</v>
          </cell>
        </row>
        <row r="536">
          <cell r="CF536" t="str">
            <v>Wines &amp; Spirits</v>
          </cell>
          <cell r="CG536">
            <v>19.868185742381709</v>
          </cell>
          <cell r="CH536">
            <v>21.348632130154932</v>
          </cell>
          <cell r="CI536">
            <v>-6.9346194114333644</v>
          </cell>
          <cell r="CJ536">
            <v>1.0893703123780039</v>
          </cell>
          <cell r="CK536">
            <v>2.2085233957323531</v>
          </cell>
          <cell r="CL536">
            <v>-50.674268858412283</v>
          </cell>
          <cell r="CM536">
            <v>6.0693501475734264</v>
          </cell>
          <cell r="CN536">
            <v>5.99436676799799</v>
          </cell>
          <cell r="CO536">
            <v>-1.2508974254920262</v>
          </cell>
          <cell r="CP536">
            <v>-1.2908229719473143</v>
          </cell>
          <cell r="CQ536">
            <v>-0.93939641810156327</v>
          </cell>
          <cell r="CR536">
            <v>37.409824763431921</v>
          </cell>
          <cell r="CS536">
            <v>16.1790288791336</v>
          </cell>
          <cell r="CT536">
            <v>18.502185175990864</v>
          </cell>
          <cell r="CU536">
            <v>-12.556118505785355</v>
          </cell>
        </row>
        <row r="537">
          <cell r="CF537" t="str">
            <v xml:space="preserve">Total </v>
          </cell>
          <cell r="CG537">
            <v>14.348951459100034</v>
          </cell>
          <cell r="CH537">
            <v>15.406709064822216</v>
          </cell>
          <cell r="CI537">
            <v>-6.8655648735351003</v>
          </cell>
          <cell r="CJ537">
            <v>1.3758355097703046</v>
          </cell>
          <cell r="CK537">
            <v>1.441344602821343</v>
          </cell>
          <cell r="CL537">
            <v>-4.5449986715743389</v>
          </cell>
          <cell r="CM537">
            <v>9.9982129721378996</v>
          </cell>
          <cell r="CN537">
            <v>10.281122804545454</v>
          </cell>
          <cell r="CO537">
            <v>2.7517406200271766</v>
          </cell>
          <cell r="CP537">
            <v>1.2973832561128431</v>
          </cell>
          <cell r="CQ537">
            <v>1.2031088064478244</v>
          </cell>
          <cell r="CR537">
            <v>-7.8359038816583695</v>
          </cell>
          <cell r="CS537">
            <v>4.4291907406195952</v>
          </cell>
          <cell r="CT537">
            <v>5.3638220566502932</v>
          </cell>
          <cell r="CU537">
            <v>-17.424726364139964</v>
          </cell>
        </row>
        <row r="553">
          <cell r="CE553">
            <v>24</v>
          </cell>
          <cell r="CT553" t="str">
            <v>Appendix II</v>
          </cell>
        </row>
        <row r="554">
          <cell r="CE554" t="str">
            <v>CARGILLS ( CEYLON ) LTD</v>
          </cell>
        </row>
        <row r="556">
          <cell r="CE556" t="str">
            <v xml:space="preserve"> Composition of Direct Expenses by Profit Centres/Divisions -Twelve  months ended 31st March 2004 </v>
          </cell>
        </row>
        <row r="557">
          <cell r="CF557" t="str">
            <v>YTD V YTD</v>
          </cell>
          <cell r="CU557">
            <v>38154.357810300928</v>
          </cell>
        </row>
        <row r="558">
          <cell r="CE558" t="str">
            <v>Profit Centre</v>
          </cell>
          <cell r="CG558" t="str">
            <v>Staff Related</v>
          </cell>
          <cell r="CJ558" t="str">
            <v>Administration</v>
          </cell>
          <cell r="CM558" t="str">
            <v>Establishment</v>
          </cell>
          <cell r="CP558" t="str">
            <v>Selling &amp; Distribution</v>
          </cell>
          <cell r="CS558" t="str">
            <v>D&amp;A and Finance</v>
          </cell>
        </row>
        <row r="559">
          <cell r="CG559">
            <v>38047</v>
          </cell>
          <cell r="CH559">
            <v>37681</v>
          </cell>
          <cell r="CI559" t="str">
            <v>Var %</v>
          </cell>
          <cell r="CJ559">
            <v>38047</v>
          </cell>
          <cell r="CK559">
            <v>37681</v>
          </cell>
          <cell r="CL559" t="str">
            <v>Var %</v>
          </cell>
          <cell r="CM559">
            <v>38047</v>
          </cell>
          <cell r="CN559">
            <v>37681</v>
          </cell>
          <cell r="CO559" t="str">
            <v>Var %</v>
          </cell>
          <cell r="CP559">
            <v>38047</v>
          </cell>
          <cell r="CQ559">
            <v>37681</v>
          </cell>
          <cell r="CR559" t="str">
            <v>Var %</v>
          </cell>
          <cell r="CS559">
            <v>38047</v>
          </cell>
          <cell r="CT559">
            <v>37681</v>
          </cell>
          <cell r="CU559" t="str">
            <v>Var %</v>
          </cell>
        </row>
        <row r="560">
          <cell r="CF560" t="str">
            <v>Staples Street</v>
          </cell>
          <cell r="CG560">
            <v>22.836438702002255</v>
          </cell>
          <cell r="CH560">
            <v>23.955213005107382</v>
          </cell>
          <cell r="CI560">
            <v>4.6702749120477369</v>
          </cell>
          <cell r="CJ560">
            <v>3.2789870389805063</v>
          </cell>
          <cell r="CK560">
            <v>3.3648196438774249</v>
          </cell>
          <cell r="CL560">
            <v>2.5508827806892533</v>
          </cell>
          <cell r="CM560">
            <v>37.05976910533947</v>
          </cell>
          <cell r="CN560">
            <v>38.00270982265269</v>
          </cell>
          <cell r="CO560">
            <v>2.4812459998606506</v>
          </cell>
          <cell r="CP560">
            <v>26.93184073747889</v>
          </cell>
          <cell r="CQ560">
            <v>23.923060875925895</v>
          </cell>
          <cell r="CR560">
            <v>-12.576901748307515</v>
          </cell>
          <cell r="CS560">
            <v>9.8929644161988772</v>
          </cell>
          <cell r="CT560">
            <v>10.754196652436603</v>
          </cell>
          <cell r="CU560">
            <v>8.0083363181069807</v>
          </cell>
        </row>
        <row r="561">
          <cell r="CF561" t="str">
            <v>Kandy</v>
          </cell>
          <cell r="CG561">
            <v>25.404927175792597</v>
          </cell>
          <cell r="CH561">
            <v>25.529116037060618</v>
          </cell>
          <cell r="CI561">
            <v>0.48645969992746974</v>
          </cell>
          <cell r="CJ561">
            <v>2.967093855444972</v>
          </cell>
          <cell r="CK561">
            <v>4.0286217362876711</v>
          </cell>
          <cell r="CL561">
            <v>26.34965381040924</v>
          </cell>
          <cell r="CM561">
            <v>32.405870169686075</v>
          </cell>
          <cell r="CN561">
            <v>35.695433331085283</v>
          </cell>
          <cell r="CO561">
            <v>9.215641482448401</v>
          </cell>
          <cell r="CP561">
            <v>24.28330289942495</v>
          </cell>
          <cell r="CQ561">
            <v>21.220661052265054</v>
          </cell>
          <cell r="CR561">
            <v>-14.432358349331414</v>
          </cell>
          <cell r="CS561">
            <v>14.938805899651403</v>
          </cell>
          <cell r="CT561">
            <v>13.526167843301387</v>
          </cell>
          <cell r="CU561">
            <v>-10.443741883992674</v>
          </cell>
        </row>
        <row r="562">
          <cell r="CF562" t="str">
            <v>Mount Lavinia</v>
          </cell>
          <cell r="CG562">
            <v>32.789823892639461</v>
          </cell>
          <cell r="CH562">
            <v>34.932136886221258</v>
          </cell>
          <cell r="CI562">
            <v>6.1327854077739445</v>
          </cell>
          <cell r="CJ562">
            <v>4.1101083226451074</v>
          </cell>
          <cell r="CK562">
            <v>4.6068954996734615</v>
          </cell>
          <cell r="CL562">
            <v>10.78355645496119</v>
          </cell>
          <cell r="CM562">
            <v>33.455190418182191</v>
          </cell>
          <cell r="CN562">
            <v>35.69417769966811</v>
          </cell>
          <cell r="CO562">
            <v>6.2726960691595846</v>
          </cell>
          <cell r="CP562">
            <v>24.660140676424863</v>
          </cell>
          <cell r="CQ562">
            <v>18.622270233835533</v>
          </cell>
          <cell r="CR562">
            <v>-32.422848378705659</v>
          </cell>
          <cell r="CS562">
            <v>4.9847366901083987</v>
          </cell>
          <cell r="CT562">
            <v>6.1445196806016531</v>
          </cell>
          <cell r="CU562">
            <v>18.875079758548221</v>
          </cell>
        </row>
        <row r="563">
          <cell r="CF563" t="str">
            <v>Wellawatte</v>
          </cell>
          <cell r="CG563">
            <v>29.402321445936686</v>
          </cell>
          <cell r="CH563">
            <v>33.843401163578925</v>
          </cell>
          <cell r="CI563">
            <v>13.122439131270211</v>
          </cell>
          <cell r="CJ563">
            <v>4.7620928573326244</v>
          </cell>
          <cell r="CK563">
            <v>3.7846084665375694</v>
          </cell>
          <cell r="CL563">
            <v>-25.827886806196567</v>
          </cell>
          <cell r="CM563">
            <v>47.295569262715773</v>
          </cell>
          <cell r="CN563">
            <v>39.127615860449197</v>
          </cell>
          <cell r="CO563">
            <v>-20.87516252305797</v>
          </cell>
          <cell r="CP563">
            <v>16.419198226784378</v>
          </cell>
          <cell r="CQ563">
            <v>19.379542189245804</v>
          </cell>
          <cell r="CR563">
            <v>15.275613497744006</v>
          </cell>
          <cell r="CS563">
            <v>2.1208182072305375</v>
          </cell>
          <cell r="CT563">
            <v>3.8648323201885098</v>
          </cell>
          <cell r="CU563">
            <v>45.125220668639685</v>
          </cell>
        </row>
        <row r="564">
          <cell r="CF564" t="str">
            <v>Bambalapitiya</v>
          </cell>
          <cell r="CG564">
            <v>25.478680895767425</v>
          </cell>
          <cell r="CH564">
            <v>25.021655311195595</v>
          </cell>
          <cell r="CI564">
            <v>-1.8265201837679417</v>
          </cell>
          <cell r="CJ564">
            <v>3.4162786015289539</v>
          </cell>
          <cell r="CK564">
            <v>4.1855607116544684</v>
          </cell>
          <cell r="CL564">
            <v>18.3794278263242</v>
          </cell>
          <cell r="CM564">
            <v>50.520115823213466</v>
          </cell>
          <cell r="CN564">
            <v>50.877250574136411</v>
          </cell>
          <cell r="CO564">
            <v>0.70195371584111477</v>
          </cell>
          <cell r="CP564">
            <v>17.354217373707527</v>
          </cell>
          <cell r="CQ564">
            <v>16.582018005177098</v>
          </cell>
          <cell r="CR564">
            <v>-4.6568479680177663</v>
          </cell>
          <cell r="CS564">
            <v>3.2307073057826305</v>
          </cell>
          <cell r="CT564">
            <v>3.3335153978364298</v>
          </cell>
          <cell r="CU564">
            <v>3.0840743114768685</v>
          </cell>
        </row>
        <row r="565">
          <cell r="CF565" t="str">
            <v>Nuwara Eliya</v>
          </cell>
          <cell r="CG565">
            <v>24.790840746333455</v>
          </cell>
          <cell r="CH565">
            <v>24.535066014577417</v>
          </cell>
          <cell r="CI565">
            <v>-1.0424864216956664</v>
          </cell>
          <cell r="CJ565">
            <v>4.9276311248418798</v>
          </cell>
          <cell r="CK565">
            <v>5.5191209505538072</v>
          </cell>
          <cell r="CL565">
            <v>10.717102071346622</v>
          </cell>
          <cell r="CM565">
            <v>34.450900638481869</v>
          </cell>
          <cell r="CN565">
            <v>35.994774316096674</v>
          </cell>
          <cell r="CO565">
            <v>4.2891605988605761</v>
          </cell>
          <cell r="CP565">
            <v>19.020084946984529</v>
          </cell>
          <cell r="CQ565">
            <v>14.832442826729544</v>
          </cell>
          <cell r="CR565">
            <v>-28.232990136381552</v>
          </cell>
          <cell r="CS565">
            <v>16.810542543358281</v>
          </cell>
          <cell r="CT565">
            <v>19.118595892042556</v>
          </cell>
          <cell r="CU565">
            <v>12.072295275851934</v>
          </cell>
        </row>
        <row r="566">
          <cell r="CF566" t="str">
            <v>Bandarawela</v>
          </cell>
          <cell r="CG566">
            <v>31.150531207967973</v>
          </cell>
          <cell r="CH566">
            <v>31.593312170977683</v>
          </cell>
          <cell r="CI566">
            <v>1.401502193291587</v>
          </cell>
          <cell r="CJ566">
            <v>5.9114735949494195</v>
          </cell>
          <cell r="CK566">
            <v>6.4831762510240099</v>
          </cell>
          <cell r="CL566">
            <v>8.8182494804809703</v>
          </cell>
          <cell r="CM566">
            <v>34.348965135245436</v>
          </cell>
          <cell r="CN566">
            <v>36.251576742069467</v>
          </cell>
          <cell r="CO566">
            <v>5.2483554587463672</v>
          </cell>
          <cell r="CP566">
            <v>23.644864201354849</v>
          </cell>
          <cell r="CQ566">
            <v>19.354412530187478</v>
          </cell>
          <cell r="CR566">
            <v>-22.167821753698107</v>
          </cell>
          <cell r="CS566">
            <v>4.9441658604823271</v>
          </cell>
          <cell r="CT566">
            <v>6.3175223057413552</v>
          </cell>
          <cell r="CU566">
            <v>21.738846003138345</v>
          </cell>
        </row>
        <row r="567">
          <cell r="CF567" t="str">
            <v>Maharagama</v>
          </cell>
          <cell r="CG567">
            <v>28.579042799194376</v>
          </cell>
          <cell r="CH567">
            <v>26.943844992296096</v>
          </cell>
          <cell r="CI567">
            <v>-6.0689103851578077</v>
          </cell>
          <cell r="CJ567">
            <v>3.328026129863614</v>
          </cell>
          <cell r="CK567">
            <v>3.8011541104337181</v>
          </cell>
          <cell r="CL567">
            <v>12.446956025051017</v>
          </cell>
          <cell r="CM567">
            <v>40.731509349610413</v>
          </cell>
          <cell r="CN567">
            <v>43.633105264848183</v>
          </cell>
          <cell r="CO567">
            <v>6.6499872003732028</v>
          </cell>
          <cell r="CP567">
            <v>23.055179383293549</v>
          </cell>
          <cell r="CQ567">
            <v>19.809318328555321</v>
          </cell>
          <cell r="CR567">
            <v>-16.385526250336884</v>
          </cell>
          <cell r="CS567">
            <v>4.3062423380380421</v>
          </cell>
          <cell r="CT567">
            <v>5.8125773038666892</v>
          </cell>
          <cell r="CU567">
            <v>25.915095612175186</v>
          </cell>
        </row>
        <row r="568">
          <cell r="CF568" t="str">
            <v>Kiribathgoda</v>
          </cell>
          <cell r="CG568">
            <v>36.073905603123194</v>
          </cell>
          <cell r="CH568">
            <v>35.668487942040095</v>
          </cell>
          <cell r="CI568">
            <v>-1.1366269905858841</v>
          </cell>
          <cell r="CJ568">
            <v>4.4104186300296826</v>
          </cell>
          <cell r="CK568">
            <v>4.3520102785727781</v>
          </cell>
          <cell r="CL568">
            <v>-1.3421004942125099</v>
          </cell>
          <cell r="CM568">
            <v>31.292705590652115</v>
          </cell>
          <cell r="CN568">
            <v>33.799860574471744</v>
          </cell>
          <cell r="CO568">
            <v>7.4176488932419584</v>
          </cell>
          <cell r="CP568">
            <v>24.283821704200768</v>
          </cell>
          <cell r="CQ568">
            <v>21.915942174353091</v>
          </cell>
          <cell r="CR568">
            <v>-10.804370220590672</v>
          </cell>
          <cell r="CS568">
            <v>3.9391484719942493</v>
          </cell>
          <cell r="CT568">
            <v>4.2636990305622815</v>
          </cell>
          <cell r="CU568">
            <v>7.6119481286471471</v>
          </cell>
        </row>
        <row r="569">
          <cell r="CF569" t="str">
            <v>Nugegoda</v>
          </cell>
          <cell r="CG569">
            <v>27.955320100940579</v>
          </cell>
          <cell r="CH569">
            <v>25.772457961100091</v>
          </cell>
          <cell r="CI569">
            <v>-8.4697476008505355</v>
          </cell>
          <cell r="CJ569">
            <v>2.8684086204380415</v>
          </cell>
          <cell r="CK569">
            <v>3.225890597682092</v>
          </cell>
          <cell r="CL569">
            <v>11.081652226548321</v>
          </cell>
          <cell r="CM569">
            <v>41.581549346563449</v>
          </cell>
          <cell r="CN569">
            <v>45.942924639718512</v>
          </cell>
          <cell r="CO569">
            <v>9.4930292909227934</v>
          </cell>
          <cell r="CP569">
            <v>21.712888842009768</v>
          </cell>
          <cell r="CQ569">
            <v>21.38196197075483</v>
          </cell>
          <cell r="CR569">
            <v>-1.5476917960454861</v>
          </cell>
          <cell r="CS569">
            <v>5.8818330900481683</v>
          </cell>
          <cell r="CT569">
            <v>3.6767648307444758</v>
          </cell>
          <cell r="CU569">
            <v>-59.973056771683922</v>
          </cell>
        </row>
        <row r="570">
          <cell r="CF570" t="str">
            <v>Fort</v>
          </cell>
          <cell r="CG570">
            <v>52.415813721315054</v>
          </cell>
          <cell r="CH570">
            <v>54.538780141573525</v>
          </cell>
          <cell r="CI570">
            <v>3.8925814159165397</v>
          </cell>
          <cell r="CJ570">
            <v>5.1069859626753225</v>
          </cell>
          <cell r="CK570">
            <v>6.39392684459545</v>
          </cell>
          <cell r="CL570">
            <v>20.127550927610802</v>
          </cell>
          <cell r="CM570">
            <v>5.7564638082490855</v>
          </cell>
          <cell r="CN570">
            <v>6.9147474184266038</v>
          </cell>
          <cell r="CO570">
            <v>16.750917135322876</v>
          </cell>
          <cell r="CP570">
            <v>31.558762402250899</v>
          </cell>
          <cell r="CQ570">
            <v>25.55522179997125</v>
          </cell>
          <cell r="CR570">
            <v>-23.492422211285223</v>
          </cell>
          <cell r="CS570">
            <v>5.1619741055096302</v>
          </cell>
          <cell r="CT570">
            <v>6.5973237954331587</v>
          </cell>
          <cell r="CU570">
            <v>21.756544538819139</v>
          </cell>
        </row>
        <row r="571">
          <cell r="CF571" t="str">
            <v>Malabe</v>
          </cell>
          <cell r="CG571">
            <v>28.32377869820365</v>
          </cell>
          <cell r="CH571">
            <v>27.428961108857997</v>
          </cell>
          <cell r="CI571">
            <v>-3.2623094465531093</v>
          </cell>
          <cell r="CJ571">
            <v>3.9713482713751405</v>
          </cell>
          <cell r="CK571">
            <v>4.0623181817647955</v>
          </cell>
          <cell r="CL571">
            <v>2.2393595557828747</v>
          </cell>
          <cell r="CM571">
            <v>41.670028983717636</v>
          </cell>
          <cell r="CN571">
            <v>42.351500537653138</v>
          </cell>
          <cell r="CO571">
            <v>1.609084791056296</v>
          </cell>
          <cell r="CP571">
            <v>22.153385125823021</v>
          </cell>
          <cell r="CQ571">
            <v>16.288786411354732</v>
          </cell>
          <cell r="CR571">
            <v>-36.003902110105287</v>
          </cell>
          <cell r="CS571">
            <v>3.8814589208805481</v>
          </cell>
          <cell r="CT571">
            <v>9.868433760369351</v>
          </cell>
          <cell r="CU571">
            <v>60.6679335836645</v>
          </cell>
        </row>
        <row r="572">
          <cell r="CF572" t="str">
            <v>Negombo</v>
          </cell>
          <cell r="CG572">
            <v>31.279873601844692</v>
          </cell>
          <cell r="CH572">
            <v>27.587305433408467</v>
          </cell>
          <cell r="CI572">
            <v>-13.385026592573599</v>
          </cell>
          <cell r="CJ572">
            <v>4.0857725236854732</v>
          </cell>
          <cell r="CK572">
            <v>4.0294868260487107</v>
          </cell>
          <cell r="CL572">
            <v>-1.3968453072709486</v>
          </cell>
          <cell r="CM572">
            <v>35.548459519745677</v>
          </cell>
          <cell r="CN572">
            <v>37.538684748494319</v>
          </cell>
          <cell r="CO572">
            <v>5.301797977427726</v>
          </cell>
          <cell r="CP572">
            <v>23.113373905535006</v>
          </cell>
          <cell r="CQ572">
            <v>18.50719465009804</v>
          </cell>
          <cell r="CR572">
            <v>-24.888587073960267</v>
          </cell>
          <cell r="CS572">
            <v>5.9725204491891448</v>
          </cell>
          <cell r="CT572">
            <v>12.337328341950444</v>
          </cell>
          <cell r="CU572">
            <v>51.589839520758588</v>
          </cell>
        </row>
        <row r="573">
          <cell r="CF573" t="str">
            <v>Rajagiriya</v>
          </cell>
          <cell r="CG573">
            <v>34.017054302158925</v>
          </cell>
          <cell r="CH573">
            <v>32.226581523950202</v>
          </cell>
          <cell r="CI573">
            <v>-5.5558880077866064</v>
          </cell>
          <cell r="CJ573">
            <v>4.6373481075032084</v>
          </cell>
          <cell r="CK573">
            <v>5.1290971286797502</v>
          </cell>
          <cell r="CL573">
            <v>9.5874382730420233</v>
          </cell>
          <cell r="CM573">
            <v>28.996203276995402</v>
          </cell>
          <cell r="CN573">
            <v>32.068350442577312</v>
          </cell>
          <cell r="CO573">
            <v>9.5799974840707893</v>
          </cell>
          <cell r="CP573">
            <v>25.81044202331023</v>
          </cell>
          <cell r="CQ573">
            <v>19.805320209461144</v>
          </cell>
          <cell r="CR573">
            <v>-30.320750941357648</v>
          </cell>
          <cell r="CS573">
            <v>6.5389522900322445</v>
          </cell>
          <cell r="CT573">
            <v>10.770650695331586</v>
          </cell>
          <cell r="CU573">
            <v>39.289162047874434</v>
          </cell>
        </row>
        <row r="574">
          <cell r="CF574" t="str">
            <v>Boralesgamuwa</v>
          </cell>
          <cell r="CG574">
            <v>29.280850108664236</v>
          </cell>
          <cell r="CH574">
            <v>25.182677641204087</v>
          </cell>
          <cell r="CI574">
            <v>-16.273775671712876</v>
          </cell>
          <cell r="CJ574">
            <v>4.8041474551928047</v>
          </cell>
          <cell r="CK574">
            <v>4.9761240396773587</v>
          </cell>
          <cell r="CL574">
            <v>3.4560349202168319</v>
          </cell>
          <cell r="CM574">
            <v>40.556654467603188</v>
          </cell>
          <cell r="CN574">
            <v>43.733637367487546</v>
          </cell>
          <cell r="CO574">
            <v>7.2643921043855144</v>
          </cell>
          <cell r="CP574">
            <v>19.160584560526711</v>
          </cell>
          <cell r="CQ574">
            <v>13.791230020070619</v>
          </cell>
          <cell r="CR574">
            <v>-38.933108451109696</v>
          </cell>
          <cell r="CS574">
            <v>6.1977634080130635</v>
          </cell>
          <cell r="CT574">
            <v>12.31633093156039</v>
          </cell>
          <cell r="CU574">
            <v>49.678492381757955</v>
          </cell>
        </row>
        <row r="575">
          <cell r="CF575" t="str">
            <v>Pitakotte</v>
          </cell>
          <cell r="CG575">
            <v>28.439962376848499</v>
          </cell>
          <cell r="CH575">
            <v>28.186730273190474</v>
          </cell>
          <cell r="CI575">
            <v>-0.89840893641673703</v>
          </cell>
          <cell r="CJ575">
            <v>3.8592559128090316</v>
          </cell>
          <cell r="CK575">
            <v>4.0468743256721558</v>
          </cell>
          <cell r="CL575">
            <v>4.6361314378588263</v>
          </cell>
          <cell r="CM575">
            <v>32.709666996805517</v>
          </cell>
          <cell r="CN575">
            <v>34.123163265732195</v>
          </cell>
          <cell r="CO575">
            <v>4.1423365645182324</v>
          </cell>
          <cell r="CP575">
            <v>21.557947437540484</v>
          </cell>
          <cell r="CQ575">
            <v>18.373383865215171</v>
          </cell>
          <cell r="CR575">
            <v>-17.332482659083762</v>
          </cell>
          <cell r="CS575">
            <v>13.433167275996466</v>
          </cell>
          <cell r="CT575">
            <v>15.269848270190009</v>
          </cell>
          <cell r="CU575">
            <v>12.028154842763794</v>
          </cell>
        </row>
        <row r="576">
          <cell r="CF576" t="str">
            <v>Panadura</v>
          </cell>
          <cell r="CG576">
            <v>24.371967430290027</v>
          </cell>
          <cell r="CH576">
            <v>25.570378447907515</v>
          </cell>
          <cell r="CI576">
            <v>4.6867159985876423</v>
          </cell>
          <cell r="CJ576">
            <v>2.2412501253074204</v>
          </cell>
          <cell r="CK576">
            <v>3.0926298663242355</v>
          </cell>
          <cell r="CL576">
            <v>27.529312520955756</v>
          </cell>
          <cell r="CM576">
            <v>37.531161187610259</v>
          </cell>
          <cell r="CN576">
            <v>39.724719662555707</v>
          </cell>
          <cell r="CO576">
            <v>5.5218979355393243</v>
          </cell>
          <cell r="CP576">
            <v>20.030823742427632</v>
          </cell>
          <cell r="CQ576">
            <v>14.627385217940652</v>
          </cell>
          <cell r="CR576">
            <v>-36.940563497702932</v>
          </cell>
          <cell r="CS576">
            <v>15.824797514364656</v>
          </cell>
          <cell r="CT576">
            <v>16.984886805271898</v>
          </cell>
          <cell r="CU576">
            <v>6.8301267132799799</v>
          </cell>
        </row>
        <row r="577">
          <cell r="CF577" t="str">
            <v>Kurunagala</v>
          </cell>
          <cell r="CG577">
            <v>23.856180964198824</v>
          </cell>
          <cell r="CH577">
            <v>25.326664898705847</v>
          </cell>
          <cell r="CI577">
            <v>5.8060701651331996</v>
          </cell>
          <cell r="CJ577">
            <v>3.2200322465216806</v>
          </cell>
          <cell r="CK577">
            <v>3.7687588084161616</v>
          </cell>
          <cell r="CL577">
            <v>14.559874743618467</v>
          </cell>
          <cell r="CM577">
            <v>39.598065217300572</v>
          </cell>
          <cell r="CN577">
            <v>38.797715204184001</v>
          </cell>
          <cell r="CO577">
            <v>-2.0628792414823951</v>
          </cell>
          <cell r="CP577">
            <v>14.866772159695021</v>
          </cell>
          <cell r="CQ577">
            <v>10.539168356574017</v>
          </cell>
          <cell r="CR577">
            <v>-41.062099557614289</v>
          </cell>
          <cell r="CS577">
            <v>18.458949412283911</v>
          </cell>
          <cell r="CT577">
            <v>21.567692732119969</v>
          </cell>
          <cell r="CU577">
            <v>14.413889137090319</v>
          </cell>
        </row>
        <row r="578">
          <cell r="CF578" t="str">
            <v>Matara</v>
          </cell>
          <cell r="CG578">
            <v>30.203259973895136</v>
          </cell>
          <cell r="CH578">
            <v>28.121658378399019</v>
          </cell>
          <cell r="CI578">
            <v>-7.4021295881150806</v>
          </cell>
          <cell r="CJ578">
            <v>3.2158627055881661</v>
          </cell>
          <cell r="CK578">
            <v>4.1489778758962688</v>
          </cell>
          <cell r="CL578">
            <v>22.490242132383742</v>
          </cell>
          <cell r="CM578">
            <v>34.078687621586198</v>
          </cell>
          <cell r="CN578">
            <v>38.390063984145023</v>
          </cell>
          <cell r="CO578">
            <v>11.23044849401504</v>
          </cell>
          <cell r="CP578">
            <v>15.166806697512895</v>
          </cell>
          <cell r="CQ578">
            <v>10.6638712215425</v>
          </cell>
          <cell r="CR578">
            <v>-42.226086403536456</v>
          </cell>
          <cell r="CS578">
            <v>17.335383001417608</v>
          </cell>
          <cell r="CT578">
            <v>18.675428540017208</v>
          </cell>
          <cell r="CU578">
            <v>7.1754473303152686</v>
          </cell>
        </row>
        <row r="579">
          <cell r="CF579" t="str">
            <v>Wattala</v>
          </cell>
          <cell r="CG579">
            <v>25.296360138624784</v>
          </cell>
          <cell r="CH579">
            <v>24.157432875622437</v>
          </cell>
          <cell r="CI579">
            <v>-4.7146038607092784</v>
          </cell>
          <cell r="CJ579">
            <v>2.9191449963943277</v>
          </cell>
          <cell r="CK579">
            <v>3.0806109365493568</v>
          </cell>
          <cell r="CL579">
            <v>5.2413609988637448</v>
          </cell>
          <cell r="CM579">
            <v>34.799036080088584</v>
          </cell>
          <cell r="CN579">
            <v>36.386131916421469</v>
          </cell>
          <cell r="CO579">
            <v>4.3618152101971885</v>
          </cell>
          <cell r="CP579">
            <v>15.421893491784083</v>
          </cell>
          <cell r="CQ579">
            <v>11.279846179872072</v>
          </cell>
          <cell r="CR579">
            <v>-36.72077833209412</v>
          </cell>
          <cell r="CS579">
            <v>21.563565293108219</v>
          </cell>
          <cell r="CT579">
            <v>25.095978091534661</v>
          </cell>
          <cell r="CU579">
            <v>14.07561317412048</v>
          </cell>
        </row>
        <row r="580">
          <cell r="CF580" t="str">
            <v>Pelawatte</v>
          </cell>
          <cell r="CG580">
            <v>26.540076925782031</v>
          </cell>
          <cell r="CH580">
            <v>25.380093077233891</v>
          </cell>
          <cell r="CI580">
            <v>-4.5704475748698243</v>
          </cell>
          <cell r="CJ580">
            <v>3.2220860421966391</v>
          </cell>
          <cell r="CK580">
            <v>3.492879634533125</v>
          </cell>
          <cell r="CL580">
            <v>7.7527318622498562</v>
          </cell>
          <cell r="CM580">
            <v>33.168638814254727</v>
          </cell>
          <cell r="CN580">
            <v>35.681207169879123</v>
          </cell>
          <cell r="CO580">
            <v>7.0417134253950397</v>
          </cell>
          <cell r="CP580">
            <v>20.400780407958273</v>
          </cell>
          <cell r="CQ580">
            <v>15.760029789243641</v>
          </cell>
          <cell r="CR580">
            <v>-29.446331515705541</v>
          </cell>
          <cell r="CS580">
            <v>16.668417809808332</v>
          </cell>
          <cell r="CT580">
            <v>19.68579032911024</v>
          </cell>
          <cell r="CU580">
            <v>15.327667667169994</v>
          </cell>
        </row>
        <row r="581">
          <cell r="CF581" t="str">
            <v>Gampaha</v>
          </cell>
          <cell r="CG581">
            <v>26.592457775052132</v>
          </cell>
          <cell r="CH581">
            <v>28.035934226009431</v>
          </cell>
          <cell r="CI581">
            <v>5.1486654210301293</v>
          </cell>
          <cell r="CJ581">
            <v>2.9185923871163104</v>
          </cell>
          <cell r="CK581">
            <v>3.0986537979936268</v>
          </cell>
          <cell r="CL581">
            <v>5.8109560672413902</v>
          </cell>
          <cell r="CM581">
            <v>28.95498064237907</v>
          </cell>
          <cell r="CN581">
            <v>29.055951989154917</v>
          </cell>
          <cell r="CO581">
            <v>0.34750658596054262</v>
          </cell>
          <cell r="CP581">
            <v>15.882392554010785</v>
          </cell>
          <cell r="CQ581">
            <v>10.90129707950436</v>
          </cell>
          <cell r="CR581">
            <v>-45.692686275575717</v>
          </cell>
          <cell r="CS581">
            <v>25.651576641441697</v>
          </cell>
          <cell r="CT581">
            <v>28.908162907337655</v>
          </cell>
          <cell r="CU581">
            <v>11.26528266889402</v>
          </cell>
        </row>
        <row r="582">
          <cell r="CF582" t="str">
            <v>Ja-ela</v>
          </cell>
          <cell r="CG582">
            <v>21.960238412909895</v>
          </cell>
          <cell r="CH582">
            <v>27.035472758121099</v>
          </cell>
          <cell r="CI582">
            <v>18.772500820007558</v>
          </cell>
          <cell r="CJ582">
            <v>2.5609535238067513</v>
          </cell>
          <cell r="CK582">
            <v>3.1877807594466305</v>
          </cell>
          <cell r="CL582">
            <v>19.663436194046501</v>
          </cell>
          <cell r="CM582">
            <v>30.419678649346331</v>
          </cell>
          <cell r="CN582">
            <v>37.064632948656168</v>
          </cell>
          <cell r="CO582">
            <v>17.928018627662574</v>
          </cell>
          <cell r="CP582">
            <v>14.838039721818042</v>
          </cell>
          <cell r="CQ582">
            <v>13.551351439653105</v>
          </cell>
          <cell r="CR582">
            <v>-9.4949074850196187</v>
          </cell>
          <cell r="CS582">
            <v>30.221089692118987</v>
          </cell>
          <cell r="CT582">
            <v>19.160762094123001</v>
          </cell>
          <cell r="CU582">
            <v>-57.723839707755751</v>
          </cell>
        </row>
        <row r="583">
          <cell r="CF583" t="str">
            <v>Piliyandala</v>
          </cell>
          <cell r="CG583">
            <v>23.006125011367015</v>
          </cell>
          <cell r="CH583">
            <v>34.274662217452452</v>
          </cell>
          <cell r="CI583">
            <v>32.87716487063603</v>
          </cell>
          <cell r="CJ583">
            <v>2.2290637469193477</v>
          </cell>
          <cell r="CK583">
            <v>4.7843412580973128</v>
          </cell>
          <cell r="CL583">
            <v>53.409181605790693</v>
          </cell>
          <cell r="CM583">
            <v>30.204873768728941</v>
          </cell>
          <cell r="CN583">
            <v>48.658480710433629</v>
          </cell>
          <cell r="CO583">
            <v>37.924749544734063</v>
          </cell>
          <cell r="CP583">
            <v>12.709988103840244</v>
          </cell>
          <cell r="CQ583">
            <v>12.2825158140166</v>
          </cell>
          <cell r="CR583">
            <v>-3.4803316868993557</v>
          </cell>
          <cell r="CS583">
            <v>31.849949369144444</v>
          </cell>
          <cell r="CT583">
            <v>0</v>
          </cell>
          <cell r="CU583">
            <v>0</v>
          </cell>
        </row>
        <row r="584">
          <cell r="CF584" t="str">
            <v>Chilaw</v>
          </cell>
          <cell r="CG584">
            <v>22.032679902923803</v>
          </cell>
          <cell r="CH584">
            <v>32.47897949294439</v>
          </cell>
          <cell r="CI584">
            <v>32.163262987649908</v>
          </cell>
          <cell r="CJ584">
            <v>3.4927123854373638</v>
          </cell>
          <cell r="CK584">
            <v>6.5803682508437014</v>
          </cell>
          <cell r="CL584">
            <v>46.922235165341306</v>
          </cell>
          <cell r="CM584">
            <v>35.50040242644274</v>
          </cell>
          <cell r="CN584">
            <v>47.209387672502835</v>
          </cell>
          <cell r="CO584">
            <v>24.802239180238313</v>
          </cell>
          <cell r="CP584">
            <v>12.793330979613254</v>
          </cell>
          <cell r="CQ584">
            <v>13.731264583709082</v>
          </cell>
          <cell r="CR584">
            <v>6.8306425703034153</v>
          </cell>
          <cell r="CS584">
            <v>26.180874305582837</v>
          </cell>
          <cell r="CT584">
            <v>0</v>
          </cell>
          <cell r="CU584">
            <v>0</v>
          </cell>
        </row>
        <row r="585">
          <cell r="CF585" t="str">
            <v>Ratnapura</v>
          </cell>
          <cell r="CG585">
            <v>22.601193621342155</v>
          </cell>
          <cell r="CH585">
            <v>33.980618335360134</v>
          </cell>
          <cell r="CI585">
            <v>33.487986009296897</v>
          </cell>
          <cell r="CJ585">
            <v>3.3212822034723781</v>
          </cell>
          <cell r="CK585">
            <v>6.0847794203584273</v>
          </cell>
          <cell r="CL585">
            <v>45.416555407743346</v>
          </cell>
          <cell r="CM585">
            <v>28.012938662426308</v>
          </cell>
          <cell r="CN585">
            <v>44.204337384015517</v>
          </cell>
          <cell r="CO585">
            <v>36.628529415405495</v>
          </cell>
          <cell r="CP585">
            <v>14.018606877574975</v>
          </cell>
          <cell r="CQ585">
            <v>15.73026486026593</v>
          </cell>
          <cell r="CR585">
            <v>10.881304274885672</v>
          </cell>
          <cell r="CS585">
            <v>32.045978635184177</v>
          </cell>
          <cell r="CT585">
            <v>0</v>
          </cell>
          <cell r="CU585">
            <v>0</v>
          </cell>
        </row>
        <row r="586">
          <cell r="CF586" t="str">
            <v>Nawala</v>
          </cell>
          <cell r="CG586">
            <v>22.740798259804002</v>
          </cell>
          <cell r="CH586">
            <v>32.52408004110891</v>
          </cell>
          <cell r="CI586">
            <v>30.080118389019152</v>
          </cell>
          <cell r="CJ586">
            <v>3.0983156700326999</v>
          </cell>
          <cell r="CK586">
            <v>7.1038973331100639</v>
          </cell>
          <cell r="CL586">
            <v>56.385691899121703</v>
          </cell>
          <cell r="CM586">
            <v>25.526790152895877</v>
          </cell>
          <cell r="CN586">
            <v>38.834157066856079</v>
          </cell>
          <cell r="CO586">
            <v>34.267170756534036</v>
          </cell>
          <cell r="CP586">
            <v>21.557681449462265</v>
          </cell>
          <cell r="CQ586">
            <v>21.537865558924942</v>
          </cell>
          <cell r="CR586">
            <v>-9.2004894742747478E-2</v>
          </cell>
          <cell r="CS586">
            <v>27.076414467805161</v>
          </cell>
          <cell r="CT586">
            <v>0</v>
          </cell>
          <cell r="CU586">
            <v>0</v>
          </cell>
        </row>
        <row r="587">
          <cell r="CF587" t="str">
            <v>Collupitiya</v>
          </cell>
          <cell r="CG587">
            <v>27.386083258596621</v>
          </cell>
          <cell r="CH587">
            <v>29.080001116433223</v>
          </cell>
          <cell r="CI587">
            <v>5.8250267978131642</v>
          </cell>
          <cell r="CJ587">
            <v>3.6189230197726499</v>
          </cell>
          <cell r="CK587">
            <v>5.7663373481065126</v>
          </cell>
          <cell r="CL587">
            <v>37.240525461782212</v>
          </cell>
          <cell r="CM587">
            <v>36.884204231746523</v>
          </cell>
          <cell r="CN587">
            <v>46.603926888179885</v>
          </cell>
          <cell r="CO587">
            <v>20.856016446327761</v>
          </cell>
          <cell r="CP587">
            <v>16.37150673478304</v>
          </cell>
          <cell r="CQ587">
            <v>18.549734647280367</v>
          </cell>
          <cell r="CR587">
            <v>11.742636506213763</v>
          </cell>
          <cell r="CS587">
            <v>15.739282755101168</v>
          </cell>
          <cell r="CT587">
            <v>0</v>
          </cell>
          <cell r="CU587">
            <v>0</v>
          </cell>
        </row>
        <row r="588">
          <cell r="CF588" t="str">
            <v>Dehiwala</v>
          </cell>
          <cell r="CG588">
            <v>28.694463387456775</v>
          </cell>
          <cell r="CH588">
            <v>31.340884447660233</v>
          </cell>
          <cell r="CI588">
            <v>8.4439897177216636</v>
          </cell>
          <cell r="CJ588">
            <v>4.0159218738388045</v>
          </cell>
          <cell r="CK588">
            <v>5.0909563320969724</v>
          </cell>
          <cell r="CL588">
            <v>21.116552335764382</v>
          </cell>
          <cell r="CM588">
            <v>38.458729447411059</v>
          </cell>
          <cell r="CN588">
            <v>44.559312821265429</v>
          </cell>
          <cell r="CO588">
            <v>13.690927861308793</v>
          </cell>
          <cell r="CP588">
            <v>19.22478544897783</v>
          </cell>
          <cell r="CQ588">
            <v>19.008846398977379</v>
          </cell>
          <cell r="CR588">
            <v>-1.1359923977925743</v>
          </cell>
          <cell r="CS588">
            <v>9.6060998423155137</v>
          </cell>
          <cell r="CT588">
            <v>0</v>
          </cell>
          <cell r="CU588">
            <v>0</v>
          </cell>
        </row>
        <row r="589">
          <cell r="CF589" t="str">
            <v>Thibirigasyaya</v>
          </cell>
          <cell r="CG589">
            <v>28.008372716467171</v>
          </cell>
          <cell r="CH589">
            <v>30.254947817687867</v>
          </cell>
          <cell r="CI589">
            <v>7.4254800066364242</v>
          </cell>
          <cell r="CJ589">
            <v>3.9336917590620439</v>
          </cell>
          <cell r="CK589">
            <v>5.8871014003546263</v>
          </cell>
          <cell r="CL589">
            <v>33.181178791568179</v>
          </cell>
          <cell r="CM589">
            <v>34.669432399031962</v>
          </cell>
          <cell r="CN589">
            <v>46.189973706322377</v>
          </cell>
          <cell r="CO589">
            <v>24.9416494162531</v>
          </cell>
          <cell r="CP589">
            <v>19.011122499730984</v>
          </cell>
          <cell r="CQ589">
            <v>17.667977075635143</v>
          </cell>
          <cell r="CR589">
            <v>-7.6021460654264308</v>
          </cell>
          <cell r="CS589">
            <v>14.377380625707836</v>
          </cell>
          <cell r="CT589">
            <v>0</v>
          </cell>
          <cell r="CU589">
            <v>0</v>
          </cell>
        </row>
        <row r="590">
          <cell r="CF590" t="str">
            <v>Moratuwa</v>
          </cell>
          <cell r="CG590">
            <v>26.089009341654386</v>
          </cell>
          <cell r="CH590">
            <v>33.673889456265108</v>
          </cell>
          <cell r="CI590">
            <v>22.524514503920891</v>
          </cell>
          <cell r="CJ590">
            <v>2.9953163755019183</v>
          </cell>
          <cell r="CK590">
            <v>5.4185728724322244</v>
          </cell>
          <cell r="CL590">
            <v>44.721304926228363</v>
          </cell>
          <cell r="CM590">
            <v>32.337524967841759</v>
          </cell>
          <cell r="CN590">
            <v>42.297641005785884</v>
          </cell>
          <cell r="CO590">
            <v>23.547686823909832</v>
          </cell>
          <cell r="CP590">
            <v>20.598206897524577</v>
          </cell>
          <cell r="CQ590">
            <v>18.609896665516779</v>
          </cell>
          <cell r="CR590">
            <v>-10.684155144676536</v>
          </cell>
          <cell r="CS590">
            <v>17.979942417477375</v>
          </cell>
          <cell r="CT590">
            <v>0</v>
          </cell>
          <cell r="CU590">
            <v>0</v>
          </cell>
        </row>
        <row r="591">
          <cell r="CF591" t="str">
            <v>Kegalle</v>
          </cell>
          <cell r="CG591">
            <v>34.359126192923043</v>
          </cell>
          <cell r="CH591">
            <v>100</v>
          </cell>
          <cell r="CI591">
            <v>65.640873807076957</v>
          </cell>
          <cell r="CJ591">
            <v>5.730509509254091</v>
          </cell>
          <cell r="CK591">
            <v>0</v>
          </cell>
          <cell r="CL591">
            <v>0</v>
          </cell>
          <cell r="CM591">
            <v>43.793206090113067</v>
          </cell>
          <cell r="CN591">
            <v>0</v>
          </cell>
          <cell r="CO591">
            <v>0</v>
          </cell>
          <cell r="CP591">
            <v>16.075197537885941</v>
          </cell>
          <cell r="CQ591">
            <v>0</v>
          </cell>
          <cell r="CR591">
            <v>0</v>
          </cell>
          <cell r="CS591">
            <v>4.196066982386077E-2</v>
          </cell>
          <cell r="CT591">
            <v>0</v>
          </cell>
          <cell r="CU591">
            <v>0</v>
          </cell>
        </row>
        <row r="592">
          <cell r="CF592" t="str">
            <v>Kadawatha</v>
          </cell>
          <cell r="CG592">
            <v>39.836864431473742</v>
          </cell>
          <cell r="CH592">
            <v>81.518973960578549</v>
          </cell>
          <cell r="CI592">
            <v>51.131788716160365</v>
          </cell>
          <cell r="CJ592">
            <v>4.9810823924565417</v>
          </cell>
          <cell r="CK592">
            <v>14.419258975289587</v>
          </cell>
          <cell r="CL592">
            <v>65.455351062126923</v>
          </cell>
          <cell r="CM592">
            <v>39.578695175458975</v>
          </cell>
          <cell r="CN592">
            <v>0</v>
          </cell>
          <cell r="CO592">
            <v>0</v>
          </cell>
          <cell r="CP592">
            <v>15.603358000610722</v>
          </cell>
          <cell r="CQ592">
            <v>4.0617670641318639</v>
          </cell>
          <cell r="CR592">
            <v>-284.15196524682256</v>
          </cell>
          <cell r="CS592">
            <v>0</v>
          </cell>
          <cell r="CT592">
            <v>0</v>
          </cell>
          <cell r="CU592">
            <v>0</v>
          </cell>
        </row>
        <row r="593">
          <cell r="CF593" t="str">
            <v>Aluthgama</v>
          </cell>
          <cell r="CG593">
            <v>33.826526332290172</v>
          </cell>
          <cell r="CH593">
            <v>0</v>
          </cell>
          <cell r="CI593">
            <v>0</v>
          </cell>
          <cell r="CJ593">
            <v>4.7005375239880376</v>
          </cell>
          <cell r="CK593">
            <v>0</v>
          </cell>
          <cell r="CL593">
            <v>0</v>
          </cell>
          <cell r="CM593">
            <v>44.458663974059306</v>
          </cell>
          <cell r="CN593">
            <v>0</v>
          </cell>
          <cell r="CO593">
            <v>0</v>
          </cell>
          <cell r="CP593">
            <v>17.014272169662494</v>
          </cell>
          <cell r="CQ593">
            <v>0</v>
          </cell>
          <cell r="CR593">
            <v>0</v>
          </cell>
          <cell r="CS593">
            <v>0</v>
          </cell>
          <cell r="CT593">
            <v>0</v>
          </cell>
          <cell r="CU593">
            <v>0</v>
          </cell>
        </row>
        <row r="594">
          <cell r="CF594" t="str">
            <v>Park Road</v>
          </cell>
          <cell r="CG594">
            <v>33.29383583358058</v>
          </cell>
          <cell r="CH594">
            <v>0</v>
          </cell>
          <cell r="CI594">
            <v>0</v>
          </cell>
          <cell r="CJ594">
            <v>5.6675171798357917</v>
          </cell>
          <cell r="CK594">
            <v>0</v>
          </cell>
          <cell r="CL594">
            <v>0</v>
          </cell>
          <cell r="CM594">
            <v>36.499449817877789</v>
          </cell>
          <cell r="CN594">
            <v>0</v>
          </cell>
          <cell r="CO594">
            <v>0</v>
          </cell>
          <cell r="CP594">
            <v>24.539197168705829</v>
          </cell>
          <cell r="CQ594">
            <v>0</v>
          </cell>
          <cell r="CR594">
            <v>0</v>
          </cell>
          <cell r="CS594">
            <v>0</v>
          </cell>
          <cell r="CT594">
            <v>0</v>
          </cell>
          <cell r="CU594">
            <v>0</v>
          </cell>
        </row>
        <row r="595">
          <cell r="CF595" t="str">
            <v>Kotahena</v>
          </cell>
          <cell r="CG595">
            <v>26.462430818035408</v>
          </cell>
          <cell r="CH595">
            <v>0</v>
          </cell>
          <cell r="CI595">
            <v>0</v>
          </cell>
          <cell r="CJ595">
            <v>3.4307984646020944</v>
          </cell>
          <cell r="CK595">
            <v>0</v>
          </cell>
          <cell r="CL595">
            <v>0</v>
          </cell>
          <cell r="CM595">
            <v>51.422390797082208</v>
          </cell>
          <cell r="CN595">
            <v>0</v>
          </cell>
          <cell r="CO595">
            <v>0</v>
          </cell>
          <cell r="CP595">
            <v>18.684379920280293</v>
          </cell>
          <cell r="CQ595">
            <v>0</v>
          </cell>
          <cell r="CR595">
            <v>0</v>
          </cell>
          <cell r="CS595">
            <v>0</v>
          </cell>
          <cell r="CT595">
            <v>0</v>
          </cell>
          <cell r="CU595">
            <v>0</v>
          </cell>
        </row>
        <row r="596">
          <cell r="CF596" t="str">
            <v>Ambalangoda</v>
          </cell>
          <cell r="CG596">
            <v>28.855196318390913</v>
          </cell>
          <cell r="CH596">
            <v>0</v>
          </cell>
          <cell r="CI596">
            <v>0</v>
          </cell>
          <cell r="CJ596">
            <v>6.3626400051307836</v>
          </cell>
          <cell r="CK596">
            <v>0</v>
          </cell>
          <cell r="CL596">
            <v>0</v>
          </cell>
          <cell r="CM596">
            <v>45.694984401377233</v>
          </cell>
          <cell r="CN596">
            <v>0</v>
          </cell>
          <cell r="CO596">
            <v>0</v>
          </cell>
          <cell r="CP596">
            <v>18.629314928710809</v>
          </cell>
          <cell r="CQ596">
            <v>0</v>
          </cell>
          <cell r="CR596">
            <v>0</v>
          </cell>
          <cell r="CS596">
            <v>0.45786434639027923</v>
          </cell>
          <cell r="CT596">
            <v>0</v>
          </cell>
          <cell r="CU596">
            <v>0</v>
          </cell>
        </row>
        <row r="597">
          <cell r="CF597" t="str">
            <v>Katugastota</v>
          </cell>
          <cell r="CG597">
            <v>31.811282028237532</v>
          </cell>
          <cell r="CH597">
            <v>0</v>
          </cell>
          <cell r="CI597">
            <v>0</v>
          </cell>
          <cell r="CJ597">
            <v>5.5229361379575836</v>
          </cell>
          <cell r="CK597">
            <v>0</v>
          </cell>
          <cell r="CL597">
            <v>0</v>
          </cell>
          <cell r="CM597">
            <v>42.159606559388166</v>
          </cell>
          <cell r="CN597">
            <v>0</v>
          </cell>
          <cell r="CO597">
            <v>0</v>
          </cell>
          <cell r="CP597">
            <v>20.2117305240806</v>
          </cell>
          <cell r="CQ597">
            <v>0</v>
          </cell>
          <cell r="CR597">
            <v>0</v>
          </cell>
          <cell r="CS597">
            <v>0.29444475033611928</v>
          </cell>
          <cell r="CT597">
            <v>0</v>
          </cell>
          <cell r="CU597">
            <v>0</v>
          </cell>
        </row>
        <row r="598">
          <cell r="CF598" t="str">
            <v>Beruwela</v>
          </cell>
          <cell r="CG598">
            <v>29.20533097419063</v>
          </cell>
          <cell r="CH598">
            <v>0</v>
          </cell>
          <cell r="CI598">
            <v>0</v>
          </cell>
          <cell r="CJ598">
            <v>5.9328281683766715</v>
          </cell>
          <cell r="CK598">
            <v>0</v>
          </cell>
          <cell r="CL598">
            <v>0</v>
          </cell>
          <cell r="CM598">
            <v>47.784142754847458</v>
          </cell>
          <cell r="CN598">
            <v>0</v>
          </cell>
          <cell r="CO598">
            <v>0</v>
          </cell>
          <cell r="CP598">
            <v>17.051324318401644</v>
          </cell>
          <cell r="CQ598">
            <v>0</v>
          </cell>
          <cell r="CR598">
            <v>0</v>
          </cell>
          <cell r="CS598">
            <v>2.6373784183598054E-2</v>
          </cell>
          <cell r="CT598">
            <v>0</v>
          </cell>
          <cell r="CU598">
            <v>0</v>
          </cell>
        </row>
        <row r="599">
          <cell r="CF599" t="str">
            <v>Warakapola</v>
          </cell>
          <cell r="CG599">
            <v>34.220475039537362</v>
          </cell>
          <cell r="CH599">
            <v>0</v>
          </cell>
          <cell r="CI599">
            <v>0</v>
          </cell>
          <cell r="CJ599">
            <v>5.7309807200106455</v>
          </cell>
          <cell r="CK599">
            <v>0</v>
          </cell>
          <cell r="CL599">
            <v>0</v>
          </cell>
          <cell r="CM599">
            <v>46.923465279924471</v>
          </cell>
          <cell r="CN599">
            <v>0</v>
          </cell>
          <cell r="CO599">
            <v>0</v>
          </cell>
          <cell r="CP599">
            <v>13.118816717582071</v>
          </cell>
          <cell r="CQ599">
            <v>0</v>
          </cell>
          <cell r="CR599">
            <v>0</v>
          </cell>
          <cell r="CS599">
            <v>6.2622429454509913E-3</v>
          </cell>
          <cell r="CT599">
            <v>0</v>
          </cell>
          <cell r="CU599">
            <v>0</v>
          </cell>
        </row>
        <row r="600">
          <cell r="CF600" t="str">
            <v>Karagampitiya</v>
          </cell>
          <cell r="CG600">
            <v>29.873556712554883</v>
          </cell>
          <cell r="CH600">
            <v>0</v>
          </cell>
          <cell r="CI600">
            <v>0</v>
          </cell>
          <cell r="CJ600">
            <v>4.2419966710530765</v>
          </cell>
          <cell r="CK600">
            <v>0</v>
          </cell>
          <cell r="CL600">
            <v>0</v>
          </cell>
          <cell r="CM600">
            <v>50.830170129796961</v>
          </cell>
          <cell r="CN600">
            <v>0</v>
          </cell>
          <cell r="CO600">
            <v>0</v>
          </cell>
          <cell r="CP600">
            <v>15.054276486595084</v>
          </cell>
          <cell r="CQ600">
            <v>0</v>
          </cell>
          <cell r="CR600">
            <v>0</v>
          </cell>
          <cell r="CS600">
            <v>0</v>
          </cell>
          <cell r="CT600">
            <v>0</v>
          </cell>
          <cell r="CU600">
            <v>0</v>
          </cell>
        </row>
        <row r="601">
          <cell r="CF601" t="str">
            <v>Mathale</v>
          </cell>
          <cell r="CG601">
            <v>31.810499206047837</v>
          </cell>
          <cell r="CH601">
            <v>0</v>
          </cell>
          <cell r="CI601">
            <v>0</v>
          </cell>
          <cell r="CJ601">
            <v>5.9887446965843676</v>
          </cell>
          <cell r="CK601">
            <v>0</v>
          </cell>
          <cell r="CL601">
            <v>0</v>
          </cell>
          <cell r="CM601">
            <v>38.922315631485617</v>
          </cell>
          <cell r="CN601">
            <v>0</v>
          </cell>
          <cell r="CO601">
            <v>0</v>
          </cell>
          <cell r="CP601">
            <v>23.270789920999558</v>
          </cell>
          <cell r="CQ601">
            <v>0</v>
          </cell>
          <cell r="CR601">
            <v>0</v>
          </cell>
          <cell r="CS601">
            <v>7.6505448826267794E-3</v>
          </cell>
          <cell r="CT601">
            <v>0</v>
          </cell>
          <cell r="CU601">
            <v>0</v>
          </cell>
        </row>
        <row r="602">
          <cell r="CF602" t="str">
            <v>Peliyagoda</v>
          </cell>
          <cell r="CG602">
            <v>31.302370974268396</v>
          </cell>
          <cell r="CH602">
            <v>0</v>
          </cell>
          <cell r="CI602">
            <v>0</v>
          </cell>
          <cell r="CJ602">
            <v>6.680730786251746</v>
          </cell>
          <cell r="CK602">
            <v>0</v>
          </cell>
          <cell r="CL602">
            <v>0</v>
          </cell>
          <cell r="CM602">
            <v>49.411206406554697</v>
          </cell>
          <cell r="CN602">
            <v>0</v>
          </cell>
          <cell r="CO602">
            <v>0</v>
          </cell>
          <cell r="CP602">
            <v>12.605691832925164</v>
          </cell>
          <cell r="CQ602">
            <v>0</v>
          </cell>
          <cell r="CR602">
            <v>0</v>
          </cell>
          <cell r="CS602">
            <v>0</v>
          </cell>
          <cell r="CT602">
            <v>0</v>
          </cell>
          <cell r="CU602">
            <v>0</v>
          </cell>
        </row>
        <row r="603">
          <cell r="CF603" t="str">
            <v>Kelaniya</v>
          </cell>
          <cell r="CG603">
            <v>32.752929673010058</v>
          </cell>
          <cell r="CH603">
            <v>0</v>
          </cell>
          <cell r="CI603">
            <v>0</v>
          </cell>
          <cell r="CJ603">
            <v>6.4558000215580478</v>
          </cell>
          <cell r="CK603">
            <v>0</v>
          </cell>
          <cell r="CL603">
            <v>0</v>
          </cell>
          <cell r="CM603">
            <v>44.161289827883735</v>
          </cell>
          <cell r="CN603">
            <v>0</v>
          </cell>
          <cell r="CO603">
            <v>0</v>
          </cell>
          <cell r="CP603">
            <v>16.629980477548152</v>
          </cell>
          <cell r="CQ603">
            <v>0</v>
          </cell>
          <cell r="CR603">
            <v>0</v>
          </cell>
          <cell r="CS603">
            <v>0</v>
          </cell>
          <cell r="CT603">
            <v>0</v>
          </cell>
          <cell r="CU603">
            <v>0</v>
          </cell>
        </row>
        <row r="604">
          <cell r="CF604" t="str">
            <v>Demategoda</v>
          </cell>
          <cell r="CG604">
            <v>28.065731617440214</v>
          </cell>
          <cell r="CH604">
            <v>0</v>
          </cell>
          <cell r="CI604">
            <v>0</v>
          </cell>
          <cell r="CJ604">
            <v>4.4456398036231679</v>
          </cell>
          <cell r="CK604">
            <v>0</v>
          </cell>
          <cell r="CL604">
            <v>0</v>
          </cell>
          <cell r="CM604">
            <v>51.632169721287347</v>
          </cell>
          <cell r="CN604">
            <v>0</v>
          </cell>
          <cell r="CO604">
            <v>0</v>
          </cell>
          <cell r="CP604">
            <v>15.856458857649272</v>
          </cell>
          <cell r="CQ604">
            <v>0</v>
          </cell>
          <cell r="CR604">
            <v>0</v>
          </cell>
          <cell r="CS604">
            <v>0</v>
          </cell>
          <cell r="CT604">
            <v>0</v>
          </cell>
          <cell r="CU604">
            <v>0</v>
          </cell>
        </row>
        <row r="605">
          <cell r="CF605" t="str">
            <v>Kolannawa</v>
          </cell>
          <cell r="CG605">
            <v>28.350764958224772</v>
          </cell>
          <cell r="CH605">
            <v>0</v>
          </cell>
          <cell r="CI605">
            <v>0</v>
          </cell>
          <cell r="CJ605">
            <v>6.8708121008071403</v>
          </cell>
          <cell r="CK605">
            <v>0</v>
          </cell>
          <cell r="CL605">
            <v>0</v>
          </cell>
          <cell r="CM605">
            <v>42.501831553031188</v>
          </cell>
          <cell r="CN605">
            <v>0</v>
          </cell>
          <cell r="CO605">
            <v>0</v>
          </cell>
          <cell r="CP605">
            <v>22.276591387936907</v>
          </cell>
          <cell r="CQ605">
            <v>0</v>
          </cell>
          <cell r="CR605">
            <v>0</v>
          </cell>
          <cell r="CS605">
            <v>0</v>
          </cell>
          <cell r="CT605">
            <v>0</v>
          </cell>
          <cell r="CU605">
            <v>0</v>
          </cell>
        </row>
        <row r="606">
          <cell r="CF606" t="str">
            <v>Avissawella</v>
          </cell>
          <cell r="CG606">
            <v>37.217445129574259</v>
          </cell>
          <cell r="CH606">
            <v>0</v>
          </cell>
          <cell r="CI606">
            <v>0</v>
          </cell>
          <cell r="CJ606">
            <v>5.6177807361052707</v>
          </cell>
          <cell r="CK606">
            <v>0</v>
          </cell>
          <cell r="CL606">
            <v>0</v>
          </cell>
          <cell r="CM606">
            <v>41.093329046666511</v>
          </cell>
          <cell r="CN606">
            <v>0</v>
          </cell>
          <cell r="CO606">
            <v>0</v>
          </cell>
          <cell r="CP606">
            <v>16.071445087653942</v>
          </cell>
          <cell r="CQ606">
            <v>0</v>
          </cell>
          <cell r="CR606">
            <v>0</v>
          </cell>
          <cell r="CS606">
            <v>0</v>
          </cell>
          <cell r="CT606">
            <v>0</v>
          </cell>
          <cell r="CU606">
            <v>0</v>
          </cell>
        </row>
        <row r="607">
          <cell r="CF607" t="str">
            <v>Homagama</v>
          </cell>
          <cell r="CG607">
            <v>28.018070917485428</v>
          </cell>
          <cell r="CH607">
            <v>0</v>
          </cell>
          <cell r="CI607">
            <v>0</v>
          </cell>
          <cell r="CJ607">
            <v>5.8237437547026216</v>
          </cell>
          <cell r="CK607">
            <v>0</v>
          </cell>
          <cell r="CL607">
            <v>0</v>
          </cell>
          <cell r="CM607">
            <v>47.013326879460685</v>
          </cell>
          <cell r="CN607">
            <v>0</v>
          </cell>
          <cell r="CO607">
            <v>0</v>
          </cell>
          <cell r="CP607">
            <v>19.144858448351268</v>
          </cell>
          <cell r="CQ607">
            <v>0</v>
          </cell>
          <cell r="CR607">
            <v>0</v>
          </cell>
          <cell r="CS607">
            <v>0</v>
          </cell>
          <cell r="CT607">
            <v>0</v>
          </cell>
          <cell r="CU607">
            <v>0</v>
          </cell>
        </row>
        <row r="608">
          <cell r="CF608" t="str">
            <v>Galle</v>
          </cell>
          <cell r="CG608">
            <v>31.57303227367526</v>
          </cell>
          <cell r="CH608">
            <v>0</v>
          </cell>
          <cell r="CI608">
            <v>0</v>
          </cell>
          <cell r="CJ608">
            <v>6.5061125814429825</v>
          </cell>
          <cell r="CK608">
            <v>0</v>
          </cell>
          <cell r="CL608">
            <v>0</v>
          </cell>
          <cell r="CM608">
            <v>35.172847660668864</v>
          </cell>
          <cell r="CN608">
            <v>0</v>
          </cell>
          <cell r="CO608">
            <v>0</v>
          </cell>
          <cell r="CP608">
            <v>26.748007484212895</v>
          </cell>
          <cell r="CQ608">
            <v>0</v>
          </cell>
          <cell r="CR608">
            <v>0</v>
          </cell>
          <cell r="CS608">
            <v>0</v>
          </cell>
          <cell r="CT608">
            <v>0</v>
          </cell>
          <cell r="CU608">
            <v>0</v>
          </cell>
        </row>
        <row r="609">
          <cell r="CF609" t="str">
            <v>Kohuwela</v>
          </cell>
          <cell r="CG609">
            <v>32.770249350504024</v>
          </cell>
          <cell r="CH609">
            <v>0</v>
          </cell>
          <cell r="CI609">
            <v>0</v>
          </cell>
          <cell r="CJ609">
            <v>4.6040834641111843</v>
          </cell>
          <cell r="CK609">
            <v>0</v>
          </cell>
          <cell r="CL609">
            <v>0</v>
          </cell>
          <cell r="CM609">
            <v>42.168823915609806</v>
          </cell>
          <cell r="CN609">
            <v>0</v>
          </cell>
          <cell r="CO609">
            <v>0</v>
          </cell>
          <cell r="CP609">
            <v>20.456843269774989</v>
          </cell>
          <cell r="CQ609">
            <v>0</v>
          </cell>
          <cell r="CR609">
            <v>0</v>
          </cell>
          <cell r="CS609">
            <v>0</v>
          </cell>
          <cell r="CT609">
            <v>0</v>
          </cell>
          <cell r="CU609">
            <v>0</v>
          </cell>
        </row>
        <row r="610">
          <cell r="CF610" t="str">
            <v>Mt lavinia-STC</v>
          </cell>
          <cell r="CG610">
            <v>20.194300707326914</v>
          </cell>
          <cell r="CH610">
            <v>0</v>
          </cell>
          <cell r="CI610">
            <v>0</v>
          </cell>
          <cell r="CJ610">
            <v>8.0581950830635343</v>
          </cell>
          <cell r="CK610">
            <v>0</v>
          </cell>
          <cell r="CL610">
            <v>0</v>
          </cell>
          <cell r="CM610">
            <v>47.409221895926642</v>
          </cell>
          <cell r="CN610">
            <v>0</v>
          </cell>
          <cell r="CO610">
            <v>0</v>
          </cell>
          <cell r="CP610">
            <v>24.338282313682914</v>
          </cell>
          <cell r="CQ610">
            <v>0</v>
          </cell>
          <cell r="CR610">
            <v>0</v>
          </cell>
          <cell r="CS610">
            <v>0</v>
          </cell>
          <cell r="CT610">
            <v>0</v>
          </cell>
          <cell r="CU610">
            <v>0</v>
          </cell>
        </row>
        <row r="611">
          <cell r="CF611" t="str">
            <v>Mini Mart</v>
          </cell>
          <cell r="CG611">
            <v>1.6678831250620099</v>
          </cell>
          <cell r="CH611">
            <v>1.7588400897754284</v>
          </cell>
          <cell r="CI611">
            <v>5.1714175292099496</v>
          </cell>
          <cell r="CJ611">
            <v>6.6906060363310873</v>
          </cell>
          <cell r="CK611">
            <v>10.485936802122216</v>
          </cell>
          <cell r="CL611">
            <v>36.194484454865339</v>
          </cell>
          <cell r="CM611">
            <v>78.065841096826787</v>
          </cell>
          <cell r="CN611">
            <v>71.357335096872561</v>
          </cell>
          <cell r="CO611">
            <v>-9.4012843821128715</v>
          </cell>
          <cell r="CP611">
            <v>13.575733494491116</v>
          </cell>
          <cell r="CQ611">
            <v>16.397888011229796</v>
          </cell>
          <cell r="CR611">
            <v>17.210475610066236</v>
          </cell>
          <cell r="CS611">
            <v>-6.3752711020283417E-5</v>
          </cell>
          <cell r="CT611">
            <v>0</v>
          </cell>
          <cell r="CU611">
            <v>0</v>
          </cell>
        </row>
        <row r="612">
          <cell r="CF612" t="str">
            <v>Express Maligawatte</v>
          </cell>
          <cell r="CG612">
            <v>31.743229561802206</v>
          </cell>
          <cell r="CH612">
            <v>0</v>
          </cell>
          <cell r="CI612">
            <v>0</v>
          </cell>
          <cell r="CJ612">
            <v>12.533606895774948</v>
          </cell>
          <cell r="CK612">
            <v>0</v>
          </cell>
          <cell r="CL612">
            <v>0</v>
          </cell>
          <cell r="CM612">
            <v>45.46458517689598</v>
          </cell>
          <cell r="CN612">
            <v>0</v>
          </cell>
          <cell r="CO612">
            <v>0</v>
          </cell>
          <cell r="CP612">
            <v>10.258578365526869</v>
          </cell>
          <cell r="CQ612">
            <v>0</v>
          </cell>
          <cell r="CR612">
            <v>0</v>
          </cell>
          <cell r="CS612">
            <v>0</v>
          </cell>
          <cell r="CT612">
            <v>0</v>
          </cell>
          <cell r="CU612">
            <v>0</v>
          </cell>
        </row>
        <row r="613">
          <cell r="CF613" t="str">
            <v>Express Peradeniya</v>
          </cell>
          <cell r="CG613">
            <v>32.582360132095829</v>
          </cell>
          <cell r="CH613">
            <v>0</v>
          </cell>
          <cell r="CI613">
            <v>0</v>
          </cell>
          <cell r="CJ613">
            <v>10.617633792715008</v>
          </cell>
          <cell r="CK613">
            <v>0</v>
          </cell>
          <cell r="CL613">
            <v>0</v>
          </cell>
          <cell r="CM613">
            <v>47.813795230261448</v>
          </cell>
          <cell r="CN613">
            <v>0</v>
          </cell>
          <cell r="CO613">
            <v>0</v>
          </cell>
          <cell r="CP613">
            <v>8.9862108449277205</v>
          </cell>
          <cell r="CQ613">
            <v>0</v>
          </cell>
          <cell r="CR613">
            <v>0</v>
          </cell>
          <cell r="CS613">
            <v>0</v>
          </cell>
          <cell r="CT613">
            <v>0</v>
          </cell>
          <cell r="CU613">
            <v>0</v>
          </cell>
        </row>
        <row r="614">
          <cell r="CF614" t="str">
            <v>Express Alexandra Place</v>
          </cell>
          <cell r="CG614">
            <v>41.042990734682789</v>
          </cell>
          <cell r="CH614">
            <v>0</v>
          </cell>
          <cell r="CI614">
            <v>0</v>
          </cell>
          <cell r="CJ614">
            <v>10.26875884738412</v>
          </cell>
          <cell r="CK614">
            <v>0</v>
          </cell>
          <cell r="CL614">
            <v>0</v>
          </cell>
          <cell r="CM614">
            <v>39.926729740296345</v>
          </cell>
          <cell r="CN614">
            <v>0</v>
          </cell>
          <cell r="CO614">
            <v>0</v>
          </cell>
          <cell r="CP614">
            <v>8.7615206776367458</v>
          </cell>
          <cell r="CQ614">
            <v>0</v>
          </cell>
          <cell r="CR614">
            <v>0</v>
          </cell>
          <cell r="CS614">
            <v>0</v>
          </cell>
          <cell r="CT614">
            <v>0</v>
          </cell>
          <cell r="CU614">
            <v>0</v>
          </cell>
        </row>
        <row r="615">
          <cell r="CF615" t="str">
            <v>Express Boralla</v>
          </cell>
          <cell r="CG615">
            <v>36.47185330912523</v>
          </cell>
          <cell r="CH615">
            <v>0</v>
          </cell>
          <cell r="CI615">
            <v>0</v>
          </cell>
          <cell r="CJ615">
            <v>14.463136247905256</v>
          </cell>
          <cell r="CK615">
            <v>0</v>
          </cell>
          <cell r="CL615">
            <v>0</v>
          </cell>
          <cell r="CM615">
            <v>42.231530520111782</v>
          </cell>
          <cell r="CN615">
            <v>0</v>
          </cell>
          <cell r="CO615">
            <v>0</v>
          </cell>
          <cell r="CP615">
            <v>6.8334799228577339</v>
          </cell>
          <cell r="CQ615">
            <v>0</v>
          </cell>
          <cell r="CR615">
            <v>0</v>
          </cell>
          <cell r="CS615">
            <v>0</v>
          </cell>
          <cell r="CT615">
            <v>0</v>
          </cell>
          <cell r="CU615">
            <v>0</v>
          </cell>
        </row>
        <row r="616">
          <cell r="CF616" t="str">
            <v>Express Havelock Road</v>
          </cell>
          <cell r="CG616">
            <v>40.086668260504304</v>
          </cell>
          <cell r="CH616">
            <v>0</v>
          </cell>
          <cell r="CI616">
            <v>0</v>
          </cell>
          <cell r="CJ616">
            <v>12.419572415211622</v>
          </cell>
          <cell r="CK616">
            <v>0</v>
          </cell>
          <cell r="CL616">
            <v>0</v>
          </cell>
          <cell r="CM616">
            <v>41.247737796791043</v>
          </cell>
          <cell r="CN616">
            <v>0</v>
          </cell>
          <cell r="CO616">
            <v>0</v>
          </cell>
          <cell r="CP616">
            <v>6.2460215274930304</v>
          </cell>
          <cell r="CQ616">
            <v>0</v>
          </cell>
          <cell r="CR616">
            <v>0</v>
          </cell>
          <cell r="CS616">
            <v>0</v>
          </cell>
          <cell r="CT616">
            <v>0</v>
          </cell>
          <cell r="CU616">
            <v>0</v>
          </cell>
        </row>
        <row r="617">
          <cell r="CF617" t="str">
            <v>Express Maradana</v>
          </cell>
          <cell r="CG617">
            <v>20.131092743864652</v>
          </cell>
          <cell r="CH617">
            <v>0</v>
          </cell>
          <cell r="CI617">
            <v>0</v>
          </cell>
          <cell r="CJ617">
            <v>34.758421047309071</v>
          </cell>
          <cell r="CK617">
            <v>0</v>
          </cell>
          <cell r="CL617">
            <v>0</v>
          </cell>
          <cell r="CM617">
            <v>23.700983544540524</v>
          </cell>
          <cell r="CN617">
            <v>0</v>
          </cell>
          <cell r="CO617">
            <v>0</v>
          </cell>
          <cell r="CP617">
            <v>21.409502664285753</v>
          </cell>
          <cell r="CQ617">
            <v>0</v>
          </cell>
          <cell r="CR617">
            <v>0</v>
          </cell>
          <cell r="CS617">
            <v>0</v>
          </cell>
          <cell r="CT617">
            <v>0</v>
          </cell>
          <cell r="CU617">
            <v>0</v>
          </cell>
        </row>
        <row r="618">
          <cell r="CF618" t="str">
            <v xml:space="preserve">Food City </v>
          </cell>
          <cell r="CG618">
            <v>27.576716260862906</v>
          </cell>
          <cell r="CH618">
            <v>28.209012151638031</v>
          </cell>
          <cell r="CI618">
            <v>2.2414676819457848</v>
          </cell>
          <cell r="CJ618">
            <v>3.8188335687932033</v>
          </cell>
          <cell r="CK618">
            <v>4.1846812599766539</v>
          </cell>
          <cell r="CL618">
            <v>8.7425461691075501</v>
          </cell>
          <cell r="CM618">
            <v>36.588846754612035</v>
          </cell>
          <cell r="CN618">
            <v>38.853831633987248</v>
          </cell>
          <cell r="CO618">
            <v>5.8295019670439023</v>
          </cell>
          <cell r="CP618">
            <v>19.730002173638116</v>
          </cell>
          <cell r="CQ618">
            <v>17.618812511042616</v>
          </cell>
          <cell r="CR618">
            <v>-11.982587709996395</v>
          </cell>
          <cell r="CS618">
            <v>12.285601242093721</v>
          </cell>
          <cell r="CT618">
            <v>11.13366244335543</v>
          </cell>
          <cell r="CU618">
            <v>-10.346449828158461</v>
          </cell>
        </row>
        <row r="619">
          <cell r="CE619">
            <v>24</v>
          </cell>
          <cell r="CT619" t="str">
            <v>Appendix II</v>
          </cell>
        </row>
        <row r="620">
          <cell r="CE620" t="str">
            <v>CARGILLS ( CEYLON ) LTD</v>
          </cell>
        </row>
        <row r="622">
          <cell r="CE622" t="str">
            <v xml:space="preserve"> Composition of Direct Expenses by Profit Centres/Divisions -Twelve  months ended 31st March 2004 </v>
          </cell>
        </row>
        <row r="623">
          <cell r="CF623" t="str">
            <v>YTD V YTD</v>
          </cell>
          <cell r="CU623">
            <v>38154.357810300928</v>
          </cell>
        </row>
        <row r="624">
          <cell r="CE624" t="str">
            <v>Profit Centre</v>
          </cell>
          <cell r="CG624" t="str">
            <v>Staff Related</v>
          </cell>
          <cell r="CJ624" t="str">
            <v>Administration</v>
          </cell>
          <cell r="CM624" t="str">
            <v>Establishment</v>
          </cell>
          <cell r="CP624" t="str">
            <v>Selling &amp; Distribution</v>
          </cell>
          <cell r="CS624" t="str">
            <v>D&amp;A and Finance</v>
          </cell>
        </row>
        <row r="625">
          <cell r="CG625">
            <v>38047</v>
          </cell>
          <cell r="CH625">
            <v>37681</v>
          </cell>
          <cell r="CI625" t="str">
            <v>Var %</v>
          </cell>
          <cell r="CJ625">
            <v>38047</v>
          </cell>
          <cell r="CK625">
            <v>37681</v>
          </cell>
          <cell r="CL625" t="str">
            <v>Var %</v>
          </cell>
          <cell r="CM625">
            <v>38047</v>
          </cell>
          <cell r="CN625">
            <v>37681</v>
          </cell>
          <cell r="CO625" t="str">
            <v>Var %</v>
          </cell>
          <cell r="CP625">
            <v>38047</v>
          </cell>
          <cell r="CQ625">
            <v>37681</v>
          </cell>
          <cell r="CR625" t="str">
            <v>Var %</v>
          </cell>
          <cell r="CS625">
            <v>38047</v>
          </cell>
          <cell r="CT625">
            <v>37681</v>
          </cell>
          <cell r="CU625" t="str">
            <v>Var %</v>
          </cell>
        </row>
        <row r="626">
          <cell r="CF626" t="str">
            <v>Department Store</v>
          </cell>
          <cell r="CG626">
            <v>95.595841199752869</v>
          </cell>
          <cell r="CH626">
            <v>96.833920734293216</v>
          </cell>
          <cell r="CI626">
            <v>1.2785597496744627</v>
          </cell>
          <cell r="CJ626">
            <v>0.92862930689007694</v>
          </cell>
          <cell r="CK626">
            <v>0.68221684785629266</v>
          </cell>
          <cell r="CL626">
            <v>-36.119374625249719</v>
          </cell>
          <cell r="CM626">
            <v>0.2314956376041418</v>
          </cell>
          <cell r="CN626">
            <v>1.1219225512847719</v>
          </cell>
          <cell r="CO626">
            <v>79.366165931949212</v>
          </cell>
          <cell r="CP626">
            <v>3.2337174247698788</v>
          </cell>
          <cell r="CQ626">
            <v>1.338822139074737</v>
          </cell>
          <cell r="CR626">
            <v>-141.53450487491253</v>
          </cell>
          <cell r="CS626">
            <v>1.0316430983009073E-2</v>
          </cell>
          <cell r="CT626">
            <v>2.3117727490976358E-2</v>
          </cell>
          <cell r="CU626">
            <v>55.374372385711659</v>
          </cell>
        </row>
        <row r="627">
          <cell r="CF627" t="str">
            <v>Books and Stationery</v>
          </cell>
          <cell r="CG627">
            <v>56.182611302692095</v>
          </cell>
          <cell r="CH627">
            <v>50.973929075630153</v>
          </cell>
          <cell r="CI627">
            <v>-10.218325959008979</v>
          </cell>
          <cell r="CJ627">
            <v>6.0364697100425966</v>
          </cell>
          <cell r="CK627">
            <v>6.7500382834369157</v>
          </cell>
          <cell r="CL627">
            <v>10.571326315959672</v>
          </cell>
          <cell r="CM627">
            <v>35.074373988264668</v>
          </cell>
          <cell r="CN627">
            <v>36.632019250873952</v>
          </cell>
          <cell r="CO627">
            <v>4.2521414174353023</v>
          </cell>
          <cell r="CP627">
            <v>2.8550794684637495</v>
          </cell>
          <cell r="CQ627">
            <v>2.3622393824296548</v>
          </cell>
          <cell r="CR627">
            <v>-20.863257538581443</v>
          </cell>
          <cell r="CS627">
            <v>-0.14853446946312157</v>
          </cell>
          <cell r="CT627">
            <v>3.2817740076293225</v>
          </cell>
          <cell r="CU627">
            <v>104.52604198576184</v>
          </cell>
        </row>
        <row r="628">
          <cell r="CF628" t="str">
            <v>Hatton Liquor</v>
          </cell>
          <cell r="CG628">
            <v>16.904835379238108</v>
          </cell>
          <cell r="CH628">
            <v>18.018045857043298</v>
          </cell>
          <cell r="CI628">
            <v>6.1783086059248369</v>
          </cell>
          <cell r="CJ628">
            <v>4.3577349029052312</v>
          </cell>
          <cell r="CK628">
            <v>4.5531001064348624</v>
          </cell>
          <cell r="CL628">
            <v>4.2908172226110946</v>
          </cell>
          <cell r="CM628">
            <v>4.2175519026368899</v>
          </cell>
          <cell r="CN628">
            <v>4.2258801241411197</v>
          </cell>
          <cell r="CO628">
            <v>0.19707661503820792</v>
          </cell>
          <cell r="CP628">
            <v>74.519877815219786</v>
          </cell>
          <cell r="CQ628">
            <v>73.202973912380713</v>
          </cell>
          <cell r="CR628">
            <v>-1.7989759602052815</v>
          </cell>
          <cell r="CS628">
            <v>0</v>
          </cell>
          <cell r="CT628">
            <v>0</v>
          </cell>
          <cell r="CU628">
            <v>0</v>
          </cell>
        </row>
        <row r="629">
          <cell r="CF629" t="str">
            <v>Retail Division</v>
          </cell>
          <cell r="CG629">
            <v>27.801677552771249</v>
          </cell>
          <cell r="CH629">
            <v>28.495385851485196</v>
          </cell>
          <cell r="CI629">
            <v>2.4344583446929899</v>
          </cell>
          <cell r="CJ629">
            <v>3.8324531446809016</v>
          </cell>
          <cell r="CK629">
            <v>4.2075049459164617</v>
          </cell>
          <cell r="CL629">
            <v>8.9138766574608947</v>
          </cell>
          <cell r="CM629">
            <v>36.485524812722232</v>
          </cell>
          <cell r="CN629">
            <v>38.684927168535665</v>
          </cell>
          <cell r="CO629">
            <v>5.6854245743606153</v>
          </cell>
          <cell r="CP629">
            <v>19.712221252540932</v>
          </cell>
          <cell r="CQ629">
            <v>17.604103611779038</v>
          </cell>
          <cell r="CR629">
            <v>-11.975149017819549</v>
          </cell>
          <cell r="CS629">
            <v>12.168123237284664</v>
          </cell>
          <cell r="CT629">
            <v>11.008078422283626</v>
          </cell>
          <cell r="CU629">
            <v>-10.538122735869708</v>
          </cell>
        </row>
        <row r="630">
          <cell r="CF630" t="str">
            <v>Commercial Division</v>
          </cell>
          <cell r="CG630">
            <v>44.790931339529763</v>
          </cell>
          <cell r="CH630">
            <v>44.650908439269912</v>
          </cell>
          <cell r="CI630">
            <v>-0.31359474007185567</v>
          </cell>
          <cell r="CJ630">
            <v>17.701950895118578</v>
          </cell>
          <cell r="CK630">
            <v>21.852056073899291</v>
          </cell>
          <cell r="CL630">
            <v>18.991829257374619</v>
          </cell>
          <cell r="CM630">
            <v>7.8470399369216155</v>
          </cell>
          <cell r="CN630">
            <v>11.796003132311263</v>
          </cell>
          <cell r="CO630">
            <v>33.477129084280797</v>
          </cell>
          <cell r="CP630">
            <v>26.181539663158588</v>
          </cell>
          <cell r="CQ630">
            <v>15.930276135128452</v>
          </cell>
          <cell r="CR630">
            <v>-64.35082129822402</v>
          </cell>
          <cell r="CS630">
            <v>3.4785381652714746</v>
          </cell>
          <cell r="CT630">
            <v>5.7707562193910622</v>
          </cell>
          <cell r="CU630">
            <v>39.721276847862853</v>
          </cell>
        </row>
        <row r="631">
          <cell r="CF631" t="str">
            <v>Hampers</v>
          </cell>
          <cell r="CG631">
            <v>17.044483868241276</v>
          </cell>
          <cell r="CH631">
            <v>0.94179908632564813</v>
          </cell>
          <cell r="CI631">
            <v>-1709.7791891834308</v>
          </cell>
          <cell r="CJ631">
            <v>6.114956938174462</v>
          </cell>
          <cell r="CK631">
            <v>4.0960534743900352</v>
          </cell>
          <cell r="CL631">
            <v>-49.288991865153136</v>
          </cell>
          <cell r="CM631">
            <v>0.34736831016321273</v>
          </cell>
          <cell r="CN631">
            <v>0.29593431015728633</v>
          </cell>
          <cell r="CO631">
            <v>-17.380208458623709</v>
          </cell>
          <cell r="CP631">
            <v>76.49319088342105</v>
          </cell>
          <cell r="CQ631">
            <v>94.66621312912703</v>
          </cell>
          <cell r="CR631">
            <v>19.196946455349952</v>
          </cell>
          <cell r="CS631">
            <v>0</v>
          </cell>
          <cell r="CT631">
            <v>0</v>
          </cell>
          <cell r="CU631">
            <v>0</v>
          </cell>
        </row>
        <row r="632">
          <cell r="CF632" t="str">
            <v>Wines &amp; Spirits</v>
          </cell>
          <cell r="CG632">
            <v>51.443937664970022</v>
          </cell>
          <cell r="CH632">
            <v>39.948702354300011</v>
          </cell>
          <cell r="CI632">
            <v>-28.774990508378011</v>
          </cell>
          <cell r="CJ632">
            <v>18.556901914343232</v>
          </cell>
          <cell r="CK632">
            <v>25.857692644363507</v>
          </cell>
          <cell r="CL632">
            <v>28.234501935004285</v>
          </cell>
          <cell r="CM632">
            <v>1.2329771184429668</v>
          </cell>
          <cell r="CN632">
            <v>0.61278320569318256</v>
          </cell>
          <cell r="CO632">
            <v>-101.20935217997997</v>
          </cell>
          <cell r="CP632">
            <v>55.779171290078807</v>
          </cell>
          <cell r="CQ632">
            <v>52.164440552592296</v>
          </cell>
          <cell r="CR632">
            <v>-6.9294920048881421</v>
          </cell>
          <cell r="CS632">
            <v>-27.012987987835036</v>
          </cell>
          <cell r="CT632">
            <v>-18.583618756949008</v>
          </cell>
          <cell r="CU632">
            <v>45.359137749928372</v>
          </cell>
        </row>
        <row r="633">
          <cell r="CF633" t="str">
            <v xml:space="preserve">Total </v>
          </cell>
          <cell r="CG633">
            <v>28.608669127148989</v>
          </cell>
          <cell r="CH633">
            <v>29.09052941193503</v>
          </cell>
          <cell r="CI633">
            <v>1.6564163476115608</v>
          </cell>
          <cell r="CJ633">
            <v>4.4789873114082539</v>
          </cell>
          <cell r="CK633">
            <v>5.0508073301441962</v>
          </cell>
          <cell r="CL633">
            <v>11.321358772155289</v>
          </cell>
          <cell r="CM633">
            <v>35.035315908805245</v>
          </cell>
          <cell r="CN633">
            <v>37.222152891146379</v>
          </cell>
          <cell r="CO633">
            <v>5.8750953732751254</v>
          </cell>
          <cell r="CP633">
            <v>20.391283740615961</v>
          </cell>
          <cell r="CQ633">
            <v>18.160330094546602</v>
          </cell>
          <cell r="CR633">
            <v>-12.284763737523122</v>
          </cell>
          <cell r="CS633">
            <v>11.48574391202153</v>
          </cell>
          <cell r="CT633">
            <v>10.476180272227779</v>
          </cell>
          <cell r="CU633">
            <v>-9.6367532207334268</v>
          </cell>
        </row>
        <row r="636">
          <cell r="CE636">
            <v>25</v>
          </cell>
          <cell r="CT636" t="str">
            <v>Appendix III</v>
          </cell>
        </row>
        <row r="637">
          <cell r="CE637" t="str">
            <v>CARGILLS ( CEYLON ) LTD</v>
          </cell>
        </row>
        <row r="639">
          <cell r="CE639" t="str">
            <v xml:space="preserve"> Margin Analysis by Profit Centres/Divisions  -Twelve  months ended 31st March 2004 </v>
          </cell>
        </row>
        <row r="640">
          <cell r="CF640" t="str">
            <v>YTD V YTD</v>
          </cell>
          <cell r="CU640">
            <v>38154.357810300928</v>
          </cell>
        </row>
        <row r="641">
          <cell r="CE641" t="str">
            <v>Profit Centre</v>
          </cell>
          <cell r="CG641" t="str">
            <v>Staff Related</v>
          </cell>
          <cell r="CJ641" t="str">
            <v>Administration</v>
          </cell>
          <cell r="CM641" t="str">
            <v>Establishment</v>
          </cell>
          <cell r="CP641" t="str">
            <v>Selling &amp; Distribution</v>
          </cell>
          <cell r="CS641" t="str">
            <v>D&amp;A and Finance</v>
          </cell>
        </row>
        <row r="642">
          <cell r="CG642">
            <v>38047</v>
          </cell>
          <cell r="CH642">
            <v>37681</v>
          </cell>
          <cell r="CI642" t="str">
            <v>Var %</v>
          </cell>
          <cell r="CJ642">
            <v>38047</v>
          </cell>
          <cell r="CK642">
            <v>37681</v>
          </cell>
          <cell r="CL642" t="str">
            <v>Var %</v>
          </cell>
          <cell r="CM642">
            <v>38047</v>
          </cell>
          <cell r="CN642">
            <v>37681</v>
          </cell>
          <cell r="CO642" t="str">
            <v>Var %</v>
          </cell>
          <cell r="CP642">
            <v>38047</v>
          </cell>
          <cell r="CQ642">
            <v>37681</v>
          </cell>
          <cell r="CR642" t="str">
            <v>Var %</v>
          </cell>
          <cell r="CS642">
            <v>38047</v>
          </cell>
          <cell r="CT642">
            <v>37681</v>
          </cell>
          <cell r="CU642" t="str">
            <v>Var %</v>
          </cell>
        </row>
        <row r="643">
          <cell r="CF643" t="str">
            <v>Staples Street</v>
          </cell>
          <cell r="CG643">
            <v>2.1101922305580061</v>
          </cell>
          <cell r="CH643">
            <v>2.2248239905530256</v>
          </cell>
          <cell r="CI643">
            <v>5.1523967955112457</v>
          </cell>
          <cell r="CJ643">
            <v>0.30299352118990402</v>
          </cell>
          <cell r="CK643">
            <v>0.31250531840340973</v>
          </cell>
          <cell r="CL643">
            <v>3.0437233075268901</v>
          </cell>
          <cell r="CM643">
            <v>3.4244935409085597</v>
          </cell>
          <cell r="CN643">
            <v>3.5294756302703907</v>
          </cell>
          <cell r="CO643">
            <v>2.9744387087264954</v>
          </cell>
          <cell r="CP643">
            <v>2.4886262617590496</v>
          </cell>
          <cell r="CQ643">
            <v>2.221837883590208</v>
          </cell>
          <cell r="CR643">
            <v>-12.007553752650281</v>
          </cell>
          <cell r="CS643">
            <v>0.91415552664169653</v>
          </cell>
          <cell r="CT643">
            <v>0.99878864388994582</v>
          </cell>
          <cell r="CU643">
            <v>8.4735762431811157</v>
          </cell>
        </row>
        <row r="644">
          <cell r="CF644" t="str">
            <v>Kandy</v>
          </cell>
          <cell r="CG644">
            <v>1.6966517276711908</v>
          </cell>
          <cell r="CH644">
            <v>1.8427354875488449</v>
          </cell>
          <cell r="CI644">
            <v>7.9275490630492289</v>
          </cell>
          <cell r="CJ644">
            <v>0.19815545548188446</v>
          </cell>
          <cell r="CK644">
            <v>0.29079284330060523</v>
          </cell>
          <cell r="CL644">
            <v>31.856832089556438</v>
          </cell>
          <cell r="CM644">
            <v>2.1642052043540585</v>
          </cell>
          <cell r="CN644">
            <v>2.5765577486950941</v>
          </cell>
          <cell r="CO644">
            <v>16.00400940168614</v>
          </cell>
          <cell r="CP644">
            <v>1.6217447715075686</v>
          </cell>
          <cell r="CQ644">
            <v>1.531743799255997</v>
          </cell>
          <cell r="CR644">
            <v>-5.8757197055595771</v>
          </cell>
          <cell r="CS644">
            <v>0.99767854729925531</v>
          </cell>
          <cell r="CT644">
            <v>0.97634205035574495</v>
          </cell>
          <cell r="CU644">
            <v>-2.1853506090141348</v>
          </cell>
        </row>
        <row r="645">
          <cell r="CF645" t="str">
            <v>Mount Lavinia</v>
          </cell>
          <cell r="CG645">
            <v>2.1716442642783931</v>
          </cell>
          <cell r="CH645">
            <v>2.4870875815573541</v>
          </cell>
          <cell r="CI645">
            <v>12.68324121828625</v>
          </cell>
          <cell r="CJ645">
            <v>0.27220924374768424</v>
          </cell>
          <cell r="CK645">
            <v>0.32800033459418165</v>
          </cell>
          <cell r="CL645">
            <v>17.009461565191671</v>
          </cell>
          <cell r="CM645">
            <v>2.215710966300604</v>
          </cell>
          <cell r="CN645">
            <v>2.5413431299635869</v>
          </cell>
          <cell r="CO645">
            <v>12.813388315164218</v>
          </cell>
          <cell r="CP645">
            <v>1.6332217346332789</v>
          </cell>
          <cell r="CQ645">
            <v>1.3258626917051342</v>
          </cell>
          <cell r="CR645">
            <v>-23.181815496509952</v>
          </cell>
          <cell r="CS645">
            <v>0.33013519308476491</v>
          </cell>
          <cell r="CT645">
            <v>0.43747563002041812</v>
          </cell>
          <cell r="CU645">
            <v>24.536323756055474</v>
          </cell>
        </row>
        <row r="646">
          <cell r="CF646" t="str">
            <v>Wellawatte</v>
          </cell>
          <cell r="CG646">
            <v>4.2935607128562445</v>
          </cell>
          <cell r="CH646">
            <v>3.342574843011989</v>
          </cell>
          <cell r="CI646">
            <v>-28.450697875393676</v>
          </cell>
          <cell r="CJ646">
            <v>0.69539865553855162</v>
          </cell>
          <cell r="CK646">
            <v>0.37379035841446412</v>
          </cell>
          <cell r="CL646">
            <v>-86.039751931611789</v>
          </cell>
          <cell r="CM646">
            <v>6.906475002389004</v>
          </cell>
          <cell r="CN646">
            <v>3.8644751988734134</v>
          </cell>
          <cell r="CO646">
            <v>-78.717022285520315</v>
          </cell>
          <cell r="CP646">
            <v>2.3976618503659948</v>
          </cell>
          <cell r="CQ646">
            <v>1.9140384229636425</v>
          </cell>
          <cell r="CR646">
            <v>-25.267174451677079</v>
          </cell>
          <cell r="CS646">
            <v>0.30969873417711558</v>
          </cell>
          <cell r="CT646">
            <v>0.38171374157938337</v>
          </cell>
          <cell r="CU646">
            <v>18.866233922912397</v>
          </cell>
        </row>
        <row r="647">
          <cell r="CF647" t="str">
            <v>Bambalapitiya</v>
          </cell>
          <cell r="CG647">
            <v>2.9380000463257612</v>
          </cell>
          <cell r="CH647">
            <v>2.9007971186083954</v>
          </cell>
          <cell r="CI647">
            <v>-1.2825070556886515</v>
          </cell>
          <cell r="CJ647">
            <v>0.3939382392132062</v>
          </cell>
          <cell r="CK647">
            <v>0.48523817873453229</v>
          </cell>
          <cell r="CL647">
            <v>18.815489696097291</v>
          </cell>
          <cell r="CM647">
            <v>5.825580344453436</v>
          </cell>
          <cell r="CN647">
            <v>5.8982741162667027</v>
          </cell>
          <cell r="CO647">
            <v>1.2324583493464032</v>
          </cell>
          <cell r="CP647">
            <v>2.0011511450096329</v>
          </cell>
          <cell r="CQ647">
            <v>1.9223776145860376</v>
          </cell>
          <cell r="CR647">
            <v>-4.0977136763298319</v>
          </cell>
          <cell r="CS647">
            <v>0.37253962451529998</v>
          </cell>
          <cell r="CT647">
            <v>0.38645931856290872</v>
          </cell>
          <cell r="CU647">
            <v>3.6018523500405268</v>
          </cell>
        </row>
        <row r="648">
          <cell r="CF648" t="str">
            <v>Nuwara Eliya</v>
          </cell>
          <cell r="CG648">
            <v>2.7395769414140085</v>
          </cell>
          <cell r="CH648">
            <v>3.2030114801279415</v>
          </cell>
          <cell r="CI648">
            <v>14.468713009277801</v>
          </cell>
          <cell r="CJ648">
            <v>0.54454081422822942</v>
          </cell>
          <cell r="CK648">
            <v>0.72051192991839841</v>
          </cell>
          <cell r="CL648">
            <v>24.423067597242785</v>
          </cell>
          <cell r="CM648">
            <v>3.8070872208756747</v>
          </cell>
          <cell r="CN648">
            <v>4.6990570675690009</v>
          </cell>
          <cell r="CO648">
            <v>18.981890065761124</v>
          </cell>
          <cell r="CP648">
            <v>2.1018644215283855</v>
          </cell>
          <cell r="CQ648">
            <v>1.9363503902589496</v>
          </cell>
          <cell r="CR648">
            <v>-8.5477314489193024</v>
          </cell>
          <cell r="CS648">
            <v>1.85769313738401</v>
          </cell>
          <cell r="CT648">
            <v>2.4959004426462696</v>
          </cell>
          <cell r="CU648">
            <v>25.570222848536485</v>
          </cell>
        </row>
        <row r="649">
          <cell r="CF649" t="str">
            <v>Bandarawela</v>
          </cell>
          <cell r="CG649">
            <v>1.3812223095186824</v>
          </cell>
          <cell r="CH649">
            <v>1.4551324352672337</v>
          </cell>
          <cell r="CI649">
            <v>5.0792714090644093</v>
          </cell>
          <cell r="CJ649">
            <v>0.26211621101941945</v>
          </cell>
          <cell r="CK649">
            <v>0.29860370433352135</v>
          </cell>
          <cell r="CL649">
            <v>12.219370618841246</v>
          </cell>
          <cell r="CM649">
            <v>1.5230416661897836</v>
          </cell>
          <cell r="CN649">
            <v>1.669683914794557</v>
          </cell>
          <cell r="CO649">
            <v>8.7826352823682008</v>
          </cell>
          <cell r="CP649">
            <v>1.0484191657090323</v>
          </cell>
          <cell r="CQ649">
            <v>0.89143022693548846</v>
          </cell>
          <cell r="CR649">
            <v>-17.610905938564823</v>
          </cell>
          <cell r="CS649">
            <v>0.21922554523603244</v>
          </cell>
          <cell r="CT649">
            <v>0.29097397474055364</v>
          </cell>
          <cell r="CU649">
            <v>24.65802296184583</v>
          </cell>
        </row>
        <row r="650">
          <cell r="CF650" t="str">
            <v>Maharagama</v>
          </cell>
          <cell r="CG650">
            <v>2.7765406043353988</v>
          </cell>
          <cell r="CH650">
            <v>2.8467758065979205</v>
          </cell>
          <cell r="CI650">
            <v>2.4671841772625305</v>
          </cell>
          <cell r="CJ650">
            <v>0.32332782265597781</v>
          </cell>
          <cell r="CK650">
            <v>0.40161430418809735</v>
          </cell>
          <cell r="CL650">
            <v>19.492951499918142</v>
          </cell>
          <cell r="CM650">
            <v>3.9571895524873302</v>
          </cell>
          <cell r="CN650">
            <v>4.6100943822318561</v>
          </cell>
          <cell r="CO650">
            <v>14.162504617279422</v>
          </cell>
          <cell r="CP650">
            <v>2.2398805358084073</v>
          </cell>
          <cell r="CQ650">
            <v>2.0929710729501338</v>
          </cell>
          <cell r="CR650">
            <v>-7.0191826708430396</v>
          </cell>
          <cell r="CS650">
            <v>0.41836449134006237</v>
          </cell>
          <cell r="CT650">
            <v>0.61413300319086173</v>
          </cell>
          <cell r="CU650">
            <v>31.877217285773835</v>
          </cell>
        </row>
        <row r="651">
          <cell r="CF651" t="str">
            <v>Kiribathgoda</v>
          </cell>
          <cell r="CG651">
            <v>3.5234308537308148</v>
          </cell>
          <cell r="CH651">
            <v>3.2363815293144782</v>
          </cell>
          <cell r="CI651">
            <v>-8.8694525604074439</v>
          </cell>
          <cell r="CJ651">
            <v>0.43077689590589763</v>
          </cell>
          <cell r="CK651">
            <v>0.39487980830157116</v>
          </cell>
          <cell r="CL651">
            <v>-9.0906364037007776</v>
          </cell>
          <cell r="CM651">
            <v>3.0564387895186096</v>
          </cell>
          <cell r="CN651">
            <v>3.0668315582757044</v>
          </cell>
          <cell r="CO651">
            <v>0.33887641233671334</v>
          </cell>
          <cell r="CP651">
            <v>2.3718631295545447</v>
          </cell>
          <cell r="CQ651">
            <v>1.9885437971426299</v>
          </cell>
          <cell r="CR651">
            <v>-19.276383701616854</v>
          </cell>
          <cell r="CS651">
            <v>0.38474673123415543</v>
          </cell>
          <cell r="CT651">
            <v>0.38686688405436698</v>
          </cell>
          <cell r="CU651">
            <v>0.54803161180205939</v>
          </cell>
        </row>
        <row r="652">
          <cell r="CF652" t="str">
            <v>Nugegoda</v>
          </cell>
          <cell r="CG652">
            <v>3.2521524619781075</v>
          </cell>
          <cell r="CH652">
            <v>2.9059799875807144</v>
          </cell>
          <cell r="CI652">
            <v>-11.912417699943918</v>
          </cell>
          <cell r="CJ652">
            <v>0.33369326923224674</v>
          </cell>
          <cell r="CK652">
            <v>0.36373610670500467</v>
          </cell>
          <cell r="CL652">
            <v>8.2595147742984771</v>
          </cell>
          <cell r="CM652">
            <v>4.8373453636733919</v>
          </cell>
          <cell r="CN652">
            <v>5.1803060373777443</v>
          </cell>
          <cell r="CO652">
            <v>6.6204712854755998</v>
          </cell>
          <cell r="CP652">
            <v>2.5259458539279325</v>
          </cell>
          <cell r="CQ652">
            <v>2.4109285065479718</v>
          </cell>
          <cell r="CR652">
            <v>-4.7706660345828951</v>
          </cell>
          <cell r="CS652">
            <v>0.68425680320150761</v>
          </cell>
          <cell r="CT652">
            <v>0.41457454439584118</v>
          </cell>
          <cell r="CU652">
            <v>-65.050366080405141</v>
          </cell>
        </row>
        <row r="653">
          <cell r="CF653" t="str">
            <v>Fort</v>
          </cell>
          <cell r="CG653">
            <v>2.6447797905334971</v>
          </cell>
          <cell r="CH653">
            <v>2.9218291618140801</v>
          </cell>
          <cell r="CI653">
            <v>9.482052369843931</v>
          </cell>
          <cell r="CJ653">
            <v>0.25768660840477131</v>
          </cell>
          <cell r="CK653">
            <v>0.34254455021820496</v>
          </cell>
          <cell r="CL653">
            <v>24.772819114879546</v>
          </cell>
          <cell r="CM653">
            <v>0.29045774670104096</v>
          </cell>
          <cell r="CN653">
            <v>0.37044669135048552</v>
          </cell>
          <cell r="CO653">
            <v>21.59256554778235</v>
          </cell>
          <cell r="CP653">
            <v>1.5923815942168587</v>
          </cell>
          <cell r="CQ653">
            <v>1.3690807183064475</v>
          </cell>
          <cell r="CR653">
            <v>-16.310278344043461</v>
          </cell>
          <cell r="CS653">
            <v>0.26046118192680762</v>
          </cell>
          <cell r="CT653">
            <v>0.35344122118955779</v>
          </cell>
          <cell r="CU653">
            <v>26.307072771481586</v>
          </cell>
        </row>
        <row r="654">
          <cell r="CF654" t="str">
            <v>Malabe</v>
          </cell>
          <cell r="CG654">
            <v>2.9490247300346599</v>
          </cell>
          <cell r="CH654">
            <v>3.589312287629169</v>
          </cell>
          <cell r="CI654">
            <v>17.838725256682391</v>
          </cell>
          <cell r="CJ654">
            <v>0.41349017688125284</v>
          </cell>
          <cell r="CK654">
            <v>0.53158880163926281</v>
          </cell>
          <cell r="CL654">
            <v>22.216161136921752</v>
          </cell>
          <cell r="CM654">
            <v>4.3386141123196271</v>
          </cell>
          <cell r="CN654">
            <v>5.5420531851729624</v>
          </cell>
          <cell r="CO654">
            <v>21.714679246907608</v>
          </cell>
          <cell r="CP654">
            <v>2.3065736138581503</v>
          </cell>
          <cell r="CQ654">
            <v>2.1315259074089226</v>
          </cell>
          <cell r="CR654">
            <v>-8.2123189702167529</v>
          </cell>
          <cell r="CS654">
            <v>0.40413104721144938</v>
          </cell>
          <cell r="CT654">
            <v>1.2913682882546109</v>
          </cell>
          <cell r="CU654">
            <v>68.70520587448641</v>
          </cell>
        </row>
        <row r="655">
          <cell r="CF655" t="str">
            <v>Negombo</v>
          </cell>
          <cell r="CG655">
            <v>2.2278698692943815</v>
          </cell>
          <cell r="CH655">
            <v>2.8563572080776187</v>
          </cell>
          <cell r="CI655">
            <v>22.003107209627359</v>
          </cell>
          <cell r="CJ655">
            <v>0.29100403710624068</v>
          </cell>
          <cell r="CK655">
            <v>0.41720833403684832</v>
          </cell>
          <cell r="CL655">
            <v>30.249706593699333</v>
          </cell>
          <cell r="CM655">
            <v>2.5318945617223294</v>
          </cell>
          <cell r="CN655">
            <v>3.8867113361954546</v>
          </cell>
          <cell r="CO655">
            <v>34.857663903574093</v>
          </cell>
          <cell r="CP655">
            <v>1.6462211439000083</v>
          </cell>
          <cell r="CQ655">
            <v>1.9162132005862864</v>
          </cell>
          <cell r="CR655">
            <v>14.089875625722184</v>
          </cell>
          <cell r="CS655">
            <v>0.42538529796707159</v>
          </cell>
          <cell r="CT655">
            <v>1.2773924884767733</v>
          </cell>
          <cell r="CU655">
            <v>66.698935385605537</v>
          </cell>
        </row>
        <row r="656">
          <cell r="CF656" t="str">
            <v>Rajagiriya</v>
          </cell>
          <cell r="CG656">
            <v>3.3024293416982951</v>
          </cell>
          <cell r="CH656">
            <v>3.4868659111453155</v>
          </cell>
          <cell r="CI656">
            <v>5.2894655013114455</v>
          </cell>
          <cell r="CJ656">
            <v>0.45020107625590922</v>
          </cell>
          <cell r="CK656">
            <v>0.55496031807330626</v>
          </cell>
          <cell r="CL656">
            <v>18.876888744243349</v>
          </cell>
          <cell r="CM656">
            <v>2.8149971966773295</v>
          </cell>
          <cell r="CN656">
            <v>3.4697455546683873</v>
          </cell>
          <cell r="CO656">
            <v>18.870212460107432</v>
          </cell>
          <cell r="CP656">
            <v>2.5057184641226491</v>
          </cell>
          <cell r="CQ656">
            <v>2.1429047895248976</v>
          </cell>
          <cell r="CR656">
            <v>-16.930928353479985</v>
          </cell>
          <cell r="CS656">
            <v>0.63481181276761034</v>
          </cell>
          <cell r="CT656">
            <v>1.1653676243164202</v>
          </cell>
          <cell r="CU656">
            <v>45.5269050279325</v>
          </cell>
        </row>
        <row r="657">
          <cell r="CF657" t="str">
            <v>Boralesgamuwa</v>
          </cell>
          <cell r="CG657">
            <v>4.0866460901084887</v>
          </cell>
          <cell r="CH657">
            <v>4.3809724128659973</v>
          </cell>
          <cell r="CI657">
            <v>6.7182875174729224</v>
          </cell>
          <cell r="CJ657">
            <v>0.67050138029493001</v>
          </cell>
          <cell r="CK657">
            <v>0.86568483508505312</v>
          </cell>
          <cell r="CL657">
            <v>22.546710636434614</v>
          </cell>
          <cell r="CM657">
            <v>5.6603784655442331</v>
          </cell>
          <cell r="CN657">
            <v>7.6082401383623255</v>
          </cell>
          <cell r="CO657">
            <v>25.602000428411426</v>
          </cell>
          <cell r="CP657">
            <v>2.6741890241533581</v>
          </cell>
          <cell r="CQ657">
            <v>2.3992285140703515</v>
          </cell>
          <cell r="CR657">
            <v>-11.460371884982692</v>
          </cell>
          <cell r="CS657">
            <v>0.86500444846303992</v>
          </cell>
          <cell r="CT657">
            <v>2.1426437175452921</v>
          </cell>
          <cell r="CU657">
            <v>59.629104858645036</v>
          </cell>
        </row>
        <row r="658">
          <cell r="CF658" t="str">
            <v>Pitakotte</v>
          </cell>
          <cell r="CG658">
            <v>3.2027981853030232</v>
          </cell>
          <cell r="CH658">
            <v>3.4908487048079846</v>
          </cell>
          <cell r="CI658">
            <v>8.2515899101621404</v>
          </cell>
          <cell r="CJ658">
            <v>0.43461442284560498</v>
          </cell>
          <cell r="CK658">
            <v>0.50119420952241878</v>
          </cell>
          <cell r="CL658">
            <v>13.284229029752117</v>
          </cell>
          <cell r="CM658">
            <v>3.6836357485661302</v>
          </cell>
          <cell r="CN658">
            <v>4.2260595370805136</v>
          </cell>
          <cell r="CO658">
            <v>12.835214074837802</v>
          </cell>
          <cell r="CP658">
            <v>2.427772372442349</v>
          </cell>
          <cell r="CQ658">
            <v>2.2754928523877487</v>
          </cell>
          <cell r="CR658">
            <v>-6.6921554991837686</v>
          </cell>
          <cell r="CS658">
            <v>1.5127911635163356</v>
          </cell>
          <cell r="CT658">
            <v>1.8911285395634376</v>
          </cell>
          <cell r="CU658">
            <v>20.005904841055401</v>
          </cell>
        </row>
        <row r="659">
          <cell r="CF659" t="str">
            <v>Panadura</v>
          </cell>
          <cell r="CG659">
            <v>2.9022408305027008</v>
          </cell>
          <cell r="CH659">
            <v>3.831697104629586</v>
          </cell>
          <cell r="CI659">
            <v>24.257039341754982</v>
          </cell>
          <cell r="CJ659">
            <v>0.26689054314722116</v>
          </cell>
          <cell r="CK659">
            <v>0.46342766997471929</v>
          </cell>
          <cell r="CL659">
            <v>42.409450181992703</v>
          </cell>
          <cell r="CM659">
            <v>4.4692521736873383</v>
          </cell>
          <cell r="CN659">
            <v>5.952711792018575</v>
          </cell>
          <cell r="CO659">
            <v>24.920736467037873</v>
          </cell>
          <cell r="CP659">
            <v>2.3852926400035233</v>
          </cell>
          <cell r="CQ659">
            <v>2.1918998853328007</v>
          </cell>
          <cell r="CR659">
            <v>-8.8230651392802706</v>
          </cell>
          <cell r="CS659">
            <v>1.8844343860211787</v>
          </cell>
          <cell r="CT659">
            <v>2.5451692757229147</v>
          </cell>
          <cell r="CU659">
            <v>25.960351478550077</v>
          </cell>
        </row>
        <row r="660">
          <cell r="CF660" t="str">
            <v>Kurunagala</v>
          </cell>
          <cell r="CG660">
            <v>3.3561539722458713</v>
          </cell>
          <cell r="CH660">
            <v>4.9047443967179234</v>
          </cell>
          <cell r="CI660">
            <v>31.573315533186857</v>
          </cell>
          <cell r="CJ660">
            <v>0.45300310352028178</v>
          </cell>
          <cell r="CK660">
            <v>0.7298552226315842</v>
          </cell>
          <cell r="CL660">
            <v>37.932470786888054</v>
          </cell>
          <cell r="CM660">
            <v>5.5707660866479154</v>
          </cell>
          <cell r="CN660">
            <v>7.5135386761050764</v>
          </cell>
          <cell r="CO660">
            <v>25.856958660979036</v>
          </cell>
          <cell r="CP660">
            <v>2.0914989081074165</v>
          </cell>
          <cell r="CQ660">
            <v>2.0410080501998755</v>
          </cell>
          <cell r="CR660">
            <v>-2.4738196354784772</v>
          </cell>
          <cell r="CS660">
            <v>2.5968564074229969</v>
          </cell>
          <cell r="CT660">
            <v>4.1767844483702508</v>
          </cell>
          <cell r="CU660">
            <v>37.826420311532466</v>
          </cell>
        </row>
        <row r="661">
          <cell r="CF661" t="str">
            <v>Matara</v>
          </cell>
          <cell r="CG661">
            <v>4.4355026092255594</v>
          </cell>
          <cell r="CH661">
            <v>5.2672883156538264</v>
          </cell>
          <cell r="CI661">
            <v>15.791535541281981</v>
          </cell>
          <cell r="CJ661">
            <v>0.47226582275807016</v>
          </cell>
          <cell r="CK661">
            <v>0.77711856084565667</v>
          </cell>
          <cell r="CL661">
            <v>39.228600814249916</v>
          </cell>
          <cell r="CM661">
            <v>5.0046289041372862</v>
          </cell>
          <cell r="CN661">
            <v>7.1905978210806323</v>
          </cell>
          <cell r="CO661">
            <v>30.400377984355544</v>
          </cell>
          <cell r="CP661">
            <v>2.2273228366269762</v>
          </cell>
          <cell r="CQ661">
            <v>1.9973816454584812</v>
          </cell>
          <cell r="CR661">
            <v>-11.512130978639989</v>
          </cell>
          <cell r="CS661">
            <v>2.5457893154967275</v>
          </cell>
          <cell r="CT661">
            <v>3.4979753048355198</v>
          </cell>
          <cell r="CU661">
            <v>27.221060938380909</v>
          </cell>
        </row>
        <row r="662">
          <cell r="CF662" t="str">
            <v>Wattala</v>
          </cell>
          <cell r="CG662">
            <v>2.9190403332041712</v>
          </cell>
          <cell r="CH662">
            <v>4.9693627249294794</v>
          </cell>
          <cell r="CI662">
            <v>41.259262106981822</v>
          </cell>
          <cell r="CJ662">
            <v>0.33685091199881334</v>
          </cell>
          <cell r="CK662">
            <v>0.63370446838938077</v>
          </cell>
          <cell r="CL662">
            <v>46.844163359783231</v>
          </cell>
          <cell r="CM662">
            <v>4.015589172424237</v>
          </cell>
          <cell r="CN662">
            <v>7.4848966188081691</v>
          </cell>
          <cell r="CO662">
            <v>46.350773071016107</v>
          </cell>
          <cell r="CP662">
            <v>1.7795891926823257</v>
          </cell>
          <cell r="CQ662">
            <v>2.3203478381909894</v>
          </cell>
          <cell r="CR662">
            <v>23.30506817160029</v>
          </cell>
          <cell r="CS662">
            <v>2.4882993629646539</v>
          </cell>
          <cell r="CT662">
            <v>5.1624284217536465</v>
          </cell>
          <cell r="CU662">
            <v>51.799828304071802</v>
          </cell>
        </row>
        <row r="663">
          <cell r="CF663" t="str">
            <v>Pelawatte</v>
          </cell>
          <cell r="CG663">
            <v>3.0605752189826316</v>
          </cell>
          <cell r="CH663">
            <v>3.4362004440112335</v>
          </cell>
          <cell r="CI663">
            <v>10.931411922818954</v>
          </cell>
          <cell r="CJ663">
            <v>0.37156775098104888</v>
          </cell>
          <cell r="CK663">
            <v>0.47289954826157049</v>
          </cell>
          <cell r="CL663">
            <v>21.427763602868342</v>
          </cell>
          <cell r="CM663">
            <v>3.8249743693726033</v>
          </cell>
          <cell r="CN663">
            <v>4.8308640770894344</v>
          </cell>
          <cell r="CO663">
            <v>20.822148826072404</v>
          </cell>
          <cell r="CP663">
            <v>2.352597663492404</v>
          </cell>
          <cell r="CQ663">
            <v>2.1337440014357676</v>
          </cell>
          <cell r="CR663">
            <v>-10.25679096974017</v>
          </cell>
          <cell r="CS663">
            <v>1.9221853286638477</v>
          </cell>
          <cell r="CT663">
            <v>2.6652511188100432</v>
          </cell>
          <cell r="CU663">
            <v>27.879766559405954</v>
          </cell>
        </row>
        <row r="664">
          <cell r="CF664" t="str">
            <v>Gampaha</v>
          </cell>
          <cell r="CG664">
            <v>3.6234963901833588</v>
          </cell>
          <cell r="CH664">
            <v>6.2330570201173954</v>
          </cell>
          <cell r="CI664">
            <v>41.866464906571437</v>
          </cell>
          <cell r="CJ664">
            <v>0.39768828697940278</v>
          </cell>
          <cell r="CK664">
            <v>0.68890466259474925</v>
          </cell>
          <cell r="CL664">
            <v>42.272376923460534</v>
          </cell>
          <cell r="CM664">
            <v>3.94541447514939</v>
          </cell>
          <cell r="CN664">
            <v>6.4598313030061094</v>
          </cell>
          <cell r="CO664">
            <v>38.92387757380947</v>
          </cell>
          <cell r="CP664">
            <v>2.1641396434188875</v>
          </cell>
          <cell r="CQ664">
            <v>2.4236184085049319</v>
          </cell>
          <cell r="CR664">
            <v>10.706254919317526</v>
          </cell>
          <cell r="CS664">
            <v>3.4952916405483911</v>
          </cell>
          <cell r="CT664">
            <v>6.4269742643751941</v>
          </cell>
          <cell r="CU664">
            <v>45.61528494173627</v>
          </cell>
        </row>
        <row r="665">
          <cell r="CF665" t="str">
            <v>Ja-ela</v>
          </cell>
          <cell r="CG665">
            <v>3.451600251472021</v>
          </cell>
          <cell r="CH665">
            <v>4.6736438682524746</v>
          </cell>
          <cell r="CI665">
            <v>26.147555338601116</v>
          </cell>
          <cell r="CJ665">
            <v>0.40251784432281379</v>
          </cell>
          <cell r="CK665">
            <v>0.55107421767742648</v>
          </cell>
          <cell r="CL665">
            <v>26.957598194436084</v>
          </cell>
          <cell r="CM665">
            <v>4.7812126854714343</v>
          </cell>
          <cell r="CN665">
            <v>6.4073928375260412</v>
          </cell>
          <cell r="CO665">
            <v>25.379747945694731</v>
          </cell>
          <cell r="CP665">
            <v>2.3321687438999263</v>
          </cell>
          <cell r="CQ665">
            <v>2.3426329966227173</v>
          </cell>
          <cell r="CR665">
            <v>0.44668766886989347</v>
          </cell>
          <cell r="CS665">
            <v>4.7499994681184514</v>
          </cell>
          <cell r="CT665">
            <v>3.3123363173052929</v>
          </cell>
          <cell r="CU665">
            <v>-43.403296437686322</v>
          </cell>
        </row>
        <row r="666">
          <cell r="CF666" t="str">
            <v>Piliyandala</v>
          </cell>
          <cell r="CG666">
            <v>4.1947892360565762</v>
          </cell>
          <cell r="CH666">
            <v>6.5186932436270464</v>
          </cell>
          <cell r="CI666">
            <v>35.64984454272976</v>
          </cell>
          <cell r="CJ666">
            <v>0.40643318279116059</v>
          </cell>
          <cell r="CK666">
            <v>0.90993319894731184</v>
          </cell>
          <cell r="CL666">
            <v>55.333734029997252</v>
          </cell>
          <cell r="CM666">
            <v>5.5073629000498574</v>
          </cell>
          <cell r="CN666">
            <v>9.2543496837366241</v>
          </cell>
          <cell r="CO666">
            <v>40.488925875273907</v>
          </cell>
          <cell r="CP666">
            <v>2.317457688422262</v>
          </cell>
          <cell r="CQ666">
            <v>2.3360099756374337</v>
          </cell>
          <cell r="CR666">
            <v>0.79418698587146885</v>
          </cell>
          <cell r="CS666">
            <v>5.8073154308525323</v>
          </cell>
          <cell r="CT666">
            <v>0</v>
          </cell>
          <cell r="CU666">
            <v>0</v>
          </cell>
        </row>
        <row r="667">
          <cell r="CF667" t="str">
            <v>Chilaw</v>
          </cell>
          <cell r="CG667">
            <v>4.249616302959712</v>
          </cell>
          <cell r="CH667">
            <v>6.9404386322754776</v>
          </cell>
          <cell r="CI667">
            <v>38.770205629403542</v>
          </cell>
          <cell r="CJ667">
            <v>0.67366691478753138</v>
          </cell>
          <cell r="CK667">
            <v>1.4061600067414664</v>
          </cell>
          <cell r="CL667">
            <v>52.091731271134755</v>
          </cell>
          <cell r="CM667">
            <v>6.847241896026528</v>
          </cell>
          <cell r="CN667">
            <v>10.088182052625349</v>
          </cell>
          <cell r="CO667">
            <v>32.126106960524162</v>
          </cell>
          <cell r="CP667">
            <v>2.4675503905863665</v>
          </cell>
          <cell r="CQ667">
            <v>2.9342362560213258</v>
          </cell>
          <cell r="CR667">
            <v>15.904849668368607</v>
          </cell>
          <cell r="CS667">
            <v>5.0497111910557679</v>
          </cell>
          <cell r="CT667">
            <v>0</v>
          </cell>
          <cell r="CU667">
            <v>0</v>
          </cell>
        </row>
        <row r="668">
          <cell r="CF668" t="str">
            <v>Ratnapura</v>
          </cell>
          <cell r="CG668">
            <v>3.0572852272773683</v>
          </cell>
          <cell r="CH668">
            <v>5.3252713228130935</v>
          </cell>
          <cell r="CI668">
            <v>42.589118151028849</v>
          </cell>
          <cell r="CJ668">
            <v>0.44927304223025077</v>
          </cell>
          <cell r="CK668">
            <v>0.95357597772608615</v>
          </cell>
          <cell r="CL668">
            <v>52.885448802769233</v>
          </cell>
          <cell r="CM668">
            <v>3.7893371907751972</v>
          </cell>
          <cell r="CN668">
            <v>6.9274810685271122</v>
          </cell>
          <cell r="CO668">
            <v>45.29992715547229</v>
          </cell>
          <cell r="CP668">
            <v>1.896310452973047</v>
          </cell>
          <cell r="CQ668">
            <v>2.4651678652198039</v>
          </cell>
          <cell r="CR668">
            <v>23.075808356605986</v>
          </cell>
          <cell r="CS668">
            <v>4.3348903919162423</v>
          </cell>
          <cell r="CT668">
            <v>0</v>
          </cell>
          <cell r="CU668">
            <v>0</v>
          </cell>
        </row>
        <row r="669">
          <cell r="CF669" t="str">
            <v>Nawala</v>
          </cell>
          <cell r="CG669">
            <v>2.4176740739811229</v>
          </cell>
          <cell r="CH669">
            <v>0</v>
          </cell>
          <cell r="CI669">
            <v>0</v>
          </cell>
          <cell r="CJ669">
            <v>0.32939553760906859</v>
          </cell>
          <cell r="CK669">
            <v>0</v>
          </cell>
          <cell r="CL669">
            <v>0</v>
          </cell>
          <cell r="CM669">
            <v>2.7138651000523368</v>
          </cell>
          <cell r="CN669">
            <v>4.478132419222959</v>
          </cell>
          <cell r="CO669">
            <v>39.397390563916282</v>
          </cell>
          <cell r="CP669">
            <v>2.2918917330898445</v>
          </cell>
          <cell r="CQ669">
            <v>2.4836232143327353</v>
          </cell>
          <cell r="CR669">
            <v>7.719829647928397</v>
          </cell>
          <cell r="CS669">
            <v>2.8786124623817018</v>
          </cell>
          <cell r="CT669">
            <v>0</v>
          </cell>
          <cell r="CU669">
            <v>0</v>
          </cell>
        </row>
        <row r="670">
          <cell r="CF670" t="str">
            <v>Collupitiya</v>
          </cell>
          <cell r="CG670">
            <v>3.635901502824685</v>
          </cell>
          <cell r="CH670">
            <v>3.6848130589307382</v>
          </cell>
          <cell r="CI670">
            <v>1.3273822938590629</v>
          </cell>
          <cell r="CJ670">
            <v>0.4804647499955238</v>
          </cell>
          <cell r="CK670">
            <v>0.73066968180051606</v>
          </cell>
          <cell r="CL670">
            <v>34.243234396757416</v>
          </cell>
          <cell r="CM670">
            <v>4.8969154270939015</v>
          </cell>
          <cell r="CN670">
            <v>5.9053215887937194</v>
          </cell>
          <cell r="CO670">
            <v>17.076227713210876</v>
          </cell>
          <cell r="CP670">
            <v>2.1735560130460381</v>
          </cell>
          <cell r="CQ670">
            <v>2.3504918103105745</v>
          </cell>
          <cell r="CR670">
            <v>7.5276074772265469</v>
          </cell>
          <cell r="CS670">
            <v>2.0896190697401513</v>
          </cell>
          <cell r="CT670">
            <v>0</v>
          </cell>
          <cell r="CU670">
            <v>0</v>
          </cell>
        </row>
        <row r="671">
          <cell r="CF671" t="str">
            <v>Dehiwala</v>
          </cell>
          <cell r="CG671">
            <v>4.0113900644204712</v>
          </cell>
          <cell r="CH671">
            <v>3.9276981896121366</v>
          </cell>
          <cell r="CI671">
            <v>-2.1308122663212892</v>
          </cell>
          <cell r="CJ671">
            <v>0.5614124539177735</v>
          </cell>
          <cell r="CK671">
            <v>0.63800815839658009</v>
          </cell>
          <cell r="CL671">
            <v>12.005442794227625</v>
          </cell>
          <cell r="CM671">
            <v>5.3764018205343804</v>
          </cell>
          <cell r="CN671">
            <v>5.5842563278877391</v>
          </cell>
          <cell r="CO671">
            <v>3.7221519777903929</v>
          </cell>
          <cell r="CP671">
            <v>2.6875607429674249</v>
          </cell>
          <cell r="CQ671">
            <v>2.3822241427986404</v>
          </cell>
          <cell r="CR671">
            <v>-12.81729097960004</v>
          </cell>
          <cell r="CS671">
            <v>1.342900647591124</v>
          </cell>
          <cell r="CT671">
            <v>0</v>
          </cell>
          <cell r="CU671">
            <v>0</v>
          </cell>
        </row>
        <row r="672">
          <cell r="CF672" t="str">
            <v>Thibirigasyaya</v>
          </cell>
          <cell r="CG672">
            <v>3.7922428550295399</v>
          </cell>
          <cell r="CH672">
            <v>4.0283976526227097</v>
          </cell>
          <cell r="CI672">
            <v>5.8622513951526081</v>
          </cell>
          <cell r="CJ672">
            <v>0.53260911007589717</v>
          </cell>
          <cell r="CK672">
            <v>0.78385808512535826</v>
          </cell>
          <cell r="CL672">
            <v>32.052865157253585</v>
          </cell>
          <cell r="CM672">
            <v>4.6941287390773532</v>
          </cell>
          <cell r="CN672">
            <v>6.1501207265170441</v>
          </cell>
          <cell r="CO672">
            <v>23.6742017300895</v>
          </cell>
          <cell r="CP672">
            <v>2.5740443472215331</v>
          </cell>
          <cell r="CQ672">
            <v>2.3524627378954004</v>
          </cell>
          <cell r="CR672">
            <v>-9.4191336490357234</v>
          </cell>
          <cell r="CS672">
            <v>1.9466507213332258</v>
          </cell>
          <cell r="CT672">
            <v>0</v>
          </cell>
          <cell r="CU672">
            <v>0</v>
          </cell>
        </row>
        <row r="673">
          <cell r="CF673" t="str">
            <v>Moratuwa</v>
          </cell>
          <cell r="CG673">
            <v>3.1355825525460985</v>
          </cell>
          <cell r="CH673">
            <v>4.8453242323820556</v>
          </cell>
          <cell r="CI673">
            <v>35.286424557710447</v>
          </cell>
          <cell r="CJ673">
            <v>0.3600007054075382</v>
          </cell>
          <cell r="CK673">
            <v>0.77967656447358014</v>
          </cell>
          <cell r="CL673">
            <v>53.82691723578963</v>
          </cell>
          <cell r="CM673">
            <v>3.8865783577222848</v>
          </cell>
          <cell r="CN673">
            <v>6.0861928410173771</v>
          </cell>
          <cell r="CO673">
            <v>36.141057977509</v>
          </cell>
          <cell r="CP673">
            <v>2.4756546833877238</v>
          </cell>
          <cell r="CQ673">
            <v>2.6777715533177866</v>
          </cell>
          <cell r="CR673">
            <v>7.5479504470662544</v>
          </cell>
          <cell r="CS673">
            <v>2.1609710434658651</v>
          </cell>
          <cell r="CT673">
            <v>0</v>
          </cell>
          <cell r="CU673">
            <v>0</v>
          </cell>
        </row>
        <row r="674">
          <cell r="CF674" t="str">
            <v>Kegalle</v>
          </cell>
          <cell r="CG674">
            <v>5.216804977397528</v>
          </cell>
          <cell r="CH674">
            <v>15079879.999999998</v>
          </cell>
          <cell r="CI674">
            <v>99.999965405527249</v>
          </cell>
          <cell r="CJ674">
            <v>0.87007307354219265</v>
          </cell>
          <cell r="CK674">
            <v>0</v>
          </cell>
          <cell r="CL674">
            <v>0</v>
          </cell>
          <cell r="CM674">
            <v>6.6491974861151641</v>
          </cell>
          <cell r="CN674">
            <v>0</v>
          </cell>
          <cell r="CO674">
            <v>0</v>
          </cell>
          <cell r="CP674">
            <v>2.4407247744724301</v>
          </cell>
          <cell r="CQ674">
            <v>0</v>
          </cell>
          <cell r="CR674">
            <v>0</v>
          </cell>
          <cell r="CS674">
            <v>6.3709603661905156E-3</v>
          </cell>
          <cell r="CT674">
            <v>0</v>
          </cell>
          <cell r="CU674">
            <v>0</v>
          </cell>
        </row>
        <row r="675">
          <cell r="CF675" t="str">
            <v>Kadawatha</v>
          </cell>
          <cell r="CG675">
            <v>6.1989618961945672</v>
          </cell>
          <cell r="CH675">
            <v>28902562</v>
          </cell>
          <cell r="CI675">
            <v>99.999978552206215</v>
          </cell>
          <cell r="CJ675">
            <v>0.77509965689589988</v>
          </cell>
          <cell r="CK675">
            <v>5112350</v>
          </cell>
          <cell r="CL675">
            <v>99.999984838681684</v>
          </cell>
          <cell r="CM675">
            <v>6.1587885190062757</v>
          </cell>
          <cell r="CN675">
            <v>0</v>
          </cell>
          <cell r="CO675">
            <v>0</v>
          </cell>
          <cell r="CP675">
            <v>2.4280179446565504</v>
          </cell>
          <cell r="CQ675">
            <v>1440100</v>
          </cell>
          <cell r="CR675">
            <v>99.999831399351109</v>
          </cell>
          <cell r="CS675">
            <v>0</v>
          </cell>
          <cell r="CT675">
            <v>0</v>
          </cell>
          <cell r="CU675">
            <v>0</v>
          </cell>
        </row>
        <row r="676">
          <cell r="CF676" t="str">
            <v>Aluthgama</v>
          </cell>
          <cell r="CG676">
            <v>4.8740394332006662</v>
          </cell>
          <cell r="CH676">
            <v>0</v>
          </cell>
          <cell r="CI676">
            <v>0</v>
          </cell>
          <cell r="CJ676">
            <v>0.6772970131221272</v>
          </cell>
          <cell r="CK676">
            <v>0</v>
          </cell>
          <cell r="CL676">
            <v>0</v>
          </cell>
          <cell r="CM676">
            <v>6.4060163679925823</v>
          </cell>
          <cell r="CN676">
            <v>0</v>
          </cell>
          <cell r="CO676">
            <v>0</v>
          </cell>
          <cell r="CP676">
            <v>2.4515740300233522</v>
          </cell>
          <cell r="CQ676">
            <v>0</v>
          </cell>
          <cell r="CR676">
            <v>0</v>
          </cell>
          <cell r="CS676">
            <v>0</v>
          </cell>
          <cell r="CT676">
            <v>0</v>
          </cell>
          <cell r="CU676">
            <v>0</v>
          </cell>
        </row>
        <row r="677">
          <cell r="CF677" t="str">
            <v>Park Road</v>
          </cell>
          <cell r="CG677">
            <v>3.4616791518550327</v>
          </cell>
          <cell r="CH677">
            <v>0</v>
          </cell>
          <cell r="CI677">
            <v>0</v>
          </cell>
          <cell r="CJ677">
            <v>0.58927202507647658</v>
          </cell>
          <cell r="CK677">
            <v>0</v>
          </cell>
          <cell r="CL677">
            <v>0</v>
          </cell>
          <cell r="CM677">
            <v>3.794978299294939</v>
          </cell>
          <cell r="CN677">
            <v>0</v>
          </cell>
          <cell r="CO677">
            <v>0</v>
          </cell>
          <cell r="CP677">
            <v>2.5514280681497978</v>
          </cell>
          <cell r="CQ677">
            <v>0</v>
          </cell>
          <cell r="CR677">
            <v>0</v>
          </cell>
          <cell r="CS677">
            <v>0</v>
          </cell>
          <cell r="CT677">
            <v>0</v>
          </cell>
          <cell r="CU677">
            <v>0</v>
          </cell>
        </row>
        <row r="678">
          <cell r="CF678" t="str">
            <v>Kotahena</v>
          </cell>
          <cell r="CG678">
            <v>3.4354207170398943</v>
          </cell>
          <cell r="CH678">
            <v>0</v>
          </cell>
          <cell r="CI678">
            <v>0</v>
          </cell>
          <cell r="CJ678">
            <v>0.44539506602128975</v>
          </cell>
          <cell r="CK678">
            <v>0</v>
          </cell>
          <cell r="CL678">
            <v>0</v>
          </cell>
          <cell r="CM678">
            <v>6.6757868118305002</v>
          </cell>
          <cell r="CN678">
            <v>0</v>
          </cell>
          <cell r="CO678">
            <v>0</v>
          </cell>
          <cell r="CP678">
            <v>2.4256541775983576</v>
          </cell>
          <cell r="CQ678">
            <v>0</v>
          </cell>
          <cell r="CR678">
            <v>0</v>
          </cell>
          <cell r="CS678">
            <v>0</v>
          </cell>
          <cell r="CT678">
            <v>0</v>
          </cell>
          <cell r="CU678">
            <v>0</v>
          </cell>
        </row>
        <row r="679">
          <cell r="CF679" t="str">
            <v>Ambalangoda</v>
          </cell>
          <cell r="CG679">
            <v>4.6891159375589764</v>
          </cell>
          <cell r="CH679">
            <v>0</v>
          </cell>
          <cell r="CI679">
            <v>0</v>
          </cell>
          <cell r="CJ679">
            <v>1.0339613123336677</v>
          </cell>
          <cell r="CK679">
            <v>0</v>
          </cell>
          <cell r="CL679">
            <v>0</v>
          </cell>
          <cell r="CM679">
            <v>7.4256670188184453</v>
          </cell>
          <cell r="CN679">
            <v>0</v>
          </cell>
          <cell r="CO679">
            <v>0</v>
          </cell>
          <cell r="CP679">
            <v>3.0273582814734596</v>
          </cell>
          <cell r="CQ679">
            <v>0</v>
          </cell>
          <cell r="CR679">
            <v>0</v>
          </cell>
          <cell r="CS679">
            <v>7.4405281468499354E-2</v>
          </cell>
          <cell r="CT679">
            <v>0</v>
          </cell>
          <cell r="CU679">
            <v>0</v>
          </cell>
        </row>
        <row r="680">
          <cell r="CF680" t="str">
            <v>Katugastota</v>
          </cell>
          <cell r="CG680">
            <v>4.0751621275996568</v>
          </cell>
          <cell r="CH680">
            <v>0</v>
          </cell>
          <cell r="CI680">
            <v>0</v>
          </cell>
          <cell r="CJ680">
            <v>0.70751188721592129</v>
          </cell>
          <cell r="CK680">
            <v>0</v>
          </cell>
          <cell r="CL680">
            <v>0</v>
          </cell>
          <cell r="CM680">
            <v>5.4008270340319733</v>
          </cell>
          <cell r="CN680">
            <v>0</v>
          </cell>
          <cell r="CO680">
            <v>0</v>
          </cell>
          <cell r="CP680">
            <v>2.5892096612727</v>
          </cell>
          <cell r="CQ680">
            <v>0</v>
          </cell>
          <cell r="CR680">
            <v>0</v>
          </cell>
          <cell r="CS680">
            <v>3.7719639660394072E-2</v>
          </cell>
          <cell r="CT680">
            <v>0</v>
          </cell>
          <cell r="CU680">
            <v>0</v>
          </cell>
        </row>
        <row r="681">
          <cell r="CF681" t="str">
            <v>Beruwela</v>
          </cell>
          <cell r="CG681">
            <v>4.7627005856722739</v>
          </cell>
          <cell r="CH681">
            <v>0</v>
          </cell>
          <cell r="CI681">
            <v>0</v>
          </cell>
          <cell r="CJ681">
            <v>0.96750433053442253</v>
          </cell>
          <cell r="CK681">
            <v>0</v>
          </cell>
          <cell r="CL681">
            <v>0</v>
          </cell>
          <cell r="CM681">
            <v>7.7924665495309133</v>
          </cell>
          <cell r="CN681">
            <v>0</v>
          </cell>
          <cell r="CO681">
            <v>0</v>
          </cell>
          <cell r="CP681">
            <v>2.7806687891846429</v>
          </cell>
          <cell r="CQ681">
            <v>0</v>
          </cell>
          <cell r="CR681">
            <v>0</v>
          </cell>
          <cell r="CS681">
            <v>4.3009420947367864E-3</v>
          </cell>
          <cell r="CT681">
            <v>0</v>
          </cell>
          <cell r="CU681">
            <v>0</v>
          </cell>
        </row>
        <row r="682">
          <cell r="CF682" t="str">
            <v>Warakapola</v>
          </cell>
          <cell r="CG682">
            <v>6.600271289378183</v>
          </cell>
          <cell r="CH682">
            <v>0</v>
          </cell>
          <cell r="CI682">
            <v>0</v>
          </cell>
          <cell r="CJ682">
            <v>1.1053624317769715</v>
          </cell>
          <cell r="CK682">
            <v>0</v>
          </cell>
          <cell r="CL682">
            <v>0</v>
          </cell>
          <cell r="CM682">
            <v>9.0503594800303659</v>
          </cell>
          <cell r="CN682">
            <v>0</v>
          </cell>
          <cell r="CO682">
            <v>0</v>
          </cell>
          <cell r="CP682">
            <v>2.530290688005659</v>
          </cell>
          <cell r="CQ682">
            <v>0</v>
          </cell>
          <cell r="CR682">
            <v>0</v>
          </cell>
          <cell r="CS682">
            <v>1.2078295895137882E-3</v>
          </cell>
          <cell r="CT682">
            <v>0</v>
          </cell>
          <cell r="CU682">
            <v>0</v>
          </cell>
        </row>
        <row r="683">
          <cell r="CF683" t="str">
            <v>Karagampitiya</v>
          </cell>
          <cell r="CG683">
            <v>5.479552062770864</v>
          </cell>
          <cell r="CH683">
            <v>0</v>
          </cell>
          <cell r="CI683">
            <v>0</v>
          </cell>
          <cell r="CJ683">
            <v>0.77808751842954227</v>
          </cell>
          <cell r="CK683">
            <v>0</v>
          </cell>
          <cell r="CL683">
            <v>0</v>
          </cell>
          <cell r="CM683">
            <v>9.3235153170987264</v>
          </cell>
          <cell r="CN683">
            <v>0</v>
          </cell>
          <cell r="CO683">
            <v>0</v>
          </cell>
          <cell r="CP683">
            <v>2.7613281059692789</v>
          </cell>
          <cell r="CQ683">
            <v>0</v>
          </cell>
          <cell r="CR683">
            <v>0</v>
          </cell>
          <cell r="CS683">
            <v>0</v>
          </cell>
          <cell r="CT683">
            <v>0</v>
          </cell>
          <cell r="CU683">
            <v>0</v>
          </cell>
        </row>
        <row r="684">
          <cell r="CF684" t="str">
            <v>Mathale</v>
          </cell>
          <cell r="CG684">
            <v>3.53282273451652</v>
          </cell>
          <cell r="CH684">
            <v>0</v>
          </cell>
          <cell r="CI684">
            <v>0</v>
          </cell>
          <cell r="CJ684">
            <v>0.66510032672753761</v>
          </cell>
          <cell r="CK684">
            <v>0</v>
          </cell>
          <cell r="CL684">
            <v>0</v>
          </cell>
          <cell r="CM684">
            <v>4.3226495960427247</v>
          </cell>
          <cell r="CN684">
            <v>0</v>
          </cell>
          <cell r="CO684">
            <v>0</v>
          </cell>
          <cell r="CP684">
            <v>2.5844163950572332</v>
          </cell>
          <cell r="CQ684">
            <v>0</v>
          </cell>
          <cell r="CR684">
            <v>0</v>
          </cell>
          <cell r="CS684">
            <v>8.4965717506389575E-4</v>
          </cell>
          <cell r="CT684">
            <v>0</v>
          </cell>
          <cell r="CU684">
            <v>0</v>
          </cell>
        </row>
        <row r="685">
          <cell r="CF685" t="str">
            <v>Peliyagoda</v>
          </cell>
          <cell r="CG685">
            <v>7.2887254505944892</v>
          </cell>
          <cell r="CH685">
            <v>0</v>
          </cell>
          <cell r="CI685">
            <v>0</v>
          </cell>
          <cell r="CJ685">
            <v>1.5556014127604374</v>
          </cell>
          <cell r="CK685">
            <v>0</v>
          </cell>
          <cell r="CL685">
            <v>0</v>
          </cell>
          <cell r="CM685">
            <v>11.505349482187269</v>
          </cell>
          <cell r="CN685">
            <v>0</v>
          </cell>
          <cell r="CO685">
            <v>0</v>
          </cell>
          <cell r="CP685">
            <v>2.9352226053585757</v>
          </cell>
          <cell r="CQ685">
            <v>0</v>
          </cell>
          <cell r="CR685">
            <v>0</v>
          </cell>
          <cell r="CS685">
            <v>0</v>
          </cell>
          <cell r="CT685">
            <v>0</v>
          </cell>
          <cell r="CU685">
            <v>0</v>
          </cell>
        </row>
        <row r="686">
          <cell r="CF686" t="str">
            <v>Kelaniya</v>
          </cell>
          <cell r="CG686">
            <v>6.0229161766287227</v>
          </cell>
          <cell r="CH686">
            <v>0</v>
          </cell>
          <cell r="CI686">
            <v>0</v>
          </cell>
          <cell r="CJ686">
            <v>1.1871531118318006</v>
          </cell>
          <cell r="CK686">
            <v>0</v>
          </cell>
          <cell r="CL686">
            <v>0</v>
          </cell>
          <cell r="CM686">
            <v>8.1207925379673771</v>
          </cell>
          <cell r="CN686">
            <v>0</v>
          </cell>
          <cell r="CO686">
            <v>0</v>
          </cell>
          <cell r="CP686">
            <v>3.0580769242692183</v>
          </cell>
          <cell r="CQ686">
            <v>0</v>
          </cell>
          <cell r="CR686">
            <v>0</v>
          </cell>
          <cell r="CS686">
            <v>0</v>
          </cell>
          <cell r="CT686">
            <v>0</v>
          </cell>
          <cell r="CU686">
            <v>0</v>
          </cell>
        </row>
        <row r="687">
          <cell r="CF687" t="str">
            <v>Demategoda</v>
          </cell>
          <cell r="CG687">
            <v>4.8181856334335231</v>
          </cell>
          <cell r="CH687">
            <v>0</v>
          </cell>
          <cell r="CI687">
            <v>0</v>
          </cell>
          <cell r="CJ687">
            <v>0.76320539671685994</v>
          </cell>
          <cell r="CK687">
            <v>0</v>
          </cell>
          <cell r="CL687">
            <v>0</v>
          </cell>
          <cell r="CM687">
            <v>8.8639548672773163</v>
          </cell>
          <cell r="CN687">
            <v>0</v>
          </cell>
          <cell r="CO687">
            <v>0</v>
          </cell>
          <cell r="CP687">
            <v>2.7221582286342549</v>
          </cell>
          <cell r="CQ687">
            <v>0</v>
          </cell>
          <cell r="CR687">
            <v>0</v>
          </cell>
          <cell r="CS687">
            <v>0</v>
          </cell>
          <cell r="CT687">
            <v>0</v>
          </cell>
          <cell r="CU687">
            <v>0</v>
          </cell>
        </row>
        <row r="688">
          <cell r="CF688" t="str">
            <v>Kolannawa</v>
          </cell>
          <cell r="CG688">
            <v>3.4240571201890209</v>
          </cell>
          <cell r="CH688">
            <v>0</v>
          </cell>
          <cell r="CI688">
            <v>0</v>
          </cell>
          <cell r="CJ688">
            <v>0.8298207519238201</v>
          </cell>
          <cell r="CK688">
            <v>0</v>
          </cell>
          <cell r="CL688">
            <v>0</v>
          </cell>
          <cell r="CM688">
            <v>5.1331489349465267</v>
          </cell>
          <cell r="CN688">
            <v>0</v>
          </cell>
          <cell r="CO688">
            <v>0</v>
          </cell>
          <cell r="CP688">
            <v>2.6904502036470954</v>
          </cell>
          <cell r="CQ688">
            <v>0</v>
          </cell>
          <cell r="CR688">
            <v>0</v>
          </cell>
          <cell r="CS688">
            <v>0</v>
          </cell>
          <cell r="CT688">
            <v>0</v>
          </cell>
          <cell r="CU688">
            <v>0</v>
          </cell>
        </row>
        <row r="689">
          <cell r="CF689" t="str">
            <v>Avissawella</v>
          </cell>
          <cell r="CG689">
            <v>7.2296763505328876</v>
          </cell>
          <cell r="CH689">
            <v>0</v>
          </cell>
          <cell r="CI689">
            <v>0</v>
          </cell>
          <cell r="CJ689">
            <v>1.0912822303867828</v>
          </cell>
          <cell r="CK689">
            <v>0</v>
          </cell>
          <cell r="CL689">
            <v>0</v>
          </cell>
          <cell r="CM689">
            <v>7.9825863419429597</v>
          </cell>
          <cell r="CN689">
            <v>0</v>
          </cell>
          <cell r="CO689">
            <v>0</v>
          </cell>
          <cell r="CP689">
            <v>3.121959233487793</v>
          </cell>
          <cell r="CQ689">
            <v>0</v>
          </cell>
          <cell r="CR689">
            <v>0</v>
          </cell>
          <cell r="CS689">
            <v>0</v>
          </cell>
          <cell r="CT689">
            <v>0</v>
          </cell>
          <cell r="CU689">
            <v>0</v>
          </cell>
        </row>
        <row r="690">
          <cell r="CF690" t="str">
            <v>Homagama</v>
          </cell>
          <cell r="CG690">
            <v>4.6273593996527387</v>
          </cell>
          <cell r="CH690">
            <v>0</v>
          </cell>
          <cell r="CI690">
            <v>0</v>
          </cell>
          <cell r="CJ690">
            <v>0.96182765344041377</v>
          </cell>
          <cell r="CK690">
            <v>0</v>
          </cell>
          <cell r="CL690">
            <v>0</v>
          </cell>
          <cell r="CM690">
            <v>7.7645445571648093</v>
          </cell>
          <cell r="CN690">
            <v>0</v>
          </cell>
          <cell r="CO690">
            <v>0</v>
          </cell>
          <cell r="CP690">
            <v>3.1618929424835005</v>
          </cell>
          <cell r="CQ690">
            <v>0</v>
          </cell>
          <cell r="CR690">
            <v>0</v>
          </cell>
          <cell r="CS690">
            <v>0</v>
          </cell>
          <cell r="CT690">
            <v>0</v>
          </cell>
          <cell r="CU690">
            <v>0</v>
          </cell>
        </row>
        <row r="691">
          <cell r="CF691" t="str">
            <v>Galle</v>
          </cell>
          <cell r="CG691">
            <v>3.6732980990795077</v>
          </cell>
          <cell r="CH691">
            <v>0</v>
          </cell>
          <cell r="CI691">
            <v>0</v>
          </cell>
          <cell r="CJ691">
            <v>0.75693999773781706</v>
          </cell>
          <cell r="CK691">
            <v>0</v>
          </cell>
          <cell r="CL691">
            <v>0</v>
          </cell>
          <cell r="CM691">
            <v>4.09211105639897</v>
          </cell>
          <cell r="CN691">
            <v>0</v>
          </cell>
          <cell r="CO691">
            <v>0</v>
          </cell>
          <cell r="CP691">
            <v>3.1119407282221889</v>
          </cell>
          <cell r="CQ691">
            <v>0</v>
          </cell>
          <cell r="CR691">
            <v>0</v>
          </cell>
          <cell r="CS691">
            <v>0</v>
          </cell>
          <cell r="CT691">
            <v>0</v>
          </cell>
          <cell r="CU691">
            <v>0</v>
          </cell>
        </row>
        <row r="692">
          <cell r="CF692" t="str">
            <v>Kohuwela</v>
          </cell>
          <cell r="CG692">
            <v>4.3279136450413747</v>
          </cell>
          <cell r="CH692">
            <v>0</v>
          </cell>
          <cell r="CI692">
            <v>0</v>
          </cell>
          <cell r="CJ692">
            <v>0.6080538305983223</v>
          </cell>
          <cell r="CK692">
            <v>0</v>
          </cell>
          <cell r="CL692">
            <v>0</v>
          </cell>
          <cell r="CM692">
            <v>5.5691681338063344</v>
          </cell>
          <cell r="CN692">
            <v>0</v>
          </cell>
          <cell r="CO692">
            <v>0</v>
          </cell>
          <cell r="CP692">
            <v>2.7017020888298573</v>
          </cell>
          <cell r="CQ692">
            <v>0</v>
          </cell>
          <cell r="CR692">
            <v>0</v>
          </cell>
          <cell r="CS692">
            <v>0</v>
          </cell>
          <cell r="CT692">
            <v>0</v>
          </cell>
          <cell r="CU692">
            <v>0</v>
          </cell>
        </row>
        <row r="693">
          <cell r="CF693" t="str">
            <v>Mt lavinia-STC</v>
          </cell>
          <cell r="CG693">
            <v>4.4659477816805699</v>
          </cell>
          <cell r="CH693">
            <v>0</v>
          </cell>
          <cell r="CI693">
            <v>0</v>
          </cell>
          <cell r="CJ693">
            <v>1.7820611358183782</v>
          </cell>
          <cell r="CK693">
            <v>0</v>
          </cell>
          <cell r="CL693">
            <v>0</v>
          </cell>
          <cell r="CM693">
            <v>10.484498197082729</v>
          </cell>
          <cell r="CN693">
            <v>0</v>
          </cell>
          <cell r="CO693">
            <v>0</v>
          </cell>
          <cell r="CP693">
            <v>5.3823848363945288</v>
          </cell>
          <cell r="CQ693">
            <v>0</v>
          </cell>
          <cell r="CR693">
            <v>0</v>
          </cell>
          <cell r="CS693">
            <v>0</v>
          </cell>
          <cell r="CT693">
            <v>0</v>
          </cell>
          <cell r="CU693">
            <v>0</v>
          </cell>
        </row>
        <row r="694">
          <cell r="CF694" t="str">
            <v>Mini Mart</v>
          </cell>
          <cell r="CG694">
            <v>0.20812907003781683</v>
          </cell>
          <cell r="CH694">
            <v>0.25730604926039052</v>
          </cell>
          <cell r="CI694">
            <v>19.112251485703393</v>
          </cell>
          <cell r="CJ694">
            <v>0.83489639735950993</v>
          </cell>
          <cell r="CK694">
            <v>1.5340194864973189</v>
          </cell>
          <cell r="CL694">
            <v>45.574589846582818</v>
          </cell>
          <cell r="CM694">
            <v>9.7415524295795421</v>
          </cell>
          <cell r="CN694">
            <v>10.439080895563627</v>
          </cell>
          <cell r="CO694">
            <v>6.6818953982866347</v>
          </cell>
          <cell r="CP694">
            <v>1.6940664155857013</v>
          </cell>
          <cell r="CQ694">
            <v>2.3988967529859893</v>
          </cell>
          <cell r="CR694">
            <v>29.381436967762848</v>
          </cell>
          <cell r="CS694">
            <v>-7.9554689760099014E-6</v>
          </cell>
          <cell r="CT694">
            <v>0</v>
          </cell>
          <cell r="CU694">
            <v>0</v>
          </cell>
        </row>
        <row r="695">
          <cell r="CF695" t="str">
            <v>Express Maligawatte</v>
          </cell>
          <cell r="CG695">
            <v>4.8279911045504313</v>
          </cell>
          <cell r="CH695">
            <v>0</v>
          </cell>
          <cell r="CI695">
            <v>0</v>
          </cell>
          <cell r="CJ695">
            <v>1.9063007588096796</v>
          </cell>
          <cell r="CK695">
            <v>0</v>
          </cell>
          <cell r="CL695">
            <v>0</v>
          </cell>
          <cell r="CM695">
            <v>6.9149426771075868</v>
          </cell>
          <cell r="CN695">
            <v>0</v>
          </cell>
          <cell r="CO695">
            <v>0</v>
          </cell>
          <cell r="CP695">
            <v>1.5602799645092345</v>
          </cell>
          <cell r="CQ695">
            <v>0</v>
          </cell>
          <cell r="CR695">
            <v>0</v>
          </cell>
          <cell r="CS695">
            <v>0</v>
          </cell>
          <cell r="CT695">
            <v>0</v>
          </cell>
          <cell r="CU695">
            <v>0</v>
          </cell>
        </row>
        <row r="696">
          <cell r="CF696" t="str">
            <v>Express Peradeniya</v>
          </cell>
          <cell r="CG696">
            <v>7.9460708639367743</v>
          </cell>
          <cell r="CH696">
            <v>0</v>
          </cell>
          <cell r="CI696">
            <v>0</v>
          </cell>
          <cell r="CJ696">
            <v>2.5893910134869138</v>
          </cell>
          <cell r="CK696">
            <v>0</v>
          </cell>
          <cell r="CL696">
            <v>0</v>
          </cell>
          <cell r="CM696">
            <v>11.660659437594303</v>
          </cell>
          <cell r="CN696">
            <v>0</v>
          </cell>
          <cell r="CO696">
            <v>0</v>
          </cell>
          <cell r="CP696">
            <v>2.1915253493786659</v>
          </cell>
          <cell r="CQ696">
            <v>0</v>
          </cell>
          <cell r="CR696">
            <v>0</v>
          </cell>
          <cell r="CS696">
            <v>0</v>
          </cell>
          <cell r="CT696">
            <v>0</v>
          </cell>
          <cell r="CU696">
            <v>0</v>
          </cell>
        </row>
        <row r="697">
          <cell r="CF697" t="str">
            <v>Express Alexandra Place</v>
          </cell>
          <cell r="CG697">
            <v>6.1614956531413503</v>
          </cell>
          <cell r="CH697">
            <v>0</v>
          </cell>
          <cell r="CI697">
            <v>0</v>
          </cell>
          <cell r="CJ697">
            <v>1.5415765729724922</v>
          </cell>
          <cell r="CK697">
            <v>0</v>
          </cell>
          <cell r="CL697">
            <v>0</v>
          </cell>
          <cell r="CM697">
            <v>5.9939192377396511</v>
          </cell>
          <cell r="CN697">
            <v>0</v>
          </cell>
          <cell r="CO697">
            <v>0</v>
          </cell>
          <cell r="CP697">
            <v>0</v>
          </cell>
          <cell r="CQ697">
            <v>0</v>
          </cell>
          <cell r="CR697">
            <v>0</v>
          </cell>
          <cell r="CS697">
            <v>0</v>
          </cell>
          <cell r="CT697">
            <v>0</v>
          </cell>
          <cell r="CU697">
            <v>0</v>
          </cell>
        </row>
        <row r="698">
          <cell r="CF698" t="str">
            <v>Express Boralla</v>
          </cell>
          <cell r="CG698">
            <v>17.266430705948995</v>
          </cell>
          <cell r="CH698">
            <v>0</v>
          </cell>
          <cell r="CI698">
            <v>0</v>
          </cell>
          <cell r="CJ698">
            <v>6.8471085825702698</v>
          </cell>
          <cell r="CK698">
            <v>0</v>
          </cell>
          <cell r="CL698">
            <v>0</v>
          </cell>
          <cell r="CM698">
            <v>19.993165391165853</v>
          </cell>
          <cell r="CN698">
            <v>0</v>
          </cell>
          <cell r="CO698">
            <v>0</v>
          </cell>
          <cell r="CP698">
            <v>3.2350921837853459</v>
          </cell>
          <cell r="CQ698">
            <v>0</v>
          </cell>
          <cell r="CR698">
            <v>0</v>
          </cell>
          <cell r="CS698">
            <v>0</v>
          </cell>
          <cell r="CT698">
            <v>0</v>
          </cell>
          <cell r="CU698">
            <v>0</v>
          </cell>
        </row>
        <row r="699">
          <cell r="CF699" t="str">
            <v>Express Havelock Road</v>
          </cell>
          <cell r="CG699">
            <v>14.881321969598252</v>
          </cell>
          <cell r="CH699">
            <v>0</v>
          </cell>
          <cell r="CI699">
            <v>0</v>
          </cell>
          <cell r="CJ699">
            <v>4.6105017916293161</v>
          </cell>
          <cell r="CK699">
            <v>0</v>
          </cell>
          <cell r="CL699">
            <v>0</v>
          </cell>
          <cell r="CM699">
            <v>15.312344310649195</v>
          </cell>
          <cell r="CN699">
            <v>0</v>
          </cell>
          <cell r="CO699">
            <v>0</v>
          </cell>
          <cell r="CP699">
            <v>2.3187024867128816</v>
          </cell>
          <cell r="CQ699">
            <v>0</v>
          </cell>
          <cell r="CR699">
            <v>0</v>
          </cell>
          <cell r="CS699">
            <v>0</v>
          </cell>
          <cell r="CT699">
            <v>0</v>
          </cell>
          <cell r="CU699">
            <v>0</v>
          </cell>
        </row>
        <row r="700">
          <cell r="CF700" t="str">
            <v>Express Maradana</v>
          </cell>
          <cell r="CG700">
            <v>12.122758616548937</v>
          </cell>
          <cell r="CH700">
            <v>0</v>
          </cell>
          <cell r="CI700">
            <v>0</v>
          </cell>
          <cell r="CJ700">
            <v>20.931200983976503</v>
          </cell>
          <cell r="CK700">
            <v>0</v>
          </cell>
          <cell r="CL700">
            <v>0</v>
          </cell>
          <cell r="CM700">
            <v>14.272513973332623</v>
          </cell>
          <cell r="CN700">
            <v>0</v>
          </cell>
          <cell r="CO700">
            <v>0</v>
          </cell>
          <cell r="CP700">
            <v>12.892605294791966</v>
          </cell>
          <cell r="CQ700">
            <v>0</v>
          </cell>
          <cell r="CR700">
            <v>0</v>
          </cell>
          <cell r="CS700">
            <v>0</v>
          </cell>
          <cell r="CT700">
            <v>0</v>
          </cell>
          <cell r="CU700">
            <v>0</v>
          </cell>
        </row>
        <row r="701">
          <cell r="CF701" t="str">
            <v xml:space="preserve">Food City </v>
          </cell>
          <cell r="CG701">
            <v>3.0386474589515267</v>
          </cell>
          <cell r="CH701">
            <v>3.1756858019589504</v>
          </cell>
          <cell r="CI701">
            <v>4.3152361900188758</v>
          </cell>
          <cell r="CJ701">
            <v>0.42079299109447893</v>
          </cell>
          <cell r="CK701">
            <v>0.47109883861210916</v>
          </cell>
          <cell r="CL701">
            <v>10.678406184535469</v>
          </cell>
          <cell r="CM701">
            <v>4.0316840179647162</v>
          </cell>
          <cell r="CN701">
            <v>4.3740475848103042</v>
          </cell>
          <cell r="CO701">
            <v>7.8271568886106619</v>
          </cell>
          <cell r="CP701">
            <v>2.1740268276654335</v>
          </cell>
          <cell r="CQ701">
            <v>1.9834729567247813</v>
          </cell>
          <cell r="CR701">
            <v>-9.6070818759891328</v>
          </cell>
          <cell r="CS701">
            <v>1.3537366321225537</v>
          </cell>
          <cell r="CT701">
            <v>1.2533942541165639</v>
          </cell>
          <cell r="CU701">
            <v>-8.0056516675764229</v>
          </cell>
        </row>
        <row r="702">
          <cell r="CE702">
            <v>25</v>
          </cell>
          <cell r="CT702" t="str">
            <v>Appendix III</v>
          </cell>
        </row>
        <row r="703">
          <cell r="CE703" t="str">
            <v>CARGILLS ( CEYLON ) LTD</v>
          </cell>
        </row>
        <row r="705">
          <cell r="CE705" t="str">
            <v xml:space="preserve"> Margin Analysis by Profit Centres/Divisions  -Twelve  months ended 31st March 2004 </v>
          </cell>
        </row>
        <row r="706">
          <cell r="CF706" t="str">
            <v>YTD V YTD</v>
          </cell>
          <cell r="CU706">
            <v>38154.357810300928</v>
          </cell>
        </row>
        <row r="707">
          <cell r="CE707" t="str">
            <v>Profit Centre</v>
          </cell>
          <cell r="CG707" t="str">
            <v>Staff Related</v>
          </cell>
          <cell r="CJ707" t="str">
            <v>Administration</v>
          </cell>
          <cell r="CM707" t="str">
            <v>Establishment</v>
          </cell>
          <cell r="CP707" t="str">
            <v>Selling &amp; Distribution</v>
          </cell>
          <cell r="CS707" t="str">
            <v>D&amp;A and Finance</v>
          </cell>
        </row>
        <row r="708">
          <cell r="CG708">
            <v>38047</v>
          </cell>
          <cell r="CH708">
            <v>37681</v>
          </cell>
          <cell r="CI708" t="str">
            <v>Var %</v>
          </cell>
          <cell r="CJ708">
            <v>38047</v>
          </cell>
          <cell r="CK708">
            <v>37681</v>
          </cell>
          <cell r="CL708" t="str">
            <v>Var %</v>
          </cell>
          <cell r="CM708">
            <v>38047</v>
          </cell>
          <cell r="CN708">
            <v>37681</v>
          </cell>
          <cell r="CO708" t="str">
            <v>Var %</v>
          </cell>
          <cell r="CP708">
            <v>38047</v>
          </cell>
          <cell r="CQ708">
            <v>37681</v>
          </cell>
          <cell r="CR708" t="str">
            <v>Var %</v>
          </cell>
          <cell r="CS708">
            <v>38047</v>
          </cell>
          <cell r="CT708">
            <v>37681</v>
          </cell>
          <cell r="CU708" t="str">
            <v>Var %</v>
          </cell>
        </row>
        <row r="709">
          <cell r="CF709" t="str">
            <v>Department Store</v>
          </cell>
          <cell r="CG709">
            <v>5.6201637622361327</v>
          </cell>
          <cell r="CH709">
            <v>6.5535142758691238</v>
          </cell>
          <cell r="CI709">
            <v>14.241984900676982</v>
          </cell>
          <cell r="CJ709">
            <v>5.4594935445241514E-2</v>
          </cell>
          <cell r="CK709">
            <v>4.6170988613923762E-2</v>
          </cell>
          <cell r="CL709">
            <v>-18.245108203676942</v>
          </cell>
          <cell r="CM709">
            <v>1.3609832574828677E-2</v>
          </cell>
          <cell r="CN709">
            <v>7.5929337576232214E-2</v>
          </cell>
          <cell r="CO709">
            <v>82.075660068593976</v>
          </cell>
          <cell r="CP709">
            <v>0.19011309759833153</v>
          </cell>
          <cell r="CQ709">
            <v>9.0608641421751956E-2</v>
          </cell>
          <cell r="CR709">
            <v>-109.81784365734022</v>
          </cell>
          <cell r="CS709">
            <v>6.0651207038562628E-4</v>
          </cell>
          <cell r="CT709">
            <v>1.5645587412852931E-3</v>
          </cell>
          <cell r="CU709">
            <v>61.234304958893816</v>
          </cell>
        </row>
        <row r="710">
          <cell r="CF710" t="str">
            <v>Books and Stationery</v>
          </cell>
          <cell r="CG710">
            <v>9.4438514850423587</v>
          </cell>
          <cell r="CH710">
            <v>9.7275945681055038</v>
          </cell>
          <cell r="CI710">
            <v>2.9168884566126141</v>
          </cell>
          <cell r="CJ710">
            <v>1.0146826947658691</v>
          </cell>
          <cell r="CK710">
            <v>1.2881415447304994</v>
          </cell>
          <cell r="CL710">
            <v>21.228944216828467</v>
          </cell>
          <cell r="CM710">
            <v>5.895724160833594</v>
          </cell>
          <cell r="CN710">
            <v>6.9906604796901766</v>
          </cell>
          <cell r="CO710">
            <v>15.662845049300833</v>
          </cell>
          <cell r="CP710">
            <v>0.47991622057042671</v>
          </cell>
          <cell r="CQ710">
            <v>0.45079724874638843</v>
          </cell>
          <cell r="CR710">
            <v>-6.4594386733757903</v>
          </cell>
          <cell r="CS710">
            <v>-2.4967466578970931E-2</v>
          </cell>
          <cell r="CT710">
            <v>0.62627636498256689</v>
          </cell>
          <cell r="CU710">
            <v>103.98665317342224</v>
          </cell>
        </row>
        <row r="711">
          <cell r="CF711" t="str">
            <v>Hatton Liquor</v>
          </cell>
          <cell r="CG711">
            <v>0.78866806155448654</v>
          </cell>
          <cell r="CH711">
            <v>0.80005502102371928</v>
          </cell>
          <cell r="CI711">
            <v>1.4232720462978192</v>
          </cell>
          <cell r="CJ711">
            <v>0.20330315330154328</v>
          </cell>
          <cell r="CK711">
            <v>0.20217123600853143</v>
          </cell>
          <cell r="CL711">
            <v>-0.55988048317817141</v>
          </cell>
          <cell r="CM711">
            <v>0.19676313959515085</v>
          </cell>
          <cell r="CN711">
            <v>0.18764169202299064</v>
          </cell>
          <cell r="CO711">
            <v>-4.8610985510845932</v>
          </cell>
          <cell r="CP711">
            <v>3.4766057323449298</v>
          </cell>
          <cell r="CQ711">
            <v>3.2504305570725798</v>
          </cell>
          <cell r="CR711">
            <v>-6.9583143310112447</v>
          </cell>
          <cell r="CS711">
            <v>0</v>
          </cell>
          <cell r="CT711">
            <v>0</v>
          </cell>
          <cell r="CU711">
            <v>0</v>
          </cell>
        </row>
        <row r="712">
          <cell r="CF712" t="str">
            <v>Retail Division</v>
          </cell>
          <cell r="CG712">
            <v>3.0601087937129359</v>
          </cell>
          <cell r="CH712">
            <v>3.204469185447282</v>
          </cell>
          <cell r="CI712">
            <v>4.5049705077502935</v>
          </cell>
          <cell r="CJ712">
            <v>0.42183510499573468</v>
          </cell>
          <cell r="CK712">
            <v>0.47315800589882534</v>
          </cell>
          <cell r="CL712">
            <v>10.846884183137959</v>
          </cell>
          <cell r="CM712">
            <v>4.0159330353615177</v>
          </cell>
          <cell r="CN712">
            <v>4.3503414096210182</v>
          </cell>
          <cell r="CO712">
            <v>7.6869455238602225</v>
          </cell>
          <cell r="CP712">
            <v>2.1697086977581583</v>
          </cell>
          <cell r="CQ712">
            <v>1.9796821792615567</v>
          </cell>
          <cell r="CR712">
            <v>-9.5988396767547641</v>
          </cell>
          <cell r="CS712">
            <v>1.3393357595317439</v>
          </cell>
          <cell r="CT712">
            <v>1.2379214052073089</v>
          </cell>
          <cell r="CU712">
            <v>-8.1923096165747005</v>
          </cell>
        </row>
        <row r="713">
          <cell r="CF713" t="str">
            <v>Commercial Division</v>
          </cell>
          <cell r="CG713">
            <v>0</v>
          </cell>
          <cell r="CH713">
            <v>0</v>
          </cell>
          <cell r="CI713">
            <v>0</v>
          </cell>
          <cell r="CJ713">
            <v>0</v>
          </cell>
          <cell r="CK713">
            <v>0</v>
          </cell>
          <cell r="CL713">
            <v>0</v>
          </cell>
          <cell r="CM713">
            <v>0</v>
          </cell>
          <cell r="CN713">
            <v>0</v>
          </cell>
          <cell r="CO713">
            <v>0</v>
          </cell>
          <cell r="CP713">
            <v>0</v>
          </cell>
          <cell r="CQ713">
            <v>0</v>
          </cell>
          <cell r="CR713">
            <v>0</v>
          </cell>
          <cell r="CS713">
            <v>0</v>
          </cell>
          <cell r="CT713">
            <v>0</v>
          </cell>
          <cell r="CU713">
            <v>0</v>
          </cell>
        </row>
        <row r="714">
          <cell r="CF714" t="str">
            <v>Hampers</v>
          </cell>
          <cell r="CG714">
            <v>1.4097298985874793</v>
          </cell>
          <cell r="CH714">
            <v>8.1134870116727403E-2</v>
          </cell>
          <cell r="CI714">
            <v>-1637.5142112871124</v>
          </cell>
          <cell r="CJ714">
            <v>0.50576114190127019</v>
          </cell>
          <cell r="CK714">
            <v>0.35287013064790124</v>
          </cell>
          <cell r="CL714">
            <v>-43.327841597883996</v>
          </cell>
          <cell r="CM714">
            <v>2.8730438330921364E-2</v>
          </cell>
          <cell r="CN714">
            <v>2.5494388523320938E-2</v>
          </cell>
          <cell r="CO714">
            <v>-12.693184638024386</v>
          </cell>
          <cell r="CP714">
            <v>6.3266649234034382</v>
          </cell>
          <cell r="CQ714">
            <v>0</v>
          </cell>
          <cell r="CR714">
            <v>0</v>
          </cell>
          <cell r="CS714">
            <v>0</v>
          </cell>
          <cell r="CT714">
            <v>0</v>
          </cell>
          <cell r="CU714">
            <v>0</v>
          </cell>
        </row>
        <row r="715">
          <cell r="CF715" t="str">
            <v>Wines &amp; Spirits</v>
          </cell>
          <cell r="CG715">
            <v>2.4582625415327497</v>
          </cell>
          <cell r="CH715">
            <v>2.0193950591782412</v>
          </cell>
          <cell r="CI715">
            <v>-21.732621378854823</v>
          </cell>
          <cell r="CJ715">
            <v>0.88674660093117363</v>
          </cell>
          <cell r="CK715">
            <v>1.3070986963399245</v>
          </cell>
          <cell r="CL715">
            <v>32.159170274272384</v>
          </cell>
          <cell r="CM715">
            <v>5.8918146674048925E-2</v>
          </cell>
          <cell r="CN715">
            <v>3.0976009356935209E-2</v>
          </cell>
          <cell r="CO715">
            <v>-90.205736301076371</v>
          </cell>
          <cell r="CP715">
            <v>2.6654228584354538</v>
          </cell>
          <cell r="CQ715">
            <v>2.6368970031228884</v>
          </cell>
          <cell r="CR715">
            <v>-1.0817963416387542</v>
          </cell>
          <cell r="CS715">
            <v>-1.2908229719473143</v>
          </cell>
          <cell r="CT715">
            <v>-0.93939641810156327</v>
          </cell>
          <cell r="CU715">
            <v>37.409824763431921</v>
          </cell>
        </row>
        <row r="716">
          <cell r="CF716" t="str">
            <v xml:space="preserve">Total </v>
          </cell>
          <cell r="CG716">
            <v>3.2315197508789759</v>
          </cell>
          <cell r="CH716">
            <v>3.3408237745307394</v>
          </cell>
          <cell r="CI716">
            <v>3.2717686124320231</v>
          </cell>
          <cell r="CJ716">
            <v>0.50592832181126013</v>
          </cell>
          <cell r="CK716">
            <v>0.58004641201878537</v>
          </cell>
          <cell r="CL716">
            <v>12.777958568792053</v>
          </cell>
          <cell r="CM716">
            <v>3.9574478223507374</v>
          </cell>
          <cell r="CN716">
            <v>4.2746782486172803</v>
          </cell>
          <cell r="CO716">
            <v>7.4211533083023635</v>
          </cell>
          <cell r="CP716">
            <v>2.3033170770969233</v>
          </cell>
          <cell r="CQ716">
            <v>2.0855743693786457</v>
          </cell>
          <cell r="CR716">
            <v>-10.440419239672073</v>
          </cell>
          <cell r="CS716">
            <v>1.2973832561128431</v>
          </cell>
          <cell r="CT716">
            <v>1.2031088064478244</v>
          </cell>
          <cell r="CU716">
            <v>-7.8359038816583695</v>
          </cell>
        </row>
        <row r="811">
          <cell r="B811">
            <v>30</v>
          </cell>
          <cell r="P811">
            <v>0</v>
          </cell>
          <cell r="T811" t="str">
            <v>Schedule 3</v>
          </cell>
        </row>
        <row r="812">
          <cell r="B812" t="str">
            <v>CARGILLS ( CEYLON ) LTD</v>
          </cell>
        </row>
        <row r="814">
          <cell r="B814" t="str">
            <v xml:space="preserve"> Direct Expenses by Profit Centres/Divisions  -Twelve  months ended 31st March 2004 </v>
          </cell>
        </row>
        <row r="815">
          <cell r="C815" t="str">
            <v>YTD V BUD</v>
          </cell>
          <cell r="U815">
            <v>38154.357810300928</v>
          </cell>
        </row>
        <row r="816">
          <cell r="B816" t="str">
            <v>Profit Centre</v>
          </cell>
          <cell r="D816" t="str">
            <v>Staff Related</v>
          </cell>
          <cell r="G816" t="str">
            <v xml:space="preserve">Administration </v>
          </cell>
          <cell r="J816" t="str">
            <v xml:space="preserve">Establishment </v>
          </cell>
          <cell r="M816" t="str">
            <v>Selling &amp; Distribution</v>
          </cell>
          <cell r="P816" t="str">
            <v>Direct Expenses</v>
          </cell>
          <cell r="S816" t="str">
            <v>D&amp;A and Finance</v>
          </cell>
        </row>
        <row r="817">
          <cell r="D817">
            <v>38047</v>
          </cell>
          <cell r="E817" t="str">
            <v>Budget</v>
          </cell>
          <cell r="F817" t="str">
            <v>Var %</v>
          </cell>
          <cell r="G817">
            <v>38047</v>
          </cell>
          <cell r="H817" t="str">
            <v>Budget</v>
          </cell>
          <cell r="I817" t="str">
            <v>Var %</v>
          </cell>
          <cell r="J817">
            <v>38047</v>
          </cell>
          <cell r="K817" t="str">
            <v>Budget</v>
          </cell>
          <cell r="L817" t="str">
            <v>Var %</v>
          </cell>
          <cell r="M817">
            <v>38047</v>
          </cell>
          <cell r="N817" t="str">
            <v>Budget</v>
          </cell>
          <cell r="O817" t="str">
            <v>Var %</v>
          </cell>
          <cell r="P817">
            <v>38047</v>
          </cell>
          <cell r="Q817" t="str">
            <v>Budget</v>
          </cell>
          <cell r="R817" t="str">
            <v>Var %</v>
          </cell>
          <cell r="S817">
            <v>38047</v>
          </cell>
          <cell r="T817" t="str">
            <v>Budget</v>
          </cell>
          <cell r="U817" t="str">
            <v>Var %</v>
          </cell>
        </row>
        <row r="818">
          <cell r="C818" t="str">
            <v>Staples Street</v>
          </cell>
          <cell r="D818">
            <v>13294.020479999999</v>
          </cell>
          <cell r="E818">
            <v>13066.240533000002</v>
          </cell>
          <cell r="F818">
            <v>-1.7432707321185303</v>
          </cell>
          <cell r="G818">
            <v>1908.8318200000001</v>
          </cell>
          <cell r="H818">
            <v>2002.2489042545449</v>
          </cell>
          <cell r="I818">
            <v>4.6656079599316742</v>
          </cell>
          <cell r="J818">
            <v>21574.000039999999</v>
          </cell>
          <cell r="K818">
            <v>23182.525361625099</v>
          </cell>
          <cell r="L818">
            <v>6.9385250162941796</v>
          </cell>
          <cell r="M818">
            <v>15678.120699999999</v>
          </cell>
          <cell r="N818">
            <v>14992.135857089437</v>
          </cell>
          <cell r="O818">
            <v>-4.5756311805710848</v>
          </cell>
          <cell r="P818">
            <v>52454.973039999997</v>
          </cell>
          <cell r="Q818">
            <v>53243.150655969082</v>
          </cell>
          <cell r="R818">
            <v>1.4803361676732831</v>
          </cell>
          <cell r="S818">
            <v>5759.0972599999996</v>
          </cell>
          <cell r="T818">
            <v>5884.1440900000007</v>
          </cell>
          <cell r="U818">
            <v>2.1251490121140306</v>
          </cell>
        </row>
        <row r="819">
          <cell r="C819" t="str">
            <v>Kandy</v>
          </cell>
          <cell r="D819">
            <v>8116.9699000000001</v>
          </cell>
          <cell r="E819">
            <v>8565.1757116143799</v>
          </cell>
          <cell r="F819">
            <v>5.2328851935473164</v>
          </cell>
          <cell r="G819">
            <v>947.99766</v>
          </cell>
          <cell r="H819">
            <v>1181.8931566909093</v>
          </cell>
          <cell r="I819">
            <v>19.789901935448643</v>
          </cell>
          <cell r="J819">
            <v>10353.797549999999</v>
          </cell>
          <cell r="K819">
            <v>10879.253411051572</v>
          </cell>
          <cell r="L819">
            <v>4.8298889748977967</v>
          </cell>
          <cell r="M819">
            <v>7758.6067199999998</v>
          </cell>
          <cell r="N819">
            <v>6913.3624087140233</v>
          </cell>
          <cell r="O819">
            <v>-12.226240450241391</v>
          </cell>
          <cell r="P819">
            <v>27177.37183</v>
          </cell>
          <cell r="Q819">
            <v>27539.684688070884</v>
          </cell>
          <cell r="R819">
            <v>1.3156027825831402</v>
          </cell>
          <cell r="S819">
            <v>4773.0047399999994</v>
          </cell>
          <cell r="T819">
            <v>4687.0082124999999</v>
          </cell>
          <cell r="U819">
            <v>-1.8347850825319951</v>
          </cell>
        </row>
        <row r="820">
          <cell r="C820" t="str">
            <v>Mount Lavinia</v>
          </cell>
          <cell r="D820">
            <v>6649.2730600000004</v>
          </cell>
          <cell r="E820">
            <v>7180.6178531818196</v>
          </cell>
          <cell r="F820">
            <v>7.3997085494025239</v>
          </cell>
          <cell r="G820">
            <v>833.46689000000003</v>
          </cell>
          <cell r="H820">
            <v>916.82531727272726</v>
          </cell>
          <cell r="I820">
            <v>9.0920730156855676</v>
          </cell>
          <cell r="J820">
            <v>6784.1991799999996</v>
          </cell>
          <cell r="K820">
            <v>7160.4851413153201</v>
          </cell>
          <cell r="L820">
            <v>5.2550344549168351</v>
          </cell>
          <cell r="M820">
            <v>5000.6980700000004</v>
          </cell>
          <cell r="N820">
            <v>3643.1284301195356</v>
          </cell>
          <cell r="O820">
            <v>-37.263842489239977</v>
          </cell>
          <cell r="P820">
            <v>19267.637199999997</v>
          </cell>
          <cell r="Q820">
            <v>18901.056741889402</v>
          </cell>
          <cell r="R820">
            <v>-1.9394707032340801</v>
          </cell>
          <cell r="S820">
            <v>1010.8280999999999</v>
          </cell>
          <cell r="T820">
            <v>1101.6245999999999</v>
          </cell>
          <cell r="U820">
            <v>8.2420545074973752</v>
          </cell>
        </row>
        <row r="821">
          <cell r="C821" t="str">
            <v>Wellawatte</v>
          </cell>
          <cell r="D821">
            <v>4472.8701600000004</v>
          </cell>
          <cell r="E821">
            <v>3718.9885715</v>
          </cell>
          <cell r="F821">
            <v>-20.271145608708689</v>
          </cell>
          <cell r="G821">
            <v>724.44018000000005</v>
          </cell>
          <cell r="H821">
            <v>530.64484319999985</v>
          </cell>
          <cell r="I821">
            <v>-36.520723659790434</v>
          </cell>
          <cell r="J821">
            <v>7194.9060499999996</v>
          </cell>
          <cell r="K821">
            <v>3985.9254350394262</v>
          </cell>
          <cell r="L821">
            <v>-80.507793416081114</v>
          </cell>
          <cell r="M821">
            <v>2497.7939900000001</v>
          </cell>
          <cell r="N821">
            <v>2076.9923392614755</v>
          </cell>
          <cell r="O821">
            <v>-20.260144574637703</v>
          </cell>
          <cell r="P821">
            <v>14890.01038</v>
          </cell>
          <cell r="Q821">
            <v>10312.5511890009</v>
          </cell>
          <cell r="R821">
            <v>-44.387262735542095</v>
          </cell>
          <cell r="S821">
            <v>322.63249999999999</v>
          </cell>
          <cell r="T821">
            <v>359.14799999999991</v>
          </cell>
          <cell r="U821">
            <v>10.167256952565495</v>
          </cell>
        </row>
        <row r="822">
          <cell r="C822" t="str">
            <v>Bambalapitiya</v>
          </cell>
          <cell r="D822">
            <v>6270.5689199999997</v>
          </cell>
          <cell r="E822">
            <v>6777.2777039509774</v>
          </cell>
          <cell r="F822">
            <v>7.4765828712549238</v>
          </cell>
          <cell r="G822">
            <v>840.78177000000005</v>
          </cell>
          <cell r="H822">
            <v>1144.2197445818178</v>
          </cell>
          <cell r="I822">
            <v>26.519204551282794</v>
          </cell>
          <cell r="J822">
            <v>12433.527050000001</v>
          </cell>
          <cell r="K822">
            <v>13454.816015276934</v>
          </cell>
          <cell r="L822">
            <v>7.5905085890237114</v>
          </cell>
          <cell r="M822">
            <v>4271.0537700000004</v>
          </cell>
          <cell r="N822">
            <v>4793.1327834558879</v>
          </cell>
          <cell r="O822">
            <v>10.892229300592508</v>
          </cell>
          <cell r="P822">
            <v>23815.931510000002</v>
          </cell>
          <cell r="Q822">
            <v>26169.446247265616</v>
          </cell>
          <cell r="R822">
            <v>8.9933685070295564</v>
          </cell>
          <cell r="S822">
            <v>795.11073999999996</v>
          </cell>
          <cell r="T822">
            <v>799.11851999999999</v>
          </cell>
          <cell r="U822">
            <v>0.50152510543742945</v>
          </cell>
        </row>
        <row r="823">
          <cell r="C823" t="str">
            <v>Nuwara Eliya</v>
          </cell>
          <cell r="D823">
            <v>3234.3655399999998</v>
          </cell>
          <cell r="E823">
            <v>4066.8814720000009</v>
          </cell>
          <cell r="F823">
            <v>20.470621967514301</v>
          </cell>
          <cell r="G823">
            <v>642.88905999999997</v>
          </cell>
          <cell r="H823">
            <v>706.29907810909083</v>
          </cell>
          <cell r="I823">
            <v>8.9777857673059174</v>
          </cell>
          <cell r="J823">
            <v>4494.6763600000004</v>
          </cell>
          <cell r="K823">
            <v>4417.367199498196</v>
          </cell>
          <cell r="L823">
            <v>-1.7501184984256359</v>
          </cell>
          <cell r="M823">
            <v>2481.4772499999999</v>
          </cell>
          <cell r="N823">
            <v>2075.7198212232533</v>
          </cell>
          <cell r="O823">
            <v>-19.547793716091583</v>
          </cell>
          <cell r="P823">
            <v>10853.40821</v>
          </cell>
          <cell r="Q823">
            <v>11266.267570830543</v>
          </cell>
          <cell r="R823">
            <v>3.6645620054282797</v>
          </cell>
          <cell r="S823">
            <v>2193.20676</v>
          </cell>
          <cell r="T823">
            <v>2039.2911599999998</v>
          </cell>
          <cell r="U823">
            <v>-7.5475048889046468</v>
          </cell>
        </row>
        <row r="824">
          <cell r="C824" t="str">
            <v>Bandarawela</v>
          </cell>
          <cell r="D824">
            <v>3425.9648999999999</v>
          </cell>
          <cell r="E824">
            <v>3705.9474440000004</v>
          </cell>
          <cell r="F824">
            <v>7.5549518235423845</v>
          </cell>
          <cell r="G824">
            <v>650.14945999999998</v>
          </cell>
          <cell r="H824">
            <v>649.6755652363637</v>
          </cell>
          <cell r="I824">
            <v>-7.2943294929657621E-2</v>
          </cell>
          <cell r="J824">
            <v>3777.7316900000001</v>
          </cell>
          <cell r="K824">
            <v>3692.5046873783922</v>
          </cell>
          <cell r="L824">
            <v>-2.3081081768948932</v>
          </cell>
          <cell r="M824">
            <v>2600.4845399999999</v>
          </cell>
          <cell r="N824">
            <v>1991.4867935572224</v>
          </cell>
          <cell r="O824">
            <v>-30.580054480551034</v>
          </cell>
          <cell r="P824">
            <v>10454.33059</v>
          </cell>
          <cell r="Q824">
            <v>10039.614490171978</v>
          </cell>
          <cell r="R824">
            <v>-4.1307970563411285</v>
          </cell>
          <cell r="S824">
            <v>543.76404000000002</v>
          </cell>
          <cell r="T824">
            <v>535.4000400000001</v>
          </cell>
          <cell r="U824">
            <v>-1.5621963718941667</v>
          </cell>
        </row>
        <row r="825">
          <cell r="C825" t="str">
            <v>Maharagama</v>
          </cell>
          <cell r="D825">
            <v>5926.5557399999998</v>
          </cell>
          <cell r="E825">
            <v>5767.8177699197859</v>
          </cell>
          <cell r="F825">
            <v>-2.7521321999467667</v>
          </cell>
          <cell r="G825">
            <v>690.14670999999998</v>
          </cell>
          <cell r="H825">
            <v>721.44783850909107</v>
          </cell>
          <cell r="I825">
            <v>4.3386544166209537</v>
          </cell>
          <cell r="J825">
            <v>8446.6635999999999</v>
          </cell>
          <cell r="K825">
            <v>7965.940902361649</v>
          </cell>
          <cell r="L825">
            <v>-6.0347258852476768</v>
          </cell>
          <cell r="M825">
            <v>4781.0490600000003</v>
          </cell>
          <cell r="N825">
            <v>4125.4450911149361</v>
          </cell>
          <cell r="O825">
            <v>-15.89171481877321</v>
          </cell>
          <cell r="P825">
            <v>19844.415110000002</v>
          </cell>
          <cell r="Q825">
            <v>18580.651601905462</v>
          </cell>
          <cell r="R825">
            <v>-6.8015026338739393</v>
          </cell>
          <cell r="S825">
            <v>893.00350000000003</v>
          </cell>
          <cell r="T825">
            <v>1000.4760000000002</v>
          </cell>
          <cell r="U825">
            <v>10.742136742910393</v>
          </cell>
        </row>
        <row r="826">
          <cell r="C826" t="str">
            <v>Kiribathgoda</v>
          </cell>
          <cell r="D826">
            <v>4091.8804100000002</v>
          </cell>
          <cell r="E826">
            <v>5099.154454999999</v>
          </cell>
          <cell r="F826">
            <v>19.753746506194013</v>
          </cell>
          <cell r="G826">
            <v>500.27589999999998</v>
          </cell>
          <cell r="H826">
            <v>574.46528858181807</v>
          </cell>
          <cell r="I826">
            <v>12.914511991659126</v>
          </cell>
          <cell r="J826">
            <v>3549.5466000000001</v>
          </cell>
          <cell r="K826">
            <v>4480.2134667723594</v>
          </cell>
          <cell r="L826">
            <v>20.772824189621293</v>
          </cell>
          <cell r="M826">
            <v>2754.5255400000001</v>
          </cell>
          <cell r="N826">
            <v>3193.0423236748693</v>
          </cell>
          <cell r="O826">
            <v>13.733509901308812</v>
          </cell>
          <cell r="P826">
            <v>10896.228450000001</v>
          </cell>
          <cell r="Q826">
            <v>13346.875534029045</v>
          </cell>
          <cell r="R826">
            <v>18.361204296697768</v>
          </cell>
          <cell r="S826">
            <v>446.81950000000001</v>
          </cell>
          <cell r="T826">
            <v>517.23599999999999</v>
          </cell>
          <cell r="U826">
            <v>13.613998252248487</v>
          </cell>
        </row>
        <row r="827">
          <cell r="C827" t="str">
            <v>Nugegoda</v>
          </cell>
          <cell r="D827">
            <v>7468.9916599999997</v>
          </cell>
          <cell r="E827">
            <v>8258.4958319275338</v>
          </cell>
          <cell r="F827">
            <v>9.5599027715833298</v>
          </cell>
          <cell r="G827">
            <v>766.37004999999999</v>
          </cell>
          <cell r="H827">
            <v>870.73696603636347</v>
          </cell>
          <cell r="I827">
            <v>11.986044018717466</v>
          </cell>
          <cell r="J827">
            <v>11109.5936</v>
          </cell>
          <cell r="K827">
            <v>11870.742784682641</v>
          </cell>
          <cell r="L827">
            <v>6.4119760531311183</v>
          </cell>
          <cell r="M827">
            <v>5801.1636099999996</v>
          </cell>
          <cell r="N827">
            <v>6034.9570292321268</v>
          </cell>
          <cell r="O827">
            <v>3.8739864774459636</v>
          </cell>
          <cell r="P827">
            <v>25146.118919999997</v>
          </cell>
          <cell r="Q827">
            <v>27034.932611878667</v>
          </cell>
          <cell r="R827">
            <v>6.9865670427036992</v>
          </cell>
          <cell r="S827">
            <v>1571.48486</v>
          </cell>
          <cell r="T827">
            <v>1695.4443924999998</v>
          </cell>
          <cell r="U827">
            <v>7.3113298819088106</v>
          </cell>
        </row>
        <row r="828">
          <cell r="C828" t="str">
            <v>Fort</v>
          </cell>
          <cell r="D828">
            <v>4352.0321100000001</v>
          </cell>
          <cell r="E828">
            <v>4102.0171150000006</v>
          </cell>
          <cell r="F828">
            <v>-6.0949281290358419</v>
          </cell>
          <cell r="G828">
            <v>424.02789000000001</v>
          </cell>
          <cell r="H828">
            <v>546.9179323636364</v>
          </cell>
          <cell r="I828">
            <v>22.469558061945001</v>
          </cell>
          <cell r="J828">
            <v>477.95337999999998</v>
          </cell>
          <cell r="K828">
            <v>601.42251599999997</v>
          </cell>
          <cell r="L828">
            <v>20.529516723314696</v>
          </cell>
          <cell r="M828">
            <v>2620.2921900000001</v>
          </cell>
          <cell r="N828">
            <v>2448.4607531026518</v>
          </cell>
          <cell r="O828">
            <v>-7.0179371541735422</v>
          </cell>
          <cell r="P828">
            <v>7874.3055700000004</v>
          </cell>
          <cell r="Q828">
            <v>7698.8183164662878</v>
          </cell>
          <cell r="R828">
            <v>-2.2794050504916998</v>
          </cell>
          <cell r="S828">
            <v>428.59350000000001</v>
          </cell>
          <cell r="T828">
            <v>716.34388750000005</v>
          </cell>
          <cell r="U828">
            <v>40.169308696725636</v>
          </cell>
        </row>
        <row r="829">
          <cell r="C829" t="str">
            <v>Malabe</v>
          </cell>
          <cell r="D829">
            <v>4831.9064500000004</v>
          </cell>
          <cell r="E829">
            <v>5572.5514601666673</v>
          </cell>
          <cell r="F829">
            <v>13.290949674684837</v>
          </cell>
          <cell r="G829">
            <v>677.49375999999995</v>
          </cell>
          <cell r="H829">
            <v>775.36394399999983</v>
          </cell>
          <cell r="I829">
            <v>12.622483255424616</v>
          </cell>
          <cell r="J829">
            <v>7108.7154</v>
          </cell>
          <cell r="K829">
            <v>8085.8072507821598</v>
          </cell>
          <cell r="L829">
            <v>12.084035897437987</v>
          </cell>
          <cell r="M829">
            <v>3779.2656699999998</v>
          </cell>
          <cell r="N829">
            <v>3511.9474944459776</v>
          </cell>
          <cell r="O829">
            <v>-7.6116791602601293</v>
          </cell>
          <cell r="P829">
            <v>16397.381280000001</v>
          </cell>
          <cell r="Q829">
            <v>17945.670149394802</v>
          </cell>
          <cell r="R829">
            <v>8.6276458694801939</v>
          </cell>
          <cell r="S829">
            <v>662.15904999999998</v>
          </cell>
          <cell r="T829">
            <v>735.43200000000024</v>
          </cell>
          <cell r="U829">
            <v>9.9632528908179463</v>
          </cell>
        </row>
        <row r="830">
          <cell r="C830" t="str">
            <v>Negombo</v>
          </cell>
          <cell r="D830">
            <v>6201.1056900000003</v>
          </cell>
          <cell r="E830">
            <v>6615.0443449999984</v>
          </cell>
          <cell r="F830">
            <v>6.2575340906501244</v>
          </cell>
          <cell r="G830">
            <v>809.98752000000002</v>
          </cell>
          <cell r="H830">
            <v>805.20513119999998</v>
          </cell>
          <cell r="I830">
            <v>-0.59393421808835534</v>
          </cell>
          <cell r="J830">
            <v>7047.3352100000002</v>
          </cell>
          <cell r="K830">
            <v>7618.4662429190512</v>
          </cell>
          <cell r="L830">
            <v>7.4966668448506439</v>
          </cell>
          <cell r="M830">
            <v>4582.13087</v>
          </cell>
          <cell r="N830">
            <v>3780.233368474318</v>
          </cell>
          <cell r="O830">
            <v>-21.212909980986797</v>
          </cell>
          <cell r="P830">
            <v>18640.559290000001</v>
          </cell>
          <cell r="Q830">
            <v>18818.949087593366</v>
          </cell>
          <cell r="R830">
            <v>0.94792645839597311</v>
          </cell>
          <cell r="S830">
            <v>1184.0274999999999</v>
          </cell>
          <cell r="T830">
            <v>1326.4799999999998</v>
          </cell>
          <cell r="U830">
            <v>10.73913666244496</v>
          </cell>
        </row>
        <row r="831">
          <cell r="C831" t="str">
            <v>Rajagiriya</v>
          </cell>
          <cell r="D831">
            <v>4861.25731</v>
          </cell>
          <cell r="E831">
            <v>5278.2634732727292</v>
          </cell>
          <cell r="F831">
            <v>7.9004423592020725</v>
          </cell>
          <cell r="G831">
            <v>662.70707000000004</v>
          </cell>
          <cell r="H831">
            <v>770.07810119999988</v>
          </cell>
          <cell r="I831">
            <v>13.942875538557109</v>
          </cell>
          <cell r="J831">
            <v>4143.7451899999996</v>
          </cell>
          <cell r="K831">
            <v>4783.7776726596567</v>
          </cell>
          <cell r="L831">
            <v>13.379227181011855</v>
          </cell>
          <cell r="M831">
            <v>3688.47928</v>
          </cell>
          <cell r="N831">
            <v>3071.463877082761</v>
          </cell>
          <cell r="O831">
            <v>-20.088642667133456</v>
          </cell>
          <cell r="P831">
            <v>13356.188849999999</v>
          </cell>
          <cell r="Q831">
            <v>13903.583124215145</v>
          </cell>
          <cell r="R831">
            <v>3.9370734099599014</v>
          </cell>
          <cell r="S831">
            <v>934.45862</v>
          </cell>
          <cell r="T831">
            <v>1688.9400749999998</v>
          </cell>
          <cell r="U831">
            <v>44.671890149802969</v>
          </cell>
        </row>
        <row r="832">
          <cell r="C832" t="str">
            <v>Boralesgamuwa</v>
          </cell>
          <cell r="D832">
            <v>2815.2618400000001</v>
          </cell>
          <cell r="E832">
            <v>3141.2515479999993</v>
          </cell>
          <cell r="F832">
            <v>10.377701467669894</v>
          </cell>
          <cell r="G832">
            <v>461.90370000000001</v>
          </cell>
          <cell r="H832">
            <v>479.46359934545461</v>
          </cell>
          <cell r="I832">
            <v>3.6624051063368941</v>
          </cell>
          <cell r="J832">
            <v>3899.3950399999999</v>
          </cell>
          <cell r="K832">
            <v>4290.5486810794118</v>
          </cell>
          <cell r="L832">
            <v>9.1166344948918265</v>
          </cell>
          <cell r="M832">
            <v>1842.2300700000001</v>
          </cell>
          <cell r="N832">
            <v>1526.154353257275</v>
          </cell>
          <cell r="O832">
            <v>-20.710599558172071</v>
          </cell>
          <cell r="P832">
            <v>9018.790649999999</v>
          </cell>
          <cell r="Q832">
            <v>9437.4181816821401</v>
          </cell>
          <cell r="R832">
            <v>4.4358268715345224</v>
          </cell>
          <cell r="S832">
            <v>595.89549999999997</v>
          </cell>
          <cell r="T832">
            <v>698.91600000000017</v>
          </cell>
          <cell r="U832">
            <v>14.74004029096489</v>
          </cell>
        </row>
        <row r="833">
          <cell r="C833" t="str">
            <v>Pitakotte</v>
          </cell>
          <cell r="D833">
            <v>4502.4354300000005</v>
          </cell>
          <cell r="E833">
            <v>5035.8265679999995</v>
          </cell>
          <cell r="F833">
            <v>10.591928272300244</v>
          </cell>
          <cell r="G833">
            <v>610.97304999999994</v>
          </cell>
          <cell r="H833">
            <v>671.26190476363627</v>
          </cell>
          <cell r="I833">
            <v>8.9814205656233597</v>
          </cell>
          <cell r="J833">
            <v>5178.3881300000003</v>
          </cell>
          <cell r="K833">
            <v>5661.4659384423903</v>
          </cell>
          <cell r="L833">
            <v>8.5327336363927095</v>
          </cell>
          <cell r="M833">
            <v>3412.91824</v>
          </cell>
          <cell r="N833">
            <v>3096.3385577050012</v>
          </cell>
          <cell r="O833">
            <v>-10.224323871406584</v>
          </cell>
          <cell r="P833">
            <v>13704.71485</v>
          </cell>
          <cell r="Q833">
            <v>14464.892968911028</v>
          </cell>
          <cell r="R833">
            <v>5.2553317922563032</v>
          </cell>
          <cell r="S833">
            <v>2126.6543000000001</v>
          </cell>
          <cell r="T833">
            <v>2299.1538</v>
          </cell>
          <cell r="U833">
            <v>7.5027386162682941</v>
          </cell>
        </row>
        <row r="834">
          <cell r="C834" t="str">
            <v>Panadura</v>
          </cell>
          <cell r="D834">
            <v>4808.4133400000001</v>
          </cell>
          <cell r="E834">
            <v>4952.1299640000007</v>
          </cell>
          <cell r="F834">
            <v>2.9021173726207277</v>
          </cell>
          <cell r="G834">
            <v>442.18248</v>
          </cell>
          <cell r="H834">
            <v>607.54617120000012</v>
          </cell>
          <cell r="I834">
            <v>27.218292047397906</v>
          </cell>
          <cell r="J834">
            <v>7404.6273300000003</v>
          </cell>
          <cell r="K834">
            <v>7864.406333899783</v>
          </cell>
          <cell r="L834">
            <v>5.8463281826867233</v>
          </cell>
          <cell r="M834">
            <v>3951.9370100000001</v>
          </cell>
          <cell r="N834">
            <v>3160.4648939898007</v>
          </cell>
          <cell r="O834">
            <v>-25.042901679285468</v>
          </cell>
          <cell r="P834">
            <v>16607.160160000003</v>
          </cell>
          <cell r="Q834">
            <v>16584.547363089583</v>
          </cell>
          <cell r="R834">
            <v>-0.13634859255035708</v>
          </cell>
          <cell r="S834">
            <v>3122.1183799999999</v>
          </cell>
          <cell r="T834">
            <v>2961.1801200000004</v>
          </cell>
          <cell r="U834">
            <v>-5.4349365279407396</v>
          </cell>
        </row>
        <row r="835">
          <cell r="C835" t="str">
            <v>Kurunagala</v>
          </cell>
          <cell r="D835">
            <v>4215.7479199999998</v>
          </cell>
          <cell r="E835">
            <v>5162.630292615384</v>
          </cell>
          <cell r="F835">
            <v>18.341084271903078</v>
          </cell>
          <cell r="G835">
            <v>569.02838999999994</v>
          </cell>
          <cell r="H835">
            <v>665.37512661818175</v>
          </cell>
          <cell r="I835">
            <v>14.480062864368136</v>
          </cell>
          <cell r="J835">
            <v>6997.5769099999998</v>
          </cell>
          <cell r="K835">
            <v>6933.5759032809628</v>
          </cell>
          <cell r="L835">
            <v>-0.92305914886936913</v>
          </cell>
          <cell r="M835">
            <v>2627.18345</v>
          </cell>
          <cell r="N835">
            <v>2047.0691306571705</v>
          </cell>
          <cell r="O835">
            <v>-28.338775210615157</v>
          </cell>
          <cell r="P835">
            <v>14409.53667</v>
          </cell>
          <cell r="Q835">
            <v>14808.650453171698</v>
          </cell>
          <cell r="R835">
            <v>2.6951394688785908</v>
          </cell>
          <cell r="S835">
            <v>3261.9754899999998</v>
          </cell>
          <cell r="T835">
            <v>3461.2860000000014</v>
          </cell>
          <cell r="U835">
            <v>5.7582791482703692</v>
          </cell>
        </row>
        <row r="836">
          <cell r="C836" t="str">
            <v>Matara</v>
          </cell>
          <cell r="D836">
            <v>5162.0847599999997</v>
          </cell>
          <cell r="E836">
            <v>4697.3607490000004</v>
          </cell>
          <cell r="F836">
            <v>-9.8933004261793673</v>
          </cell>
          <cell r="G836">
            <v>549.62795000000006</v>
          </cell>
          <cell r="H836">
            <v>663.50060334545469</v>
          </cell>
          <cell r="I836">
            <v>17.162403887998622</v>
          </cell>
          <cell r="J836">
            <v>5824.43995</v>
          </cell>
          <cell r="K836">
            <v>6137.0682142354499</v>
          </cell>
          <cell r="L836">
            <v>5.0940979197572247</v>
          </cell>
          <cell r="M836">
            <v>2592.18183</v>
          </cell>
          <cell r="N836">
            <v>2086.4761505232032</v>
          </cell>
          <cell r="O836">
            <v>-24.237309367278723</v>
          </cell>
          <cell r="P836">
            <v>14128.334489999999</v>
          </cell>
          <cell r="Q836">
            <v>13584.405717104108</v>
          </cell>
          <cell r="R836">
            <v>-4.0040674890255348</v>
          </cell>
          <cell r="S836">
            <v>2962.8164800000004</v>
          </cell>
          <cell r="T836">
            <v>2941.7775175000006</v>
          </cell>
          <cell r="U836">
            <v>-0.71517857400308293</v>
          </cell>
        </row>
        <row r="837">
          <cell r="C837" t="str">
            <v>Wattala</v>
          </cell>
          <cell r="D837">
            <v>5324.2208700000001</v>
          </cell>
          <cell r="E837">
            <v>5875.6246482758606</v>
          </cell>
          <cell r="F837">
            <v>9.3845984262739464</v>
          </cell>
          <cell r="G837">
            <v>614.40351999999996</v>
          </cell>
          <cell r="H837">
            <v>607.78227545454547</v>
          </cell>
          <cell r="I837">
            <v>-1.0894106019302094</v>
          </cell>
          <cell r="J837">
            <v>7324.2851199999996</v>
          </cell>
          <cell r="K837">
            <v>7122.199583319526</v>
          </cell>
          <cell r="L837">
            <v>-2.8374034498242069</v>
          </cell>
          <cell r="M837">
            <v>3245.9044199999998</v>
          </cell>
          <cell r="N837">
            <v>2469.8128162530074</v>
          </cell>
          <cell r="O837">
            <v>-31.423094035296707</v>
          </cell>
          <cell r="P837">
            <v>16508.81393</v>
          </cell>
          <cell r="Q837">
            <v>16075.41932330294</v>
          </cell>
          <cell r="R837">
            <v>-2.6960080977098437</v>
          </cell>
          <cell r="S837">
            <v>4538.56538</v>
          </cell>
          <cell r="T837">
            <v>4803.2753875000008</v>
          </cell>
          <cell r="U837">
            <v>5.5110312473209344</v>
          </cell>
        </row>
        <row r="838">
          <cell r="C838" t="str">
            <v>Pelawatte</v>
          </cell>
          <cell r="D838">
            <v>5240.1126700000004</v>
          </cell>
          <cell r="E838">
            <v>6018.7666412820527</v>
          </cell>
          <cell r="F838">
            <v>12.937101863051993</v>
          </cell>
          <cell r="G838">
            <v>636.17350999999996</v>
          </cell>
          <cell r="H838">
            <v>654.38968952727271</v>
          </cell>
          <cell r="I838">
            <v>2.7836898745198759</v>
          </cell>
          <cell r="J838">
            <v>6548.86589</v>
          </cell>
          <cell r="K838">
            <v>6833.0782030958389</v>
          </cell>
          <cell r="L838">
            <v>4.1593598763010178</v>
          </cell>
          <cell r="M838">
            <v>4027.96074</v>
          </cell>
          <cell r="N838">
            <v>3551.5049767131454</v>
          </cell>
          <cell r="O838">
            <v>-13.41560173534674</v>
          </cell>
          <cell r="P838">
            <v>16453.112809999999</v>
          </cell>
          <cell r="Q838">
            <v>17057.73951061831</v>
          </cell>
          <cell r="R838">
            <v>3.5445886615980751</v>
          </cell>
          <cell r="S838">
            <v>3291.03746</v>
          </cell>
          <cell r="T838">
            <v>3587.7370099999994</v>
          </cell>
          <cell r="U838">
            <v>8.2698243815813974</v>
          </cell>
        </row>
        <row r="839">
          <cell r="C839" t="str">
            <v>Gampaha</v>
          </cell>
          <cell r="D839">
            <v>5372.3290999999999</v>
          </cell>
          <cell r="E839">
            <v>5815.2349251898386</v>
          </cell>
          <cell r="F839">
            <v>7.6163015060888535</v>
          </cell>
          <cell r="G839">
            <v>589.62729000000002</v>
          </cell>
          <cell r="H839">
            <v>616.14923967272716</v>
          </cell>
          <cell r="I839">
            <v>4.3044684574819092</v>
          </cell>
          <cell r="J839">
            <v>5849.6166999999996</v>
          </cell>
          <cell r="K839">
            <v>5824.0945265537075</v>
          </cell>
          <cell r="L839">
            <v>-0.43821701948567637</v>
          </cell>
          <cell r="M839">
            <v>3208.6330800000001</v>
          </cell>
          <cell r="N839">
            <v>2389.6382542251285</v>
          </cell>
          <cell r="O839">
            <v>-34.272753389631404</v>
          </cell>
          <cell r="P839">
            <v>15020.206169999999</v>
          </cell>
          <cell r="Q839">
            <v>14645.116945641401</v>
          </cell>
          <cell r="R839">
            <v>-2.5611896835704724</v>
          </cell>
          <cell r="S839">
            <v>5182.24802</v>
          </cell>
          <cell r="T839">
            <v>5660.3615250000003</v>
          </cell>
          <cell r="U839">
            <v>8.4466955491857956</v>
          </cell>
        </row>
        <row r="840">
          <cell r="C840" t="str">
            <v>Ja-ela</v>
          </cell>
          <cell r="D840">
            <v>5038.2197900000001</v>
          </cell>
          <cell r="E840">
            <v>5321.7100674999992</v>
          </cell>
          <cell r="F840">
            <v>5.3270522802677878</v>
          </cell>
          <cell r="G840">
            <v>587.54584</v>
          </cell>
          <cell r="H840">
            <v>543.07139519999998</v>
          </cell>
          <cell r="I840">
            <v>-8.1894287184139305</v>
          </cell>
          <cell r="J840">
            <v>6979.0238200000003</v>
          </cell>
          <cell r="K840">
            <v>6099.6444096370797</v>
          </cell>
          <cell r="L840">
            <v>-14.416896318964969</v>
          </cell>
          <cell r="M840">
            <v>3404.2119200000002</v>
          </cell>
          <cell r="N840">
            <v>2595.6776568594273</v>
          </cell>
          <cell r="O840">
            <v>-31.149255417132103</v>
          </cell>
          <cell r="P840">
            <v>16009.00137</v>
          </cell>
          <cell r="Q840">
            <v>14560.103529196505</v>
          </cell>
          <cell r="R840">
            <v>-9.9511506762167343</v>
          </cell>
          <cell r="S840">
            <v>6933.4626200000002</v>
          </cell>
          <cell r="T840">
            <v>8217.6661099999983</v>
          </cell>
          <cell r="U840">
            <v>15.627350549534535</v>
          </cell>
        </row>
        <row r="841">
          <cell r="C841" t="str">
            <v>Piliyandala</v>
          </cell>
          <cell r="D841">
            <v>4507.3317399999996</v>
          </cell>
          <cell r="E841">
            <v>5246.7273163529426</v>
          </cell>
          <cell r="F841">
            <v>14.092510088115365</v>
          </cell>
          <cell r="G841">
            <v>436.71543000000003</v>
          </cell>
          <cell r="H841">
            <v>625.96801285555546</v>
          </cell>
          <cell r="I841">
            <v>30.233586855695481</v>
          </cell>
          <cell r="J841">
            <v>5917.7017500000002</v>
          </cell>
          <cell r="K841">
            <v>5510.6085569719216</v>
          </cell>
          <cell r="L841">
            <v>-7.3874453033509635</v>
          </cell>
          <cell r="M841">
            <v>2490.1252500000001</v>
          </cell>
          <cell r="N841">
            <v>1577.0285943894039</v>
          </cell>
          <cell r="O841">
            <v>-57.899816075569014</v>
          </cell>
          <cell r="P841">
            <v>13351.874169999999</v>
          </cell>
          <cell r="Q841">
            <v>12960.332480569823</v>
          </cell>
          <cell r="R841">
            <v>-3.0210775072103808</v>
          </cell>
          <cell r="S841">
            <v>6240.0029400000003</v>
          </cell>
          <cell r="T841">
            <v>6176.2783800000025</v>
          </cell>
          <cell r="U841">
            <v>-1.0317630793059851</v>
          </cell>
        </row>
        <row r="842">
          <cell r="C842" t="str">
            <v>Chilaw</v>
          </cell>
          <cell r="D842">
            <v>3865.3698300000001</v>
          </cell>
          <cell r="E842">
            <v>5068.5054379999992</v>
          </cell>
          <cell r="F842">
            <v>23.73748282836506</v>
          </cell>
          <cell r="G842">
            <v>612.75455999999997</v>
          </cell>
          <cell r="H842">
            <v>794.85470214545467</v>
          </cell>
          <cell r="I842">
            <v>22.90986536959949</v>
          </cell>
          <cell r="J842">
            <v>6228.1204600000001</v>
          </cell>
          <cell r="K842">
            <v>5869.1307242592366</v>
          </cell>
          <cell r="L842">
            <v>-6.1165742016433429</v>
          </cell>
          <cell r="M842">
            <v>2244.4367099999999</v>
          </cell>
          <cell r="N842">
            <v>1960.6450963327211</v>
          </cell>
          <cell r="O842">
            <v>-14.474399992027903</v>
          </cell>
          <cell r="P842">
            <v>12950.681559999999</v>
          </cell>
          <cell r="Q842">
            <v>13693.135960737412</v>
          </cell>
          <cell r="R842">
            <v>5.422091790122197</v>
          </cell>
          <cell r="S842">
            <v>4593.12086</v>
          </cell>
          <cell r="T842">
            <v>5184.4563049999997</v>
          </cell>
          <cell r="U842">
            <v>11.405929767981712</v>
          </cell>
        </row>
        <row r="843">
          <cell r="C843" t="str">
            <v>Ratnapura</v>
          </cell>
          <cell r="D843">
            <v>5138.1743699999997</v>
          </cell>
          <cell r="E843">
            <v>5595.5721598636383</v>
          </cell>
          <cell r="F843">
            <v>8.1742809635178606</v>
          </cell>
          <cell r="G843">
            <v>755.06308999999999</v>
          </cell>
          <cell r="H843">
            <v>905.90015314285699</v>
          </cell>
          <cell r="I843">
            <v>16.650517457090061</v>
          </cell>
          <cell r="J843">
            <v>6368.4850399999996</v>
          </cell>
          <cell r="K843">
            <v>6425.217609344686</v>
          </cell>
          <cell r="L843">
            <v>0.88296728288511095</v>
          </cell>
          <cell r="M843">
            <v>3187.0018799999998</v>
          </cell>
          <cell r="N843">
            <v>2772.3489841319838</v>
          </cell>
          <cell r="O843">
            <v>-14.95673518165834</v>
          </cell>
          <cell r="P843">
            <v>15448.72438</v>
          </cell>
          <cell r="Q843">
            <v>15699.038906483165</v>
          </cell>
          <cell r="R843">
            <v>1.5944576478487114</v>
          </cell>
          <cell r="S843">
            <v>7285.3597399999999</v>
          </cell>
          <cell r="T843">
            <v>7501.2961925000009</v>
          </cell>
          <cell r="U843">
            <v>2.8786551944969205</v>
          </cell>
        </row>
        <row r="844">
          <cell r="C844" t="str">
            <v>Nawala</v>
          </cell>
          <cell r="D844">
            <v>6368.42922</v>
          </cell>
          <cell r="E844">
            <v>6696.8228590000008</v>
          </cell>
          <cell r="F844">
            <v>4.9037229431664855</v>
          </cell>
          <cell r="G844">
            <v>867.66540999999995</v>
          </cell>
          <cell r="H844">
            <v>961.19886899999972</v>
          </cell>
          <cell r="I844">
            <v>9.7309164644886614</v>
          </cell>
          <cell r="J844">
            <v>7148.6301599999997</v>
          </cell>
          <cell r="K844">
            <v>5949.903937049713</v>
          </cell>
          <cell r="L844">
            <v>-20.146984482991176</v>
          </cell>
          <cell r="M844">
            <v>6037.10419</v>
          </cell>
          <cell r="N844">
            <v>5136.5111247905461</v>
          </cell>
          <cell r="O844">
            <v>-17.533166838924696</v>
          </cell>
          <cell r="P844">
            <v>20421.828979999998</v>
          </cell>
          <cell r="Q844">
            <v>18744.43678984026</v>
          </cell>
          <cell r="R844">
            <v>-8.9487468146757454</v>
          </cell>
          <cell r="S844">
            <v>7582.5934999999999</v>
          </cell>
          <cell r="T844">
            <v>4508.0510100000001</v>
          </cell>
          <cell r="U844">
            <v>-68.201146863242784</v>
          </cell>
        </row>
        <row r="845">
          <cell r="C845" t="str">
            <v>Collupitiya</v>
          </cell>
          <cell r="D845">
            <v>5393.6265999999996</v>
          </cell>
          <cell r="E845">
            <v>6298.651029379218</v>
          </cell>
          <cell r="F845">
            <v>14.36854375893906</v>
          </cell>
          <cell r="G845">
            <v>712.73862999999994</v>
          </cell>
          <cell r="H845">
            <v>828.2444641371427</v>
          </cell>
          <cell r="I845">
            <v>13.945862500569278</v>
          </cell>
          <cell r="J845">
            <v>7264.2598500000004</v>
          </cell>
          <cell r="K845">
            <v>7774.8646073830132</v>
          </cell>
          <cell r="L845">
            <v>6.5673781238343683</v>
          </cell>
          <cell r="M845">
            <v>3224.3308900000002</v>
          </cell>
          <cell r="N845">
            <v>2915.9285282328237</v>
          </cell>
          <cell r="O845">
            <v>-10.576471912159018</v>
          </cell>
          <cell r="P845">
            <v>16594.955969999999</v>
          </cell>
          <cell r="Q845">
            <v>17817.688629132197</v>
          </cell>
          <cell r="R845">
            <v>6.8624650737975701</v>
          </cell>
          <cell r="S845">
            <v>3099.8158199999998</v>
          </cell>
          <cell r="T845">
            <v>4240.7092025000011</v>
          </cell>
          <cell r="U845">
            <v>26.903362810810439</v>
          </cell>
        </row>
        <row r="846">
          <cell r="C846" t="str">
            <v>Dehiwala</v>
          </cell>
          <cell r="D846">
            <v>5958.89786</v>
          </cell>
          <cell r="E846">
            <v>6697.5710529999988</v>
          </cell>
          <cell r="F846">
            <v>11.028971356252052</v>
          </cell>
          <cell r="G846">
            <v>833.97510999999997</v>
          </cell>
          <cell r="H846">
            <v>789.70106660000022</v>
          </cell>
          <cell r="I846">
            <v>-5.6064307460819816</v>
          </cell>
          <cell r="J846">
            <v>7986.6153100000001</v>
          </cell>
          <cell r="K846">
            <v>6951.1881173136999</v>
          </cell>
          <cell r="L846">
            <v>-14.895686538928587</v>
          </cell>
          <cell r="M846">
            <v>3992.3566900000001</v>
          </cell>
          <cell r="N846">
            <v>2964.9328120814903</v>
          </cell>
          <cell r="O846">
            <v>-34.652518051403028</v>
          </cell>
          <cell r="P846">
            <v>18771.844970000002</v>
          </cell>
          <cell r="Q846">
            <v>17403.393048995189</v>
          </cell>
          <cell r="R846">
            <v>-7.8631328796186812</v>
          </cell>
          <cell r="S846">
            <v>1994.8715199999999</v>
          </cell>
          <cell r="T846">
            <v>3120.3948824999989</v>
          </cell>
          <cell r="U846">
            <v>36.069901563171769</v>
          </cell>
        </row>
        <row r="847">
          <cell r="C847" t="str">
            <v>Thimbirigasyaya</v>
          </cell>
          <cell r="D847">
            <v>3913.4905899999999</v>
          </cell>
          <cell r="E847">
            <v>4460.7026115000017</v>
          </cell>
          <cell r="F847">
            <v>12.267395277354987</v>
          </cell>
          <cell r="G847">
            <v>549.63798999999995</v>
          </cell>
          <cell r="H847">
            <v>630.60419650909114</v>
          </cell>
          <cell r="I847">
            <v>12.83946522355944</v>
          </cell>
          <cell r="J847">
            <v>4844.2120800000002</v>
          </cell>
          <cell r="K847">
            <v>4445.8636909195038</v>
          </cell>
          <cell r="L847">
            <v>-8.9599775605830398</v>
          </cell>
          <cell r="M847">
            <v>2656.3431500000002</v>
          </cell>
          <cell r="N847">
            <v>2109.5555930235237</v>
          </cell>
          <cell r="O847">
            <v>-25.919561389363171</v>
          </cell>
          <cell r="P847">
            <v>11963.68381</v>
          </cell>
          <cell r="Q847">
            <v>11646.726091952121</v>
          </cell>
          <cell r="R847">
            <v>-2.7214318903481094</v>
          </cell>
          <cell r="S847">
            <v>2008.89014</v>
          </cell>
          <cell r="T847">
            <v>3462.5336675000003</v>
          </cell>
          <cell r="U847">
            <v>41.982076337457016</v>
          </cell>
        </row>
        <row r="848">
          <cell r="C848" t="str">
            <v>Moratuwa</v>
          </cell>
          <cell r="D848">
            <v>5238.7761300000002</v>
          </cell>
          <cell r="E848">
            <v>5518.5313815999989</v>
          </cell>
          <cell r="F848">
            <v>5.0693786490508046</v>
          </cell>
          <cell r="G848">
            <v>601.47136</v>
          </cell>
          <cell r="H848">
            <v>916.32681400000013</v>
          </cell>
          <cell r="I848">
            <v>34.360606847853312</v>
          </cell>
          <cell r="J848">
            <v>6493.5027499999997</v>
          </cell>
          <cell r="K848">
            <v>5680.0400170476487</v>
          </cell>
          <cell r="L848">
            <v>-14.321426090500852</v>
          </cell>
          <cell r="M848">
            <v>4136.2013100000004</v>
          </cell>
          <cell r="N848">
            <v>3099.6905386375138</v>
          </cell>
          <cell r="O848">
            <v>-33.43916944102719</v>
          </cell>
          <cell r="P848">
            <v>16469.951549999998</v>
          </cell>
          <cell r="Q848">
            <v>15214.588751285162</v>
          </cell>
          <cell r="R848">
            <v>-8.251046539846806</v>
          </cell>
          <cell r="S848">
            <v>3610.44346</v>
          </cell>
          <cell r="T848">
            <v>4084.9240124999992</v>
          </cell>
          <cell r="U848">
            <v>11.615407068725721</v>
          </cell>
        </row>
        <row r="849">
          <cell r="C849" t="str">
            <v>Kegalle</v>
          </cell>
          <cell r="D849">
            <v>3609.0426900000002</v>
          </cell>
          <cell r="E849">
            <v>3221.5921558622526</v>
          </cell>
          <cell r="F849">
            <v>-12.026678592220723</v>
          </cell>
          <cell r="G849">
            <v>601.92606000000001</v>
          </cell>
          <cell r="H849">
            <v>361.7681747628867</v>
          </cell>
          <cell r="I849">
            <v>-66.384469942531481</v>
          </cell>
          <cell r="J849">
            <v>4599.9874799999998</v>
          </cell>
          <cell r="K849">
            <v>4308.5537356568093</v>
          </cell>
          <cell r="L849">
            <v>-6.7640735667594836</v>
          </cell>
          <cell r="M849">
            <v>1688.52007</v>
          </cell>
          <cell r="N849">
            <v>1542.9200512952209</v>
          </cell>
          <cell r="O849">
            <v>-9.436653479391472</v>
          </cell>
          <cell r="P849">
            <v>10499.4763</v>
          </cell>
          <cell r="Q849">
            <v>9434.8341175771693</v>
          </cell>
          <cell r="R849">
            <v>-11.284164291128281</v>
          </cell>
          <cell r="S849">
            <v>4.4074999999999998</v>
          </cell>
          <cell r="T849">
            <v>0</v>
          </cell>
          <cell r="U849">
            <v>0</v>
          </cell>
        </row>
        <row r="850">
          <cell r="C850" t="str">
            <v>Kadawatha</v>
          </cell>
          <cell r="D850">
            <v>4739.8428899999999</v>
          </cell>
          <cell r="E850">
            <v>2522.5337500000001</v>
          </cell>
          <cell r="F850">
            <v>-87.900078244741024</v>
          </cell>
          <cell r="G850">
            <v>592.65578000000005</v>
          </cell>
          <cell r="H850">
            <v>451.5</v>
          </cell>
          <cell r="I850">
            <v>-31.263738648947964</v>
          </cell>
          <cell r="J850">
            <v>4709.1255700000002</v>
          </cell>
          <cell r="K850">
            <v>3659.625</v>
          </cell>
          <cell r="L850">
            <v>-28.677817262697687</v>
          </cell>
          <cell r="M850">
            <v>1856.5082</v>
          </cell>
          <cell r="N850">
            <v>1357.9818849820001</v>
          </cell>
          <cell r="O850">
            <v>-36.710822178942969</v>
          </cell>
          <cell r="P850">
            <v>11898.132440000001</v>
          </cell>
          <cell r="Q850">
            <v>7991.6406349820008</v>
          </cell>
          <cell r="R850">
            <v>-48.882225608569279</v>
          </cell>
          <cell r="S850">
            <v>0</v>
          </cell>
          <cell r="T850">
            <v>0</v>
          </cell>
          <cell r="U850">
            <v>0</v>
          </cell>
        </row>
        <row r="851">
          <cell r="C851" t="str">
            <v>Aluthgama</v>
          </cell>
          <cell r="D851">
            <v>3305.3875600000001</v>
          </cell>
          <cell r="E851">
            <v>2896.7918576014272</v>
          </cell>
          <cell r="F851">
            <v>-14.105110842754657</v>
          </cell>
          <cell r="G851">
            <v>459.31698999999998</v>
          </cell>
          <cell r="H851">
            <v>325.7313231683583</v>
          </cell>
          <cell r="I851">
            <v>-41.010998123320256</v>
          </cell>
          <cell r="J851">
            <v>4344.3158599999997</v>
          </cell>
          <cell r="K851">
            <v>3880.5998776603001</v>
          </cell>
          <cell r="L851">
            <v>-11.949595345018778</v>
          </cell>
          <cell r="M851">
            <v>1662.56396</v>
          </cell>
          <cell r="N851">
            <v>1399.6798585968584</v>
          </cell>
          <cell r="O851">
            <v>-18.781730678519288</v>
          </cell>
          <cell r="P851">
            <v>9771.5843699999987</v>
          </cell>
          <cell r="Q851">
            <v>8502.8029170269438</v>
          </cell>
          <cell r="R851">
            <v>-14.921920046298004</v>
          </cell>
          <cell r="S851">
            <v>0</v>
          </cell>
          <cell r="T851">
            <v>0</v>
          </cell>
          <cell r="U851">
            <v>0</v>
          </cell>
        </row>
        <row r="852">
          <cell r="C852" t="str">
            <v>Park Road</v>
          </cell>
          <cell r="D852">
            <v>2602.7312499999998</v>
          </cell>
          <cell r="E852">
            <v>2576.1948662711893</v>
          </cell>
          <cell r="F852">
            <v>-1.0300611990279889</v>
          </cell>
          <cell r="G852">
            <v>443.05570999999998</v>
          </cell>
          <cell r="H852">
            <v>288.13435025242831</v>
          </cell>
          <cell r="I852">
            <v>-53.767056795501269</v>
          </cell>
          <cell r="J852">
            <v>2853.3287399999999</v>
          </cell>
          <cell r="K852">
            <v>3453.2139274252927</v>
          </cell>
          <cell r="L852">
            <v>17.371793350566193</v>
          </cell>
          <cell r="M852">
            <v>1918.34115</v>
          </cell>
          <cell r="N852">
            <v>1252.9644213726269</v>
          </cell>
          <cell r="O852">
            <v>-53.104199710511367</v>
          </cell>
          <cell r="P852">
            <v>7817.4568500000005</v>
          </cell>
          <cell r="Q852">
            <v>7570.5075653215372</v>
          </cell>
          <cell r="R852">
            <v>-3.2619911220969078</v>
          </cell>
          <cell r="S852">
            <v>0</v>
          </cell>
          <cell r="T852">
            <v>0</v>
          </cell>
          <cell r="U852">
            <v>0</v>
          </cell>
        </row>
        <row r="853">
          <cell r="C853" t="str">
            <v>Kotahena</v>
          </cell>
          <cell r="D853">
            <v>3324.5014000000001</v>
          </cell>
          <cell r="E853">
            <v>2576.1948662711893</v>
          </cell>
          <cell r="F853">
            <v>-29.046969370446629</v>
          </cell>
          <cell r="G853">
            <v>431.01461</v>
          </cell>
          <cell r="H853">
            <v>288.13435025242831</v>
          </cell>
          <cell r="I853">
            <v>-49.588068768058157</v>
          </cell>
          <cell r="J853">
            <v>6460.2458999999999</v>
          </cell>
          <cell r="K853">
            <v>3453.2139274252927</v>
          </cell>
          <cell r="L853">
            <v>-87.079226360492029</v>
          </cell>
          <cell r="M853">
            <v>2347.33716</v>
          </cell>
          <cell r="N853">
            <v>1252.9644213726269</v>
          </cell>
          <cell r="O853">
            <v>-87.342682677971325</v>
          </cell>
          <cell r="P853">
            <v>12563.09907</v>
          </cell>
          <cell r="Q853">
            <v>7570.5075653215372</v>
          </cell>
          <cell r="R853">
            <v>-65.947909854131638</v>
          </cell>
          <cell r="S853">
            <v>0</v>
          </cell>
          <cell r="T853">
            <v>0</v>
          </cell>
          <cell r="U853">
            <v>0</v>
          </cell>
        </row>
        <row r="854">
          <cell r="C854" t="str">
            <v>Ambalangoda</v>
          </cell>
          <cell r="D854">
            <v>2040.04919</v>
          </cell>
          <cell r="E854">
            <v>1925.6553272836686</v>
          </cell>
          <cell r="F854">
            <v>-5.9405159945053843</v>
          </cell>
          <cell r="G854">
            <v>449.83573999999999</v>
          </cell>
          <cell r="H854">
            <v>218.20037981658845</v>
          </cell>
          <cell r="I854">
            <v>-106.15717551826265</v>
          </cell>
          <cell r="J854">
            <v>3230.6145099999999</v>
          </cell>
          <cell r="K854">
            <v>2585.8252372212773</v>
          </cell>
          <cell r="L854">
            <v>-24.935531740405313</v>
          </cell>
          <cell r="M854">
            <v>1317.0840499999999</v>
          </cell>
          <cell r="N854">
            <v>952.79630081221922</v>
          </cell>
          <cell r="O854">
            <v>-38.233539412069568</v>
          </cell>
          <cell r="P854">
            <v>7037.5834899999991</v>
          </cell>
          <cell r="Q854">
            <v>5682.477245133754</v>
          </cell>
          <cell r="R854">
            <v>-23.84710376142208</v>
          </cell>
          <cell r="S854">
            <v>32.370800000000003</v>
          </cell>
          <cell r="T854">
            <v>0</v>
          </cell>
          <cell r="U854">
            <v>0</v>
          </cell>
        </row>
        <row r="855">
          <cell r="C855" t="str">
            <v>Katugastota</v>
          </cell>
          <cell r="D855">
            <v>2366.1230999999998</v>
          </cell>
          <cell r="E855">
            <v>1925.6553272836686</v>
          </cell>
          <cell r="F855">
            <v>-22.873655865385604</v>
          </cell>
          <cell r="G855">
            <v>410.79597999999999</v>
          </cell>
          <cell r="H855">
            <v>218.20037981658845</v>
          </cell>
          <cell r="I855">
            <v>-88.265474306369498</v>
          </cell>
          <cell r="J855">
            <v>3135.8314599999999</v>
          </cell>
          <cell r="K855">
            <v>2585.8252372212773</v>
          </cell>
          <cell r="L855">
            <v>-21.270046206593531</v>
          </cell>
          <cell r="M855">
            <v>1503.3484800000001</v>
          </cell>
          <cell r="N855">
            <v>952.79630081221922</v>
          </cell>
          <cell r="O855">
            <v>-57.78277882884916</v>
          </cell>
          <cell r="P855">
            <v>7416.0990199999997</v>
          </cell>
          <cell r="Q855">
            <v>5682.477245133754</v>
          </cell>
          <cell r="R855">
            <v>-30.508204434093422</v>
          </cell>
          <cell r="S855">
            <v>21.9008</v>
          </cell>
          <cell r="T855">
            <v>0</v>
          </cell>
          <cell r="U855">
            <v>0</v>
          </cell>
        </row>
        <row r="856">
          <cell r="C856" t="str">
            <v>Beruwela</v>
          </cell>
          <cell r="D856">
            <v>1625.3308300000001</v>
          </cell>
          <cell r="E856">
            <v>1599.933349145902</v>
          </cell>
          <cell r="F856">
            <v>-1.5874086797213256</v>
          </cell>
          <cell r="G856">
            <v>330.17289</v>
          </cell>
          <cell r="H856">
            <v>176.73463312972808</v>
          </cell>
          <cell r="I856">
            <v>-86.818443082202236</v>
          </cell>
          <cell r="J856">
            <v>2659.2761599999999</v>
          </cell>
          <cell r="K856">
            <v>2154.4574311740453</v>
          </cell>
          <cell r="L856">
            <v>-23.431362417351632</v>
          </cell>
          <cell r="M856">
            <v>948.93781999999999</v>
          </cell>
          <cell r="N856">
            <v>807.35810366175428</v>
          </cell>
          <cell r="O856">
            <v>-17.536173315919431</v>
          </cell>
          <cell r="P856">
            <v>5563.7177000000001</v>
          </cell>
          <cell r="Q856">
            <v>4738.48351711143</v>
          </cell>
          <cell r="R856">
            <v>-17.41557567750349</v>
          </cell>
          <cell r="S856">
            <v>1.4677500000000001</v>
          </cell>
          <cell r="T856">
            <v>0</v>
          </cell>
          <cell r="U856">
            <v>0</v>
          </cell>
        </row>
        <row r="857">
          <cell r="C857" t="str">
            <v>Warakapola</v>
          </cell>
          <cell r="D857">
            <v>1642.1037699999999</v>
          </cell>
          <cell r="E857">
            <v>1599.933349145902</v>
          </cell>
          <cell r="F857">
            <v>-2.6357611007114747</v>
          </cell>
          <cell r="G857">
            <v>275.00684999999999</v>
          </cell>
          <cell r="H857">
            <v>176.73463312972808</v>
          </cell>
          <cell r="I857">
            <v>-55.604391244661933</v>
          </cell>
          <cell r="J857">
            <v>2251.66948</v>
          </cell>
          <cell r="K857">
            <v>2154.4574311740453</v>
          </cell>
          <cell r="L857">
            <v>-4.512135975366208</v>
          </cell>
          <cell r="M857">
            <v>629.51955999999996</v>
          </cell>
          <cell r="N857">
            <v>807.35810366175428</v>
          </cell>
          <cell r="O857">
            <v>22.027219749844793</v>
          </cell>
          <cell r="P857">
            <v>4798.2996599999997</v>
          </cell>
          <cell r="Q857">
            <v>4738.48351711143</v>
          </cell>
          <cell r="R857">
            <v>-1.2623478096433989</v>
          </cell>
          <cell r="S857">
            <v>0.30049999999999999</v>
          </cell>
          <cell r="T857">
            <v>0</v>
          </cell>
          <cell r="U857">
            <v>0</v>
          </cell>
        </row>
        <row r="858">
          <cell r="C858" t="str">
            <v>Karagampitiya</v>
          </cell>
          <cell r="D858">
            <v>1382.2981600000001</v>
          </cell>
          <cell r="E858">
            <v>0</v>
          </cell>
          <cell r="F858">
            <v>0</v>
          </cell>
          <cell r="G858">
            <v>196.2841</v>
          </cell>
          <cell r="H858">
            <v>0</v>
          </cell>
          <cell r="I858">
            <v>0</v>
          </cell>
          <cell r="J858">
            <v>2351.9948199999999</v>
          </cell>
          <cell r="K858">
            <v>0</v>
          </cell>
          <cell r="L858">
            <v>0</v>
          </cell>
          <cell r="M858">
            <v>696.58591000000001</v>
          </cell>
          <cell r="N858">
            <v>0</v>
          </cell>
          <cell r="O858">
            <v>0</v>
          </cell>
          <cell r="P858">
            <v>4627.1629899999998</v>
          </cell>
          <cell r="Q858">
            <v>0</v>
          </cell>
          <cell r="R858">
            <v>0</v>
          </cell>
          <cell r="S858">
            <v>0</v>
          </cell>
          <cell r="T858">
            <v>0</v>
          </cell>
          <cell r="U858">
            <v>0</v>
          </cell>
        </row>
        <row r="859">
          <cell r="C859" t="str">
            <v>Mathale</v>
          </cell>
          <cell r="D859">
            <v>1249.4606799999999</v>
          </cell>
          <cell r="E859">
            <v>0</v>
          </cell>
          <cell r="F859">
            <v>0</v>
          </cell>
          <cell r="G859">
            <v>235.22739999999999</v>
          </cell>
          <cell r="H859">
            <v>0</v>
          </cell>
          <cell r="I859">
            <v>0</v>
          </cell>
          <cell r="J859">
            <v>1528.8003699999999</v>
          </cell>
          <cell r="K859">
            <v>0</v>
          </cell>
          <cell r="L859">
            <v>0</v>
          </cell>
          <cell r="M859">
            <v>914.03585999999996</v>
          </cell>
          <cell r="N859">
            <v>0</v>
          </cell>
          <cell r="O859">
            <v>0</v>
          </cell>
          <cell r="P859">
            <v>3927.5243099999998</v>
          </cell>
          <cell r="Q859">
            <v>0</v>
          </cell>
          <cell r="R859">
            <v>0</v>
          </cell>
          <cell r="S859">
            <v>0.30049999999999999</v>
          </cell>
          <cell r="T859">
            <v>0</v>
          </cell>
          <cell r="U859">
            <v>0</v>
          </cell>
        </row>
        <row r="860">
          <cell r="C860" t="str">
            <v>Peliyagoda</v>
          </cell>
          <cell r="D860">
            <v>1105.9320299999999</v>
          </cell>
          <cell r="E860">
            <v>0</v>
          </cell>
          <cell r="F860">
            <v>0</v>
          </cell>
          <cell r="G860">
            <v>236.03433000000001</v>
          </cell>
          <cell r="H860">
            <v>0</v>
          </cell>
          <cell r="I860">
            <v>0</v>
          </cell>
          <cell r="J860">
            <v>1745.7283299999999</v>
          </cell>
          <cell r="K860">
            <v>0</v>
          </cell>
          <cell r="L860">
            <v>0</v>
          </cell>
          <cell r="M860">
            <v>445.36685</v>
          </cell>
          <cell r="N860">
            <v>0</v>
          </cell>
          <cell r="O860">
            <v>0</v>
          </cell>
          <cell r="P860">
            <v>3533.0615399999997</v>
          </cell>
          <cell r="Q860">
            <v>0</v>
          </cell>
          <cell r="R860">
            <v>0</v>
          </cell>
          <cell r="S860">
            <v>0</v>
          </cell>
          <cell r="T860">
            <v>0</v>
          </cell>
          <cell r="U860">
            <v>0</v>
          </cell>
        </row>
        <row r="861">
          <cell r="C861" t="str">
            <v>Kelaniya</v>
          </cell>
          <cell r="D861">
            <v>920.93295000000001</v>
          </cell>
          <cell r="E861">
            <v>0</v>
          </cell>
          <cell r="F861">
            <v>0</v>
          </cell>
          <cell r="G861">
            <v>181.52144000000001</v>
          </cell>
          <cell r="H861">
            <v>0</v>
          </cell>
          <cell r="I861">
            <v>0</v>
          </cell>
          <cell r="J861">
            <v>1241.7083700000001</v>
          </cell>
          <cell r="K861">
            <v>0</v>
          </cell>
          <cell r="L861">
            <v>0</v>
          </cell>
          <cell r="M861">
            <v>467.59472</v>
          </cell>
          <cell r="N861">
            <v>0</v>
          </cell>
          <cell r="O861">
            <v>0</v>
          </cell>
          <cell r="P861">
            <v>2811.7574800000002</v>
          </cell>
          <cell r="Q861">
            <v>0</v>
          </cell>
          <cell r="R861">
            <v>0</v>
          </cell>
          <cell r="S861">
            <v>0</v>
          </cell>
          <cell r="T861">
            <v>0</v>
          </cell>
          <cell r="U861">
            <v>0</v>
          </cell>
        </row>
        <row r="862">
          <cell r="C862" t="str">
            <v>Demategoda</v>
          </cell>
          <cell r="D862">
            <v>626.84518000000003</v>
          </cell>
          <cell r="E862">
            <v>0</v>
          </cell>
          <cell r="F862">
            <v>0</v>
          </cell>
          <cell r="G862">
            <v>99.292900000000003</v>
          </cell>
          <cell r="H862">
            <v>0</v>
          </cell>
          <cell r="I862">
            <v>0</v>
          </cell>
          <cell r="J862">
            <v>1153.19911</v>
          </cell>
          <cell r="K862">
            <v>0</v>
          </cell>
          <cell r="L862">
            <v>0</v>
          </cell>
          <cell r="M862">
            <v>354.15235000000001</v>
          </cell>
          <cell r="N862">
            <v>0</v>
          </cell>
          <cell r="O862">
            <v>0</v>
          </cell>
          <cell r="P862">
            <v>2233.48954</v>
          </cell>
          <cell r="Q862">
            <v>0</v>
          </cell>
          <cell r="R862">
            <v>0</v>
          </cell>
          <cell r="S862">
            <v>0</v>
          </cell>
          <cell r="T862">
            <v>0</v>
          </cell>
          <cell r="U862">
            <v>0</v>
          </cell>
        </row>
        <row r="863">
          <cell r="C863" t="str">
            <v>Kolannawa</v>
          </cell>
          <cell r="D863">
            <v>551.29534999999998</v>
          </cell>
          <cell r="E863">
            <v>0</v>
          </cell>
          <cell r="F863">
            <v>0</v>
          </cell>
          <cell r="G863">
            <v>133.60650999999999</v>
          </cell>
          <cell r="H863">
            <v>0</v>
          </cell>
          <cell r="I863">
            <v>0</v>
          </cell>
          <cell r="J863">
            <v>826.47019</v>
          </cell>
          <cell r="K863">
            <v>0</v>
          </cell>
          <cell r="L863">
            <v>0</v>
          </cell>
          <cell r="M863">
            <v>433.17989</v>
          </cell>
          <cell r="N863">
            <v>0</v>
          </cell>
          <cell r="O863">
            <v>0</v>
          </cell>
          <cell r="P863">
            <v>1944.5519399999998</v>
          </cell>
          <cell r="Q863">
            <v>0</v>
          </cell>
          <cell r="R863">
            <v>0</v>
          </cell>
          <cell r="S863">
            <v>0</v>
          </cell>
          <cell r="T863">
            <v>0</v>
          </cell>
          <cell r="U863">
            <v>0</v>
          </cell>
        </row>
        <row r="864">
          <cell r="C864" t="str">
            <v>Avissawella</v>
          </cell>
          <cell r="D864">
            <v>671.18736999999999</v>
          </cell>
          <cell r="E864">
            <v>0</v>
          </cell>
          <cell r="F864">
            <v>0</v>
          </cell>
          <cell r="G864">
            <v>101.31225999999999</v>
          </cell>
          <cell r="H864">
            <v>0</v>
          </cell>
          <cell r="I864">
            <v>0</v>
          </cell>
          <cell r="J864">
            <v>741.08588999999995</v>
          </cell>
          <cell r="K864">
            <v>0</v>
          </cell>
          <cell r="L864">
            <v>0</v>
          </cell>
          <cell r="M864">
            <v>289.83587999999997</v>
          </cell>
          <cell r="N864">
            <v>0</v>
          </cell>
          <cell r="O864">
            <v>0</v>
          </cell>
          <cell r="P864">
            <v>1803.4214000000002</v>
          </cell>
          <cell r="Q864">
            <v>0</v>
          </cell>
          <cell r="R864">
            <v>0</v>
          </cell>
          <cell r="S864">
            <v>0</v>
          </cell>
          <cell r="T864">
            <v>0</v>
          </cell>
          <cell r="U864">
            <v>0</v>
          </cell>
        </row>
        <row r="865">
          <cell r="C865" t="str">
            <v>Homagama</v>
          </cell>
          <cell r="D865">
            <v>605.24395000000004</v>
          </cell>
          <cell r="E865">
            <v>0</v>
          </cell>
          <cell r="F865">
            <v>0</v>
          </cell>
          <cell r="G865">
            <v>125.80401000000001</v>
          </cell>
          <cell r="H865">
            <v>0</v>
          </cell>
          <cell r="I865">
            <v>0</v>
          </cell>
          <cell r="J865">
            <v>1015.5778299999999</v>
          </cell>
          <cell r="K865">
            <v>0</v>
          </cell>
          <cell r="L865">
            <v>0</v>
          </cell>
          <cell r="M865">
            <v>413.56558000000001</v>
          </cell>
          <cell r="N865">
            <v>0</v>
          </cell>
          <cell r="O865">
            <v>0</v>
          </cell>
          <cell r="P865">
            <v>2160.19137</v>
          </cell>
          <cell r="Q865">
            <v>0</v>
          </cell>
          <cell r="R865">
            <v>0</v>
          </cell>
          <cell r="S865">
            <v>0</v>
          </cell>
          <cell r="T865">
            <v>0</v>
          </cell>
          <cell r="U865">
            <v>0</v>
          </cell>
        </row>
        <row r="866">
          <cell r="C866" t="str">
            <v>Galle</v>
          </cell>
          <cell r="D866">
            <v>625.80660999999998</v>
          </cell>
          <cell r="E866">
            <v>0</v>
          </cell>
          <cell r="F866">
            <v>0</v>
          </cell>
          <cell r="G866">
            <v>128.95715000000001</v>
          </cell>
          <cell r="H866">
            <v>0</v>
          </cell>
          <cell r="I866">
            <v>0</v>
          </cell>
          <cell r="J866">
            <v>697.15827000000002</v>
          </cell>
          <cell r="K866">
            <v>0</v>
          </cell>
          <cell r="L866">
            <v>0</v>
          </cell>
          <cell r="M866">
            <v>530.17016999999998</v>
          </cell>
          <cell r="N866">
            <v>0</v>
          </cell>
          <cell r="O866">
            <v>0</v>
          </cell>
          <cell r="P866">
            <v>1982.0922</v>
          </cell>
          <cell r="Q866">
            <v>0</v>
          </cell>
          <cell r="R866">
            <v>0</v>
          </cell>
          <cell r="S866">
            <v>0</v>
          </cell>
          <cell r="T866">
            <v>0</v>
          </cell>
          <cell r="U866">
            <v>0</v>
          </cell>
        </row>
        <row r="867">
          <cell r="C867" t="str">
            <v>Kohuwela</v>
          </cell>
          <cell r="D867">
            <v>663.36956999999995</v>
          </cell>
          <cell r="E867">
            <v>0</v>
          </cell>
          <cell r="F867">
            <v>0</v>
          </cell>
          <cell r="G867">
            <v>93.200659999999999</v>
          </cell>
          <cell r="H867">
            <v>0</v>
          </cell>
          <cell r="I867">
            <v>0</v>
          </cell>
          <cell r="J867">
            <v>853.62531999999999</v>
          </cell>
          <cell r="K867">
            <v>0</v>
          </cell>
          <cell r="L867">
            <v>0</v>
          </cell>
          <cell r="M867">
            <v>414.10876000000002</v>
          </cell>
          <cell r="N867">
            <v>0</v>
          </cell>
          <cell r="O867">
            <v>0</v>
          </cell>
          <cell r="P867">
            <v>2024.30431</v>
          </cell>
          <cell r="Q867">
            <v>0</v>
          </cell>
          <cell r="R867">
            <v>0</v>
          </cell>
          <cell r="S867">
            <v>0</v>
          </cell>
          <cell r="T867">
            <v>0</v>
          </cell>
          <cell r="U867">
            <v>0</v>
          </cell>
        </row>
        <row r="868">
          <cell r="C868" t="str">
            <v>Mt lavinia-STC</v>
          </cell>
          <cell r="D868">
            <v>257.03228999999999</v>
          </cell>
          <cell r="E868">
            <v>0</v>
          </cell>
          <cell r="F868">
            <v>0</v>
          </cell>
          <cell r="G868">
            <v>102.56440000000001</v>
          </cell>
          <cell r="H868">
            <v>0</v>
          </cell>
          <cell r="I868">
            <v>0</v>
          </cell>
          <cell r="J868">
            <v>603.42277000000001</v>
          </cell>
          <cell r="K868">
            <v>0</v>
          </cell>
          <cell r="L868">
            <v>0</v>
          </cell>
          <cell r="M868">
            <v>309.77672999999999</v>
          </cell>
          <cell r="N868">
            <v>0</v>
          </cell>
          <cell r="O868">
            <v>0</v>
          </cell>
          <cell r="P868">
            <v>1272.79619</v>
          </cell>
          <cell r="Q868">
            <v>0</v>
          </cell>
          <cell r="R868">
            <v>0</v>
          </cell>
          <cell r="S868">
            <v>0</v>
          </cell>
          <cell r="T868">
            <v>0</v>
          </cell>
          <cell r="U868">
            <v>0</v>
          </cell>
        </row>
        <row r="869">
          <cell r="C869" t="str">
            <v>Express Matara</v>
          </cell>
          <cell r="D869">
            <v>39.242640000000002</v>
          </cell>
          <cell r="E869">
            <v>745.90000000000009</v>
          </cell>
          <cell r="F869">
            <v>94.738887250301644</v>
          </cell>
          <cell r="G869">
            <v>157.41933</v>
          </cell>
          <cell r="H869">
            <v>217.73312000000007</v>
          </cell>
          <cell r="I869">
            <v>27.700788010570026</v>
          </cell>
          <cell r="J869">
            <v>1836.76521</v>
          </cell>
          <cell r="K869">
            <v>1062.7520733333338</v>
          </cell>
          <cell r="L869">
            <v>-72.831016385502352</v>
          </cell>
          <cell r="M869">
            <v>319.41543999999999</v>
          </cell>
          <cell r="N869">
            <v>318.80253497451429</v>
          </cell>
          <cell r="O869">
            <v>-0.19225224339408056</v>
          </cell>
          <cell r="P869">
            <v>2352.8426200000004</v>
          </cell>
          <cell r="Q869">
            <v>2345.1877283078484</v>
          </cell>
          <cell r="R869">
            <v>-0.32640848319956478</v>
          </cell>
          <cell r="S869">
            <v>-1.5E-3</v>
          </cell>
          <cell r="T869">
            <v>0</v>
          </cell>
          <cell r="U869">
            <v>0</v>
          </cell>
        </row>
        <row r="870">
          <cell r="C870" t="str">
            <v>Express Maligawatte</v>
          </cell>
          <cell r="D870">
            <v>601.42493999999999</v>
          </cell>
          <cell r="E870">
            <v>892.97000000000014</v>
          </cell>
          <cell r="F870">
            <v>32.648919896525094</v>
          </cell>
          <cell r="G870">
            <v>237.46870999999999</v>
          </cell>
          <cell r="H870">
            <v>181.63944000000004</v>
          </cell>
          <cell r="I870">
            <v>-30.736314756310602</v>
          </cell>
          <cell r="J870">
            <v>861.39739999999995</v>
          </cell>
          <cell r="K870">
            <v>1089.7520733333338</v>
          </cell>
          <cell r="L870">
            <v>20.95473630390466</v>
          </cell>
          <cell r="M870">
            <v>194.36474999999999</v>
          </cell>
          <cell r="N870">
            <v>227.78816784470564</v>
          </cell>
          <cell r="O870">
            <v>14.67302633009983</v>
          </cell>
          <cell r="P870">
            <v>1894.6557999999998</v>
          </cell>
          <cell r="Q870">
            <v>2392.1496811780398</v>
          </cell>
          <cell r="R870">
            <v>20.796937795842435</v>
          </cell>
          <cell r="S870">
            <v>0</v>
          </cell>
          <cell r="T870">
            <v>0</v>
          </cell>
          <cell r="U870">
            <v>0</v>
          </cell>
        </row>
        <row r="871">
          <cell r="C871" t="str">
            <v>Express Peradeniya</v>
          </cell>
          <cell r="D871">
            <v>352.68301000000002</v>
          </cell>
          <cell r="E871">
            <v>892.97000000000014</v>
          </cell>
          <cell r="F871">
            <v>60.504495111817867</v>
          </cell>
          <cell r="G871">
            <v>114.92903</v>
          </cell>
          <cell r="H871">
            <v>179.83944000000008</v>
          </cell>
          <cell r="I871">
            <v>36.093534321503704</v>
          </cell>
          <cell r="J871">
            <v>517.55345999999997</v>
          </cell>
          <cell r="K871">
            <v>878.41923999999995</v>
          </cell>
          <cell r="L871">
            <v>41.081270032291187</v>
          </cell>
          <cell r="M871">
            <v>97.269930000000002</v>
          </cell>
          <cell r="N871">
            <v>220.31084168984492</v>
          </cell>
          <cell r="O871">
            <v>55.848777457381217</v>
          </cell>
          <cell r="P871">
            <v>1082.43543</v>
          </cell>
          <cell r="Q871">
            <v>2171.5395216898451</v>
          </cell>
          <cell r="R871">
            <v>50.153546864407417</v>
          </cell>
          <cell r="S871">
            <v>0</v>
          </cell>
          <cell r="T871">
            <v>0</v>
          </cell>
          <cell r="U871">
            <v>0</v>
          </cell>
        </row>
        <row r="872">
          <cell r="C872" t="str">
            <v>Express Alexandra Place</v>
          </cell>
          <cell r="D872">
            <v>628.58123000000001</v>
          </cell>
          <cell r="E872">
            <v>0</v>
          </cell>
          <cell r="F872">
            <v>0</v>
          </cell>
          <cell r="G872">
            <v>157.268</v>
          </cell>
          <cell r="H872">
            <v>0</v>
          </cell>
          <cell r="I872">
            <v>0</v>
          </cell>
          <cell r="J872">
            <v>611.48548000000005</v>
          </cell>
          <cell r="K872">
            <v>0</v>
          </cell>
          <cell r="L872">
            <v>0</v>
          </cell>
          <cell r="M872">
            <v>134.18436</v>
          </cell>
          <cell r="N872">
            <v>0</v>
          </cell>
          <cell r="O872">
            <v>0</v>
          </cell>
          <cell r="P872">
            <v>1531.5190700000001</v>
          </cell>
          <cell r="Q872">
            <v>0</v>
          </cell>
          <cell r="R872">
            <v>0</v>
          </cell>
          <cell r="S872">
            <v>0</v>
          </cell>
          <cell r="T872">
            <v>0</v>
          </cell>
          <cell r="U872">
            <v>0</v>
          </cell>
        </row>
        <row r="873">
          <cell r="C873" t="str">
            <v>Express Boralla</v>
          </cell>
          <cell r="D873">
            <v>185.73527999999999</v>
          </cell>
          <cell r="E873">
            <v>0</v>
          </cell>
          <cell r="F873">
            <v>0</v>
          </cell>
          <cell r="G873">
            <v>73.65446</v>
          </cell>
          <cell r="H873">
            <v>0</v>
          </cell>
          <cell r="I873">
            <v>0</v>
          </cell>
          <cell r="J873">
            <v>215.06681</v>
          </cell>
          <cell r="K873">
            <v>0</v>
          </cell>
          <cell r="L873">
            <v>0</v>
          </cell>
          <cell r="M873">
            <v>34.799939999999999</v>
          </cell>
          <cell r="N873">
            <v>0</v>
          </cell>
          <cell r="O873">
            <v>0</v>
          </cell>
          <cell r="P873">
            <v>509.25648999999999</v>
          </cell>
          <cell r="Q873">
            <v>0</v>
          </cell>
          <cell r="R873">
            <v>0</v>
          </cell>
          <cell r="S873">
            <v>0</v>
          </cell>
          <cell r="T873">
            <v>0</v>
          </cell>
          <cell r="U873">
            <v>0</v>
          </cell>
        </row>
        <row r="874">
          <cell r="C874" t="str">
            <v>Express Havelock Road</v>
          </cell>
          <cell r="D874">
            <v>240.10856000000001</v>
          </cell>
          <cell r="E874">
            <v>0</v>
          </cell>
          <cell r="F874">
            <v>0</v>
          </cell>
          <cell r="G874">
            <v>74.389960000000002</v>
          </cell>
          <cell r="H874">
            <v>0</v>
          </cell>
          <cell r="I874">
            <v>0</v>
          </cell>
          <cell r="J874">
            <v>247.06306000000001</v>
          </cell>
          <cell r="K874">
            <v>0</v>
          </cell>
          <cell r="L874">
            <v>0</v>
          </cell>
          <cell r="M874">
            <v>37.412019999999998</v>
          </cell>
          <cell r="N874">
            <v>0</v>
          </cell>
          <cell r="O874">
            <v>0</v>
          </cell>
          <cell r="P874">
            <v>598.97360000000003</v>
          </cell>
          <cell r="Q874">
            <v>0</v>
          </cell>
          <cell r="R874">
            <v>0</v>
          </cell>
          <cell r="S874">
            <v>0</v>
          </cell>
          <cell r="T874">
            <v>0</v>
          </cell>
          <cell r="U874">
            <v>0</v>
          </cell>
        </row>
        <row r="875">
          <cell r="C875" t="str">
            <v>Express Maradana</v>
          </cell>
          <cell r="D875">
            <v>14.133699999999999</v>
          </cell>
          <cell r="E875">
            <v>0</v>
          </cell>
          <cell r="F875">
            <v>0</v>
          </cell>
          <cell r="G875">
            <v>24.403300000000002</v>
          </cell>
          <cell r="H875">
            <v>0</v>
          </cell>
          <cell r="I875">
            <v>0</v>
          </cell>
          <cell r="J875">
            <v>16.640059999999998</v>
          </cell>
          <cell r="K875">
            <v>0</v>
          </cell>
          <cell r="L875">
            <v>0</v>
          </cell>
          <cell r="M875">
            <v>15.03125</v>
          </cell>
          <cell r="N875">
            <v>0</v>
          </cell>
          <cell r="O875">
            <v>0</v>
          </cell>
          <cell r="P875">
            <v>70.208309999999997</v>
          </cell>
          <cell r="Q875">
            <v>0</v>
          </cell>
          <cell r="R875">
            <v>0</v>
          </cell>
          <cell r="S875">
            <v>0</v>
          </cell>
          <cell r="T875">
            <v>0</v>
          </cell>
          <cell r="U875">
            <v>0</v>
          </cell>
        </row>
        <row r="876">
          <cell r="C876" t="str">
            <v>Food City</v>
          </cell>
          <cell r="D876">
            <v>202037.11056999999</v>
          </cell>
          <cell r="E876">
            <v>202754.41784095802</v>
          </cell>
          <cell r="F876">
            <v>0.35378132747799901</v>
          </cell>
          <cell r="G876">
            <v>27978.171610000005</v>
          </cell>
          <cell r="H876">
            <v>27241.710319082478</v>
          </cell>
          <cell r="I876">
            <v>-2.7034326490200016</v>
          </cell>
          <cell r="J876">
            <v>268063.27510000003</v>
          </cell>
          <cell r="K876">
            <v>248818.84233282111</v>
          </cell>
          <cell r="L876">
            <v>-7.7343148881938326</v>
          </cell>
          <cell r="M876">
            <v>144549.21292999995</v>
          </cell>
          <cell r="N876">
            <v>119205.00742342797</v>
          </cell>
          <cell r="O876">
            <v>-21.261024225724722</v>
          </cell>
          <cell r="P876">
            <v>642627.7702100001</v>
          </cell>
          <cell r="Q876">
            <v>598019.97791628935</v>
          </cell>
          <cell r="R876">
            <v>-7.45924784137478</v>
          </cell>
          <cell r="S876">
            <v>90008.80863</v>
          </cell>
          <cell r="T876">
            <v>95996.084099999993</v>
          </cell>
          <cell r="U876">
            <v>6.2369996923655702</v>
          </cell>
        </row>
        <row r="877">
          <cell r="B877">
            <v>30</v>
          </cell>
          <cell r="P877">
            <v>0</v>
          </cell>
          <cell r="T877" t="str">
            <v>Schedule 3</v>
          </cell>
        </row>
        <row r="878">
          <cell r="B878" t="str">
            <v>CARGILLS ( CEYLON ) LTD</v>
          </cell>
        </row>
        <row r="880">
          <cell r="B880" t="str">
            <v xml:space="preserve"> Direct Expenses by Profit Centres/Divisions  -Twelve  months ended 31st March 2004 </v>
          </cell>
        </row>
        <row r="881">
          <cell r="C881" t="str">
            <v>YTD V BUD</v>
          </cell>
          <cell r="U881">
            <v>38154.357810300928</v>
          </cell>
        </row>
        <row r="882">
          <cell r="B882" t="str">
            <v>Profit Centre</v>
          </cell>
          <cell r="D882" t="str">
            <v>Staff Related</v>
          </cell>
          <cell r="G882" t="str">
            <v xml:space="preserve">Administration </v>
          </cell>
          <cell r="J882" t="str">
            <v xml:space="preserve">Establishment </v>
          </cell>
          <cell r="M882" t="str">
            <v>Selling &amp; Distribution</v>
          </cell>
          <cell r="P882" t="str">
            <v>Direct Expenses</v>
          </cell>
          <cell r="S882" t="str">
            <v>D&amp;A and Finance</v>
          </cell>
        </row>
        <row r="883">
          <cell r="D883">
            <v>38047</v>
          </cell>
          <cell r="E883" t="str">
            <v>Budget</v>
          </cell>
          <cell r="F883" t="str">
            <v>Var %</v>
          </cell>
          <cell r="G883">
            <v>38047</v>
          </cell>
          <cell r="H883" t="str">
            <v>Budget</v>
          </cell>
          <cell r="I883" t="str">
            <v>Var %</v>
          </cell>
          <cell r="J883">
            <v>38047</v>
          </cell>
          <cell r="K883" t="str">
            <v>Budget</v>
          </cell>
          <cell r="L883" t="str">
            <v>Var %</v>
          </cell>
          <cell r="M883">
            <v>38047</v>
          </cell>
          <cell r="N883" t="str">
            <v>Budget</v>
          </cell>
          <cell r="O883" t="str">
            <v>Var %</v>
          </cell>
          <cell r="P883">
            <v>38047</v>
          </cell>
          <cell r="Q883" t="str">
            <v>Budget</v>
          </cell>
          <cell r="R883" t="str">
            <v>Var %</v>
          </cell>
          <cell r="S883">
            <v>38047</v>
          </cell>
          <cell r="T883" t="str">
            <v>Budget</v>
          </cell>
          <cell r="U883" t="str">
            <v>Var %</v>
          </cell>
        </row>
        <row r="884">
          <cell r="C884" t="str">
            <v>Department Store</v>
          </cell>
          <cell r="D884">
            <v>565.24842000000001</v>
          </cell>
          <cell r="E884">
            <v>466.91049872727268</v>
          </cell>
          <cell r="F884">
            <v>-21.061407173490768</v>
          </cell>
          <cell r="G884">
            <v>5.4908900000000003</v>
          </cell>
          <cell r="H884">
            <v>4.5676782545454548</v>
          </cell>
          <cell r="I884">
            <v>-20.211838356517898</v>
          </cell>
          <cell r="J884">
            <v>1.3688100000000001</v>
          </cell>
          <cell r="K884">
            <v>7.7812920000000005</v>
          </cell>
          <cell r="L884">
            <v>82.408962419094408</v>
          </cell>
          <cell r="M884">
            <v>19.120640000000002</v>
          </cell>
          <cell r="N884">
            <v>33.38014107763636</v>
          </cell>
          <cell r="O884">
            <v>42.718516510973565</v>
          </cell>
          <cell r="P884">
            <v>591.22876000000008</v>
          </cell>
          <cell r="Q884">
            <v>512.63961005945453</v>
          </cell>
          <cell r="R884">
            <v>-15.330292158155903</v>
          </cell>
          <cell r="S884">
            <v>6.0999999999999999E-2</v>
          </cell>
          <cell r="T884">
            <v>0.1069090909090909</v>
          </cell>
          <cell r="U884">
            <v>42.942176870748291</v>
          </cell>
        </row>
        <row r="885">
          <cell r="C885" t="str">
            <v>Books &amp; Stationery</v>
          </cell>
          <cell r="D885">
            <v>2785.0916999999999</v>
          </cell>
          <cell r="E885">
            <v>2694.2912928085816</v>
          </cell>
          <cell r="F885">
            <v>-3.3701035754291522</v>
          </cell>
          <cell r="G885">
            <v>299.24065999999999</v>
          </cell>
          <cell r="H885">
            <v>353.95104687272726</v>
          </cell>
          <cell r="I885">
            <v>15.457049034354142</v>
          </cell>
          <cell r="J885">
            <v>1738.7114199999999</v>
          </cell>
          <cell r="K885">
            <v>1916.17272</v>
          </cell>
          <cell r="L885">
            <v>9.2612371602910706</v>
          </cell>
          <cell r="M885">
            <v>141.53237000000001</v>
          </cell>
          <cell r="N885">
            <v>170.92462830742664</v>
          </cell>
          <cell r="O885">
            <v>17.196034649004144</v>
          </cell>
          <cell r="P885">
            <v>4964.5761499999999</v>
          </cell>
          <cell r="Q885">
            <v>5135.339687988735</v>
          </cell>
          <cell r="R885">
            <v>3.3252627550255589</v>
          </cell>
          <cell r="S885">
            <v>-7.3631699999999984</v>
          </cell>
          <cell r="T885">
            <v>174.82909090909095</v>
          </cell>
          <cell r="U885">
            <v>104.21163889928866</v>
          </cell>
        </row>
        <row r="886">
          <cell r="C886" t="str">
            <v>Hatton Liquor</v>
          </cell>
          <cell r="D886">
            <v>247.61833999999999</v>
          </cell>
          <cell r="E886">
            <v>244.6108581818182</v>
          </cell>
          <cell r="F886">
            <v>-1.2294964502133177</v>
          </cell>
          <cell r="G886">
            <v>63.831150000000001</v>
          </cell>
          <cell r="H886">
            <v>65.180637490909092</v>
          </cell>
          <cell r="I886">
            <v>2.0703809334440884</v>
          </cell>
          <cell r="J886">
            <v>61.77778</v>
          </cell>
          <cell r="K886">
            <v>65.065235999999999</v>
          </cell>
          <cell r="L886">
            <v>5.0525537170110306</v>
          </cell>
          <cell r="M886">
            <v>1091.5509099999999</v>
          </cell>
          <cell r="N886">
            <v>1096.8612793272721</v>
          </cell>
          <cell r="O886">
            <v>0.4841422910405877</v>
          </cell>
          <cell r="P886">
            <v>1464.7781799999998</v>
          </cell>
          <cell r="Q886">
            <v>1471.7180109999995</v>
          </cell>
          <cell r="R886">
            <v>0.47154624378648635</v>
          </cell>
          <cell r="S886">
            <v>0</v>
          </cell>
          <cell r="T886">
            <v>0</v>
          </cell>
          <cell r="U886">
            <v>0</v>
          </cell>
        </row>
        <row r="887">
          <cell r="C887" t="str">
            <v>Retail Division</v>
          </cell>
          <cell r="D887">
            <v>205635.06902999998</v>
          </cell>
          <cell r="E887">
            <v>206160.23049067569</v>
          </cell>
          <cell r="F887">
            <v>0.25473461075678167</v>
          </cell>
          <cell r="G887">
            <v>28346.734310000003</v>
          </cell>
          <cell r="H887">
            <v>27665.409681700661</v>
          </cell>
          <cell r="I887">
            <v>-2.4627310281618775</v>
          </cell>
          <cell r="J887">
            <v>269865.13311000005</v>
          </cell>
          <cell r="K887">
            <v>250807.8615808211</v>
          </cell>
          <cell r="L887">
            <v>-7.5983549355520807</v>
          </cell>
          <cell r="M887">
            <v>145801.41684999995</v>
          </cell>
          <cell r="N887">
            <v>120506.1734721403</v>
          </cell>
          <cell r="O887">
            <v>-20.990827813238653</v>
          </cell>
          <cell r="P887">
            <v>649648.35330000008</v>
          </cell>
          <cell r="Q887">
            <v>605139.6752253375</v>
          </cell>
          <cell r="R887">
            <v>-7.3551082331676163</v>
          </cell>
          <cell r="S887">
            <v>90001.506460000004</v>
          </cell>
          <cell r="T887">
            <v>96171.020099999994</v>
          </cell>
          <cell r="U887">
            <v>6.4151483821060049</v>
          </cell>
        </row>
        <row r="888">
          <cell r="C888" t="str">
            <v>Commercial Division</v>
          </cell>
          <cell r="D888">
            <v>12981.192849999999</v>
          </cell>
          <cell r="E888">
            <v>12980.436981937037</v>
          </cell>
          <cell r="F888">
            <v>-5.8231326419481942E-3</v>
          </cell>
          <cell r="G888">
            <v>5130.3340100000005</v>
          </cell>
          <cell r="H888">
            <v>3974.3473581818184</v>
          </cell>
          <cell r="I888">
            <v>-29.086200767992811</v>
          </cell>
          <cell r="J888">
            <v>2274.2089900000001</v>
          </cell>
          <cell r="K888">
            <v>2170.7648690909095</v>
          </cell>
          <cell r="L888">
            <v>-4.7653305239093768</v>
          </cell>
          <cell r="M888">
            <v>7587.8666800000001</v>
          </cell>
          <cell r="N888">
            <v>3299.2607232727273</v>
          </cell>
          <cell r="O888">
            <v>-129.98687634704896</v>
          </cell>
          <cell r="P888">
            <v>27973.602529999996</v>
          </cell>
          <cell r="Q888">
            <v>22424.809932482491</v>
          </cell>
          <cell r="R888">
            <v>-24.743989421645182</v>
          </cell>
          <cell r="S888">
            <v>1008.1410100000001</v>
          </cell>
          <cell r="T888">
            <v>1001.0395199999997</v>
          </cell>
          <cell r="U888">
            <v>-0.7094115525029776</v>
          </cell>
        </row>
        <row r="889">
          <cell r="C889" t="str">
            <v>Hampers</v>
          </cell>
          <cell r="D889">
            <v>313.72415000000001</v>
          </cell>
          <cell r="E889">
            <v>16.527753000000001</v>
          </cell>
          <cell r="F889">
            <v>-1798.1657700233054</v>
          </cell>
          <cell r="G889">
            <v>112.55311</v>
          </cell>
          <cell r="H889">
            <v>69.92353700000001</v>
          </cell>
          <cell r="I889">
            <v>-60.965984887177527</v>
          </cell>
          <cell r="J889">
            <v>6.3937299999999997</v>
          </cell>
          <cell r="K889">
            <v>5.1930120000000004</v>
          </cell>
          <cell r="L889">
            <v>-23.121802915148265</v>
          </cell>
          <cell r="M889">
            <v>1407.94884</v>
          </cell>
          <cell r="N889">
            <v>1696.9327540000002</v>
          </cell>
          <cell r="O889">
            <v>17.029779955558574</v>
          </cell>
          <cell r="P889">
            <v>1840.6198300000001</v>
          </cell>
          <cell r="Q889">
            <v>1788.5770560000001</v>
          </cell>
          <cell r="R889">
            <v>-2.9097306054226832</v>
          </cell>
          <cell r="S889">
            <v>0</v>
          </cell>
          <cell r="T889">
            <v>0</v>
          </cell>
          <cell r="U889">
            <v>0</v>
          </cell>
        </row>
        <row r="890">
          <cell r="C890" t="str">
            <v xml:space="preserve">Wines &amp; Spirits </v>
          </cell>
          <cell r="D890">
            <v>3360.9110900000001</v>
          </cell>
          <cell r="E890">
            <v>2172.0611102454282</v>
          </cell>
          <cell r="F890">
            <v>-54.733726143655318</v>
          </cell>
          <cell r="G890">
            <v>1212.35077</v>
          </cell>
          <cell r="H890">
            <v>1448.2534588363642</v>
          </cell>
          <cell r="I890">
            <v>16.288770960430238</v>
          </cell>
          <cell r="J890">
            <v>80.552279999999996</v>
          </cell>
          <cell r="K890">
            <v>44.244970000000002</v>
          </cell>
          <cell r="L890">
            <v>-82.059746000505811</v>
          </cell>
          <cell r="M890">
            <v>3644.1385300000002</v>
          </cell>
          <cell r="N890">
            <v>2477.2664546261099</v>
          </cell>
          <cell r="O890">
            <v>-47.103212219858058</v>
          </cell>
          <cell r="P890">
            <v>8297.9526700000006</v>
          </cell>
          <cell r="Q890">
            <v>6141.8259937079019</v>
          </cell>
          <cell r="R890">
            <v>-35.105629474051838</v>
          </cell>
          <cell r="S890">
            <v>-1764.7998</v>
          </cell>
          <cell r="T890">
            <v>50.628000000000007</v>
          </cell>
          <cell r="U890">
            <v>3585.8177293197436</v>
          </cell>
        </row>
        <row r="891">
          <cell r="C891" t="str">
            <v>Total</v>
          </cell>
          <cell r="D891">
            <v>222290.89711999998</v>
          </cell>
          <cell r="E891">
            <v>221329.25633585817</v>
          </cell>
          <cell r="F891">
            <v>-0.43448426116905237</v>
          </cell>
          <cell r="G891">
            <v>34801.972200000004</v>
          </cell>
          <cell r="H891">
            <v>33157.934035718841</v>
          </cell>
          <cell r="I891">
            <v>-4.9582044602361215</v>
          </cell>
          <cell r="J891">
            <v>272226.28811000008</v>
          </cell>
          <cell r="K891">
            <v>253028.064431912</v>
          </cell>
          <cell r="L891">
            <v>-7.5873890594670295</v>
          </cell>
          <cell r="M891">
            <v>158441.37089999995</v>
          </cell>
          <cell r="N891">
            <v>127979.63340403914</v>
          </cell>
          <cell r="O891">
            <v>-23.802019654011151</v>
          </cell>
          <cell r="P891">
            <v>687760.52833000012</v>
          </cell>
          <cell r="Q891">
            <v>635494.88820752793</v>
          </cell>
          <cell r="R891">
            <v>-8.224399769743588</v>
          </cell>
          <cell r="S891">
            <v>89244.847670000017</v>
          </cell>
          <cell r="T891">
            <v>97222.687619999997</v>
          </cell>
          <cell r="U891">
            <v>8.2057389538353309</v>
          </cell>
        </row>
        <row r="892">
          <cell r="E892">
            <v>0</v>
          </cell>
          <cell r="H892">
            <v>0</v>
          </cell>
          <cell r="K892">
            <v>0</v>
          </cell>
          <cell r="N892">
            <v>0</v>
          </cell>
          <cell r="T892">
            <v>0</v>
          </cell>
        </row>
        <row r="904">
          <cell r="B904">
            <v>29</v>
          </cell>
          <cell r="T904" t="str">
            <v>Schedule 2</v>
          </cell>
        </row>
        <row r="905">
          <cell r="B905" t="str">
            <v>CARGILLS ( CEYLON ) LTD</v>
          </cell>
        </row>
        <row r="907">
          <cell r="B907" t="str">
            <v xml:space="preserve"> Contribution by Profit Centres/Divisions  -Twelve  months ended 31st March 2004 </v>
          </cell>
        </row>
        <row r="908">
          <cell r="C908" t="str">
            <v>YTD V BUD</v>
          </cell>
          <cell r="U908">
            <v>38154.357810300928</v>
          </cell>
        </row>
        <row r="909">
          <cell r="B909" t="str">
            <v>Profit Centre</v>
          </cell>
          <cell r="D909" t="str">
            <v>Gross Turnover</v>
          </cell>
          <cell r="G909" t="str">
            <v>Achieved Gross Profit</v>
          </cell>
          <cell r="J909" t="str">
            <v>Other Income</v>
          </cell>
          <cell r="M909" t="str">
            <v>Direct Expenses</v>
          </cell>
          <cell r="P909" t="str">
            <v>D&amp;A and Finance</v>
          </cell>
          <cell r="S909" t="str">
            <v>Contribution</v>
          </cell>
        </row>
        <row r="910">
          <cell r="D910">
            <v>38047</v>
          </cell>
          <cell r="E910" t="str">
            <v>Budget</v>
          </cell>
          <cell r="F910" t="str">
            <v>Var %</v>
          </cell>
          <cell r="G910">
            <v>38047</v>
          </cell>
          <cell r="H910" t="str">
            <v>Budget</v>
          </cell>
          <cell r="I910" t="str">
            <v>Var %</v>
          </cell>
          <cell r="J910">
            <v>38047</v>
          </cell>
          <cell r="K910" t="str">
            <v>Budget</v>
          </cell>
          <cell r="L910" t="str">
            <v>Var %</v>
          </cell>
          <cell r="M910">
            <v>38047</v>
          </cell>
          <cell r="N910" t="str">
            <v>Budget</v>
          </cell>
          <cell r="O910" t="str">
            <v>Var %</v>
          </cell>
          <cell r="P910">
            <v>38047</v>
          </cell>
          <cell r="Q910" t="str">
            <v>Budget</v>
          </cell>
          <cell r="R910" t="str">
            <v>Var %</v>
          </cell>
          <cell r="S910">
            <v>38047</v>
          </cell>
          <cell r="T910" t="str">
            <v>Budget</v>
          </cell>
          <cell r="U910" t="str">
            <v>Var %</v>
          </cell>
        </row>
        <row r="911">
          <cell r="C911" t="str">
            <v>Staples Street</v>
          </cell>
          <cell r="D911">
            <v>629990.96895000001</v>
          </cell>
          <cell r="E911">
            <v>672101.30687000009</v>
          </cell>
          <cell r="F911">
            <v>-6.2654747862505191</v>
          </cell>
          <cell r="G911">
            <v>94470.605429999996</v>
          </cell>
          <cell r="H911">
            <v>106687.64946407225</v>
          </cell>
          <cell r="I911">
            <v>-11.451226168579545</v>
          </cell>
          <cell r="J911">
            <v>8363.9793499999996</v>
          </cell>
          <cell r="K911">
            <v>8095.1737047272718</v>
          </cell>
          <cell r="L911">
            <v>3.3205667361499063</v>
          </cell>
          <cell r="M911">
            <v>52454.973039999997</v>
          </cell>
          <cell r="N911">
            <v>53243.150655969082</v>
          </cell>
          <cell r="O911">
            <v>1.4803361676732831</v>
          </cell>
          <cell r="P911">
            <v>5759.0972599999996</v>
          </cell>
          <cell r="Q911">
            <v>5884.1440900000007</v>
          </cell>
          <cell r="R911">
            <v>2.1251490121140306</v>
          </cell>
          <cell r="S911">
            <v>44620.514479999991</v>
          </cell>
          <cell r="T911">
            <v>55655.528422830444</v>
          </cell>
          <cell r="U911">
            <v>-19.827345558547933</v>
          </cell>
        </row>
        <row r="912">
          <cell r="C912" t="str">
            <v>Kandy</v>
          </cell>
          <cell r="D912">
            <v>478411.08270000003</v>
          </cell>
          <cell r="E912">
            <v>466099.94232000003</v>
          </cell>
          <cell r="F912">
            <v>2.6413091404220359</v>
          </cell>
          <cell r="G912">
            <v>60871.662859999997</v>
          </cell>
          <cell r="H912">
            <v>59846.291739304383</v>
          </cell>
          <cell r="I912">
            <v>1.7133411125324511</v>
          </cell>
          <cell r="J912">
            <v>5710.34836</v>
          </cell>
          <cell r="K912">
            <v>6448.4297547272727</v>
          </cell>
          <cell r="L912">
            <v>-11.445908892567115</v>
          </cell>
          <cell r="M912">
            <v>27177.37183</v>
          </cell>
          <cell r="N912">
            <v>27539.684688070884</v>
          </cell>
          <cell r="O912">
            <v>1.3156027825831402</v>
          </cell>
          <cell r="P912">
            <v>4773.0047399999994</v>
          </cell>
          <cell r="Q912">
            <v>4687.0082124999999</v>
          </cell>
          <cell r="R912">
            <v>-1.8347850825319951</v>
          </cell>
          <cell r="S912">
            <v>34631.63465</v>
          </cell>
          <cell r="T912">
            <v>34068.028593460782</v>
          </cell>
          <cell r="U912">
            <v>1.6543547713453546</v>
          </cell>
        </row>
        <row r="913">
          <cell r="C913" t="str">
            <v>Mount Lavinia</v>
          </cell>
          <cell r="D913">
            <v>306186.10834999999</v>
          </cell>
          <cell r="E913">
            <v>280824.06964</v>
          </cell>
          <cell r="F913">
            <v>9.0312909226451428</v>
          </cell>
          <cell r="G913">
            <v>34003.28628</v>
          </cell>
          <cell r="H913">
            <v>31107.687422401221</v>
          </cell>
          <cell r="I913">
            <v>9.308306394751817</v>
          </cell>
          <cell r="J913">
            <v>2109.31124</v>
          </cell>
          <cell r="K913">
            <v>2741.4123327272719</v>
          </cell>
          <cell r="L913">
            <v>-23.057497961221731</v>
          </cell>
          <cell r="M913">
            <v>19267.637199999997</v>
          </cell>
          <cell r="N913">
            <v>18901.056741889402</v>
          </cell>
          <cell r="O913">
            <v>-1.9394707032340801</v>
          </cell>
          <cell r="P913">
            <v>1010.8280999999999</v>
          </cell>
          <cell r="Q913">
            <v>1101.6245999999999</v>
          </cell>
          <cell r="R913">
            <v>8.2420545074973752</v>
          </cell>
          <cell r="S913">
            <v>15834.132220000005</v>
          </cell>
          <cell r="T913">
            <v>13846.418413239095</v>
          </cell>
          <cell r="U913">
            <v>14.355436528339924</v>
          </cell>
        </row>
        <row r="914">
          <cell r="C914" t="str">
            <v>Wellawatte</v>
          </cell>
          <cell r="D914">
            <v>104176.2411</v>
          </cell>
          <cell r="E914">
            <v>107229.00165999999</v>
          </cell>
          <cell r="F914">
            <v>-2.8469541940525005</v>
          </cell>
          <cell r="G914">
            <v>15330.736339999999</v>
          </cell>
          <cell r="H914">
            <v>17086.742898853423</v>
          </cell>
          <cell r="I914">
            <v>-10.277011653117677</v>
          </cell>
          <cell r="J914">
            <v>903.32757000000004</v>
          </cell>
          <cell r="K914">
            <v>869.34034909090917</v>
          </cell>
          <cell r="L914">
            <v>3.9095414062665044</v>
          </cell>
          <cell r="M914">
            <v>14890.01038</v>
          </cell>
          <cell r="N914">
            <v>10312.5511890009</v>
          </cell>
          <cell r="O914">
            <v>-44.387262735542095</v>
          </cell>
          <cell r="P914">
            <v>322.63249999999999</v>
          </cell>
          <cell r="Q914">
            <v>359.14799999999991</v>
          </cell>
          <cell r="R914">
            <v>10.167256952565495</v>
          </cell>
          <cell r="S914">
            <v>1021.4210299999993</v>
          </cell>
          <cell r="T914">
            <v>7284.3840589434303</v>
          </cell>
          <cell r="U914">
            <v>-85.977935516099734</v>
          </cell>
        </row>
        <row r="915">
          <cell r="C915" t="str">
            <v>Bambalapitiya</v>
          </cell>
          <cell r="D915">
            <v>213429.84414999999</v>
          </cell>
          <cell r="E915">
            <v>255044.92808000001</v>
          </cell>
          <cell r="F915">
            <v>-16.316765929548932</v>
          </cell>
          <cell r="G915">
            <v>32128.037329999999</v>
          </cell>
          <cell r="H915">
            <v>40538.502809408805</v>
          </cell>
          <cell r="I915">
            <v>-20.746857669979796</v>
          </cell>
          <cell r="J915">
            <v>4331.3216599999996</v>
          </cell>
          <cell r="K915">
            <v>4496.5123085454543</v>
          </cell>
          <cell r="L915">
            <v>-3.673750614037373</v>
          </cell>
          <cell r="M915">
            <v>23815.931510000002</v>
          </cell>
          <cell r="N915">
            <v>26169.446247265616</v>
          </cell>
          <cell r="O915">
            <v>8.9933685070295564</v>
          </cell>
          <cell r="P915">
            <v>795.11073999999996</v>
          </cell>
          <cell r="Q915">
            <v>799.11851999999999</v>
          </cell>
          <cell r="R915">
            <v>0.50152510543742945</v>
          </cell>
          <cell r="S915">
            <v>11848.316739999998</v>
          </cell>
          <cell r="T915">
            <v>18066.450350688643</v>
          </cell>
          <cell r="U915">
            <v>-34.418125807716436</v>
          </cell>
        </row>
        <row r="916">
          <cell r="C916" t="str">
            <v>Nuwara Eliya</v>
          </cell>
          <cell r="D916">
            <v>118060.76665000001</v>
          </cell>
          <cell r="E916">
            <v>107060.81383000001</v>
          </cell>
          <cell r="F916">
            <v>10.27449019532639</v>
          </cell>
          <cell r="G916">
            <v>15075.541279999999</v>
          </cell>
          <cell r="H916">
            <v>13464.405073115964</v>
          </cell>
          <cell r="I916">
            <v>11.965892277713406</v>
          </cell>
          <cell r="J916">
            <v>1761.7925</v>
          </cell>
          <cell r="K916">
            <v>3024.0225916363634</v>
          </cell>
          <cell r="L916">
            <v>-41.740101252131964</v>
          </cell>
          <cell r="M916">
            <v>10853.40821</v>
          </cell>
          <cell r="N916">
            <v>11266.267570830543</v>
          </cell>
          <cell r="O916">
            <v>3.6645620054282797</v>
          </cell>
          <cell r="P916">
            <v>2193.20676</v>
          </cell>
          <cell r="Q916">
            <v>2039.2911599999998</v>
          </cell>
          <cell r="R916">
            <v>-7.5475048889046468</v>
          </cell>
          <cell r="S916">
            <v>3790.7188100000012</v>
          </cell>
          <cell r="T916">
            <v>3182.8689339217863</v>
          </cell>
          <cell r="U916">
            <v>19.097546543622517</v>
          </cell>
        </row>
        <row r="917">
          <cell r="C917" t="str">
            <v>Bandarawela</v>
          </cell>
          <cell r="D917">
            <v>248038.63045</v>
          </cell>
          <cell r="E917">
            <v>256263.59962999995</v>
          </cell>
          <cell r="F917">
            <v>-3.2095737326235101</v>
          </cell>
          <cell r="G917">
            <v>19413.527730000002</v>
          </cell>
          <cell r="H917">
            <v>20029.339755276811</v>
          </cell>
          <cell r="I917">
            <v>-3.0745497994489375</v>
          </cell>
          <cell r="J917">
            <v>1102.9184499999999</v>
          </cell>
          <cell r="K917">
            <v>1510.5364172727272</v>
          </cell>
          <cell r="L917">
            <v>-26.984981137275817</v>
          </cell>
          <cell r="M917">
            <v>10454.33059</v>
          </cell>
          <cell r="N917">
            <v>10039.614490171978</v>
          </cell>
          <cell r="O917">
            <v>-4.1307970563411285</v>
          </cell>
          <cell r="P917">
            <v>543.76404000000002</v>
          </cell>
          <cell r="Q917">
            <v>535.4000400000001</v>
          </cell>
          <cell r="R917">
            <v>-1.5621963718941667</v>
          </cell>
          <cell r="S917">
            <v>9518.351550000003</v>
          </cell>
          <cell r="T917">
            <v>10964.86164237756</v>
          </cell>
          <cell r="U917">
            <v>-13.192232967053691</v>
          </cell>
        </row>
        <row r="918">
          <cell r="C918" t="str">
            <v>Maharagama</v>
          </cell>
          <cell r="D918">
            <v>213451.07399999999</v>
          </cell>
          <cell r="E918">
            <v>198511.19328000001</v>
          </cell>
          <cell r="F918">
            <v>7.5259638880550606</v>
          </cell>
          <cell r="G918">
            <v>33532.947249999997</v>
          </cell>
          <cell r="H918">
            <v>32008.066104906378</v>
          </cell>
          <cell r="I918">
            <v>4.7640527237597672</v>
          </cell>
          <cell r="J918">
            <v>2323.2995599999999</v>
          </cell>
          <cell r="K918">
            <v>2690.7867845454548</v>
          </cell>
          <cell r="L918">
            <v>-13.657240575734923</v>
          </cell>
          <cell r="M918">
            <v>19844.415110000002</v>
          </cell>
          <cell r="N918">
            <v>18580.651601905462</v>
          </cell>
          <cell r="O918">
            <v>-6.8015026338739393</v>
          </cell>
          <cell r="P918">
            <v>893.00350000000003</v>
          </cell>
          <cell r="Q918">
            <v>1000.4760000000002</v>
          </cell>
          <cell r="R918">
            <v>10.742136742910393</v>
          </cell>
          <cell r="S918">
            <v>15118.828199999994</v>
          </cell>
          <cell r="T918">
            <v>15117.725287546369</v>
          </cell>
          <cell r="U918">
            <v>7.2954920971733481E-3</v>
          </cell>
        </row>
        <row r="919">
          <cell r="C919" t="str">
            <v>Kiribathgoda</v>
          </cell>
          <cell r="D919">
            <v>116133.4103</v>
          </cell>
          <cell r="E919">
            <v>152847.79439</v>
          </cell>
          <cell r="F919">
            <v>-24.020224980362567</v>
          </cell>
          <cell r="G919">
            <v>18073.90668</v>
          </cell>
          <cell r="H919">
            <v>25099.712531479829</v>
          </cell>
          <cell r="I919">
            <v>-27.991578957998531</v>
          </cell>
          <cell r="J919">
            <v>940.42989999999998</v>
          </cell>
          <cell r="K919">
            <v>1554.4265525454546</v>
          </cell>
          <cell r="L919">
            <v>-39.499881904359071</v>
          </cell>
          <cell r="M919">
            <v>10896.228450000001</v>
          </cell>
          <cell r="N919">
            <v>13346.875534029045</v>
          </cell>
          <cell r="O919">
            <v>18.361204296697768</v>
          </cell>
          <cell r="P919">
            <v>446.81950000000001</v>
          </cell>
          <cell r="Q919">
            <v>517.23599999999999</v>
          </cell>
          <cell r="R919">
            <v>13.613998252248487</v>
          </cell>
          <cell r="S919">
            <v>7671.2886299999991</v>
          </cell>
          <cell r="T919">
            <v>12790.027549996237</v>
          </cell>
          <cell r="U919">
            <v>-40.021328335588649</v>
          </cell>
        </row>
        <row r="920">
          <cell r="C920" t="str">
            <v>Nugegoda</v>
          </cell>
          <cell r="D920">
            <v>229663.02309999999</v>
          </cell>
          <cell r="E920">
            <v>255021.05575999996</v>
          </cell>
          <cell r="F920">
            <v>-9.9435054820980682</v>
          </cell>
          <cell r="G920">
            <v>36322.17</v>
          </cell>
          <cell r="H920">
            <v>42710.890455228895</v>
          </cell>
          <cell r="I920">
            <v>-14.95805961228035</v>
          </cell>
          <cell r="J920">
            <v>4449.0418900000004</v>
          </cell>
          <cell r="K920">
            <v>4599.1510647272717</v>
          </cell>
          <cell r="L920">
            <v>-3.2638452752404352</v>
          </cell>
          <cell r="M920">
            <v>25146.118919999997</v>
          </cell>
          <cell r="N920">
            <v>27034.932611878667</v>
          </cell>
          <cell r="O920">
            <v>6.9865670427036992</v>
          </cell>
          <cell r="P920">
            <v>1571.48486</v>
          </cell>
          <cell r="Q920">
            <v>1695.4443924999998</v>
          </cell>
          <cell r="R920">
            <v>7.3113298819088106</v>
          </cell>
          <cell r="S920">
            <v>14053.608110000001</v>
          </cell>
          <cell r="T920">
            <v>18579.6645155775</v>
          </cell>
          <cell r="U920">
            <v>-24.360269808869685</v>
          </cell>
        </row>
        <row r="921">
          <cell r="C921" t="str">
            <v>Fort</v>
          </cell>
          <cell r="D921">
            <v>164551.77575</v>
          </cell>
          <cell r="E921">
            <v>185159.39323999998</v>
          </cell>
          <cell r="F921">
            <v>-11.129663545229263</v>
          </cell>
          <cell r="G921">
            <v>17873.995470000002</v>
          </cell>
          <cell r="H921">
            <v>21501.371133226414</v>
          </cell>
          <cell r="I921">
            <v>-16.870438823415174</v>
          </cell>
          <cell r="J921">
            <v>1701.8141000000001</v>
          </cell>
          <cell r="K921">
            <v>1941.7416201818182</v>
          </cell>
          <cell r="L921">
            <v>-12.356305168931394</v>
          </cell>
          <cell r="M921">
            <v>7874.3055700000004</v>
          </cell>
          <cell r="N921">
            <v>7698.8183164662878</v>
          </cell>
          <cell r="O921">
            <v>-2.2794050504916998</v>
          </cell>
          <cell r="P921">
            <v>428.59350000000001</v>
          </cell>
          <cell r="Q921">
            <v>716.34388750000005</v>
          </cell>
          <cell r="R921">
            <v>40.169308696725636</v>
          </cell>
          <cell r="S921">
            <v>11272.9105</v>
          </cell>
          <cell r="T921">
            <v>15027.950549441946</v>
          </cell>
          <cell r="U921">
            <v>-24.987040229390345</v>
          </cell>
        </row>
        <row r="922">
          <cell r="C922" t="str">
            <v>Malabe</v>
          </cell>
          <cell r="D922">
            <v>163847.60699999999</v>
          </cell>
          <cell r="E922">
            <v>163715.11785000004</v>
          </cell>
          <cell r="F922">
            <v>8.0926643635525625E-2</v>
          </cell>
          <cell r="G922">
            <v>24716.350279999999</v>
          </cell>
          <cell r="H922">
            <v>27057.195177443544</v>
          </cell>
          <cell r="I922">
            <v>-8.6514691640876737</v>
          </cell>
          <cell r="J922">
            <v>1893.75117</v>
          </cell>
          <cell r="K922">
            <v>1982.1918490909093</v>
          </cell>
          <cell r="L922">
            <v>-4.4617618184370365</v>
          </cell>
          <cell r="M922">
            <v>16397.381280000001</v>
          </cell>
          <cell r="N922">
            <v>17945.670149394802</v>
          </cell>
          <cell r="O922">
            <v>8.6276458694801939</v>
          </cell>
          <cell r="P922">
            <v>662.15904999999998</v>
          </cell>
          <cell r="Q922">
            <v>735.43200000000024</v>
          </cell>
          <cell r="R922">
            <v>9.9632528908179463</v>
          </cell>
          <cell r="S922">
            <v>9550.5611199999967</v>
          </cell>
          <cell r="T922">
            <v>10358.284877139649</v>
          </cell>
          <cell r="U922">
            <v>-7.7978523155147919</v>
          </cell>
        </row>
        <row r="923">
          <cell r="C923" t="str">
            <v>Negombo</v>
          </cell>
          <cell r="D923">
            <v>278342.3653</v>
          </cell>
          <cell r="E923">
            <v>235529.89929</v>
          </cell>
          <cell r="F923">
            <v>18.177083308343143</v>
          </cell>
          <cell r="G923">
            <v>29210.640189999998</v>
          </cell>
          <cell r="H923">
            <v>37574.161455509944</v>
          </cell>
          <cell r="I923">
            <v>-22.258703698319003</v>
          </cell>
          <cell r="J923">
            <v>7228.3975499999997</v>
          </cell>
          <cell r="K923">
            <v>8155.332183690909</v>
          </cell>
          <cell r="L923">
            <v>-11.365994821702047</v>
          </cell>
          <cell r="M923">
            <v>18640.559290000001</v>
          </cell>
          <cell r="N923">
            <v>18818.949087593366</v>
          </cell>
          <cell r="O923">
            <v>0.94792645839597311</v>
          </cell>
          <cell r="P923">
            <v>1184.0274999999999</v>
          </cell>
          <cell r="Q923">
            <v>1326.4799999999998</v>
          </cell>
          <cell r="R923">
            <v>10.73913666244496</v>
          </cell>
          <cell r="S923">
            <v>16614.450949999999</v>
          </cell>
          <cell r="T923">
            <v>25584.064551607487</v>
          </cell>
          <cell r="U923">
            <v>-35.0593768379306</v>
          </cell>
        </row>
        <row r="924">
          <cell r="C924" t="str">
            <v>Rajagiriya</v>
          </cell>
          <cell r="D924">
            <v>147202.46239999999</v>
          </cell>
          <cell r="E924">
            <v>143216.48045999999</v>
          </cell>
          <cell r="F924">
            <v>2.7831866327096848</v>
          </cell>
          <cell r="G924">
            <v>23039.273440000001</v>
          </cell>
          <cell r="H924">
            <v>23590.818229614415</v>
          </cell>
          <cell r="I924">
            <v>-2.3379637969574105</v>
          </cell>
          <cell r="J924">
            <v>1448.36617</v>
          </cell>
          <cell r="K924">
            <v>1640.4341127272726</v>
          </cell>
          <cell r="L924">
            <v>-11.708360685572043</v>
          </cell>
          <cell r="M924">
            <v>13356.188849999999</v>
          </cell>
          <cell r="N924">
            <v>13903.583124215145</v>
          </cell>
          <cell r="O924">
            <v>3.9370734099599014</v>
          </cell>
          <cell r="P924">
            <v>934.45862</v>
          </cell>
          <cell r="Q924">
            <v>1688.9400749999998</v>
          </cell>
          <cell r="R924">
            <v>44.671890149802969</v>
          </cell>
          <cell r="S924">
            <v>10196.992140000004</v>
          </cell>
          <cell r="T924">
            <v>9638.7291431265403</v>
          </cell>
          <cell r="U924">
            <v>5.7918734781707792</v>
          </cell>
        </row>
        <row r="925">
          <cell r="C925" t="str">
            <v>Boralesgamuwa</v>
          </cell>
          <cell r="D925">
            <v>68889.298899999994</v>
          </cell>
          <cell r="E925">
            <v>65502.714050000002</v>
          </cell>
          <cell r="F925">
            <v>5.1701443201497259</v>
          </cell>
          <cell r="G925">
            <v>9959.9445500000002</v>
          </cell>
          <cell r="H925">
            <v>10596.191385884336</v>
          </cell>
          <cell r="I925">
            <v>-6.0044860715889792</v>
          </cell>
          <cell r="J925">
            <v>624.44965999999999</v>
          </cell>
          <cell r="K925">
            <v>922.79838927272726</v>
          </cell>
          <cell r="L925">
            <v>-32.330868014178144</v>
          </cell>
          <cell r="M925">
            <v>9018.790649999999</v>
          </cell>
          <cell r="N925">
            <v>9437.4181816821401</v>
          </cell>
          <cell r="O925">
            <v>4.4358268715345224</v>
          </cell>
          <cell r="P925">
            <v>595.89549999999997</v>
          </cell>
          <cell r="Q925">
            <v>698.91600000000017</v>
          </cell>
          <cell r="R925">
            <v>14.74004029096489</v>
          </cell>
          <cell r="S925">
            <v>969.70806000000141</v>
          </cell>
          <cell r="T925">
            <v>1382.655593474924</v>
          </cell>
          <cell r="U925">
            <v>-29.866261375842175</v>
          </cell>
        </row>
        <row r="926">
          <cell r="C926" t="str">
            <v>Pitakotte</v>
          </cell>
          <cell r="D926">
            <v>140578.18100000001</v>
          </cell>
          <cell r="E926">
            <v>137408.41077000002</v>
          </cell>
          <cell r="F926">
            <v>2.3068240235349853</v>
          </cell>
          <cell r="G926">
            <v>22075.610980000001</v>
          </cell>
          <cell r="H926">
            <v>22600.685000157304</v>
          </cell>
          <cell r="I926">
            <v>-2.3232659547869812</v>
          </cell>
          <cell r="J926">
            <v>1777.8120899999999</v>
          </cell>
          <cell r="K926">
            <v>2138.9171912727275</v>
          </cell>
          <cell r="L926">
            <v>-16.882612508147542</v>
          </cell>
          <cell r="M926">
            <v>13704.71485</v>
          </cell>
          <cell r="N926">
            <v>14464.892968911028</v>
          </cell>
          <cell r="O926">
            <v>5.2553317922563032</v>
          </cell>
          <cell r="P926">
            <v>2126.6543000000001</v>
          </cell>
          <cell r="Q926">
            <v>2299.1538</v>
          </cell>
          <cell r="R926">
            <v>7.5027386162682941</v>
          </cell>
          <cell r="S926">
            <v>8022.0539200000003</v>
          </cell>
          <cell r="T926">
            <v>7975.5554225190044</v>
          </cell>
          <cell r="U926">
            <v>0.58301265576698547</v>
          </cell>
        </row>
        <row r="927">
          <cell r="C927" t="str">
            <v>Panadura</v>
          </cell>
          <cell r="D927">
            <v>165679.33609999999</v>
          </cell>
          <cell r="E927">
            <v>147689.26218999998</v>
          </cell>
          <cell r="F927">
            <v>12.181030389911523</v>
          </cell>
          <cell r="G927">
            <v>25352.142400000001</v>
          </cell>
          <cell r="H927">
            <v>24311.25517431918</v>
          </cell>
          <cell r="I927">
            <v>4.2815034362369992</v>
          </cell>
          <cell r="J927">
            <v>1648.0009700000001</v>
          </cell>
          <cell r="K927">
            <v>1780.5898069090908</v>
          </cell>
          <cell r="L927">
            <v>-7.4463436999704324</v>
          </cell>
          <cell r="M927">
            <v>16607.160160000003</v>
          </cell>
          <cell r="N927">
            <v>16584.547363089583</v>
          </cell>
          <cell r="O927">
            <v>-0.13634859255035708</v>
          </cell>
          <cell r="P927">
            <v>3122.1183799999999</v>
          </cell>
          <cell r="Q927">
            <v>2961.1801200000004</v>
          </cell>
          <cell r="R927">
            <v>-5.4349365279407396</v>
          </cell>
          <cell r="S927">
            <v>7270.8648299999986</v>
          </cell>
          <cell r="T927">
            <v>6546.1174981386866</v>
          </cell>
          <cell r="U927">
            <v>11.071407319947825</v>
          </cell>
        </row>
        <row r="928">
          <cell r="C928" t="str">
            <v>Kurunagala</v>
          </cell>
          <cell r="D928">
            <v>125612.47055</v>
          </cell>
          <cell r="E928">
            <v>100656.71503000001</v>
          </cell>
          <cell r="F928">
            <v>24.792936579106627</v>
          </cell>
          <cell r="G928">
            <v>18834.5736</v>
          </cell>
          <cell r="H928">
            <v>16839.6424391822</v>
          </cell>
          <cell r="I928">
            <v>11.846636103009093</v>
          </cell>
          <cell r="J928">
            <v>1856.05384</v>
          </cell>
          <cell r="K928">
            <v>2201.2734201818184</v>
          </cell>
          <cell r="L928">
            <v>-15.682721510956341</v>
          </cell>
          <cell r="M928">
            <v>14409.53667</v>
          </cell>
          <cell r="N928">
            <v>14808.650453171698</v>
          </cell>
          <cell r="O928">
            <v>2.6951394688785908</v>
          </cell>
          <cell r="P928">
            <v>3261.9754899999998</v>
          </cell>
          <cell r="Q928">
            <v>3461.2860000000014</v>
          </cell>
          <cell r="R928">
            <v>5.7582791482703692</v>
          </cell>
          <cell r="S928">
            <v>3019.1152800000009</v>
          </cell>
          <cell r="T928">
            <v>770.97940619231713</v>
          </cell>
          <cell r="U928">
            <v>291.59480211160098</v>
          </cell>
        </row>
        <row r="929">
          <cell r="C929" t="str">
            <v>Matara</v>
          </cell>
          <cell r="D929">
            <v>116381.05564999999</v>
          </cell>
          <cell r="E929">
            <v>108435.73272999999</v>
          </cell>
          <cell r="F929">
            <v>7.3272183624041132</v>
          </cell>
          <cell r="G929">
            <v>17859.47033</v>
          </cell>
          <cell r="H929">
            <v>17936.487114722466</v>
          </cell>
          <cell r="I929">
            <v>-0.429386112396833</v>
          </cell>
          <cell r="J929">
            <v>1057.5800999999999</v>
          </cell>
          <cell r="K929">
            <v>1191.7997874545454</v>
          </cell>
          <cell r="L929">
            <v>-11.261932487940181</v>
          </cell>
          <cell r="M929">
            <v>14128.334489999999</v>
          </cell>
          <cell r="N929">
            <v>13584.405717104108</v>
          </cell>
          <cell r="O929">
            <v>-4.0040674890255348</v>
          </cell>
          <cell r="P929">
            <v>2962.8164800000004</v>
          </cell>
          <cell r="Q929">
            <v>2941.7775175000006</v>
          </cell>
          <cell r="R929">
            <v>-0.71517857400308293</v>
          </cell>
          <cell r="S929">
            <v>1825.8994599999996</v>
          </cell>
          <cell r="T929">
            <v>2602.103667572901</v>
          </cell>
          <cell r="U929">
            <v>-29.829872546811405</v>
          </cell>
        </row>
        <row r="930">
          <cell r="C930" t="str">
            <v>Wattala</v>
          </cell>
          <cell r="D930">
            <v>182396.27625</v>
          </cell>
          <cell r="E930">
            <v>120305.63921000001</v>
          </cell>
          <cell r="F930">
            <v>51.610745304812703</v>
          </cell>
          <cell r="G930">
            <v>17745.88926</v>
          </cell>
          <cell r="H930">
            <v>17349.04463528053</v>
          </cell>
          <cell r="I930">
            <v>2.2874148580634674</v>
          </cell>
          <cell r="J930">
            <v>4794.41626</v>
          </cell>
          <cell r="K930">
            <v>4033.6651723454543</v>
          </cell>
          <cell r="L930">
            <v>18.86004552063978</v>
          </cell>
          <cell r="M930">
            <v>16508.81393</v>
          </cell>
          <cell r="N930">
            <v>16075.41932330294</v>
          </cell>
          <cell r="O930">
            <v>-2.6960080977098437</v>
          </cell>
          <cell r="P930">
            <v>4538.56538</v>
          </cell>
          <cell r="Q930">
            <v>4803.2753875000008</v>
          </cell>
          <cell r="R930">
            <v>5.5110312473209344</v>
          </cell>
          <cell r="S930">
            <v>1492.9262100000014</v>
          </cell>
          <cell r="T930">
            <v>504.0150968230455</v>
          </cell>
          <cell r="U930">
            <v>196.20664527914974</v>
          </cell>
        </row>
        <row r="931">
          <cell r="C931" t="str">
            <v>Pelawatte</v>
          </cell>
          <cell r="D931">
            <v>171213.32740000001</v>
          </cell>
          <cell r="E931">
            <v>166123.79143000001</v>
          </cell>
          <cell r="F931">
            <v>3.0637008258655034</v>
          </cell>
          <cell r="G931">
            <v>27492.816760000002</v>
          </cell>
          <cell r="H931">
            <v>27658.634643239333</v>
          </cell>
          <cell r="I931">
            <v>-0.59951579453638248</v>
          </cell>
          <cell r="J931">
            <v>2058.1618400000002</v>
          </cell>
          <cell r="K931">
            <v>2202.842916545454</v>
          </cell>
          <cell r="L931">
            <v>-6.56792526869532</v>
          </cell>
          <cell r="M931">
            <v>16453.112809999999</v>
          </cell>
          <cell r="N931">
            <v>17057.73951061831</v>
          </cell>
          <cell r="O931">
            <v>3.5445886615980751</v>
          </cell>
          <cell r="P931">
            <v>3291.03746</v>
          </cell>
          <cell r="Q931">
            <v>3587.7370099999994</v>
          </cell>
          <cell r="R931">
            <v>8.2698243815813974</v>
          </cell>
          <cell r="S931">
            <v>9806.8283300000039</v>
          </cell>
          <cell r="T931">
            <v>9216.0010391664782</v>
          </cell>
          <cell r="U931">
            <v>6.4108856794026785</v>
          </cell>
        </row>
        <row r="932">
          <cell r="C932" t="str">
            <v>Gampaha</v>
          </cell>
          <cell r="D932">
            <v>148263.6802</v>
          </cell>
          <cell r="E932">
            <v>106295.01122</v>
          </cell>
          <cell r="F932">
            <v>39.483197281137649</v>
          </cell>
          <cell r="G932">
            <v>18177.006730000001</v>
          </cell>
          <cell r="H932">
            <v>17633.196226802673</v>
          </cell>
          <cell r="I932">
            <v>3.0840154910244215</v>
          </cell>
          <cell r="J932">
            <v>2404.1907500000002</v>
          </cell>
          <cell r="K932">
            <v>2211.3268636363637</v>
          </cell>
          <cell r="L932">
            <v>8.7216362960691445</v>
          </cell>
          <cell r="M932">
            <v>15020.206169999999</v>
          </cell>
          <cell r="N932">
            <v>14645.116945641401</v>
          </cell>
          <cell r="O932">
            <v>-2.5611896835704724</v>
          </cell>
          <cell r="P932">
            <v>5182.24802</v>
          </cell>
          <cell r="Q932">
            <v>5660.3615250000003</v>
          </cell>
          <cell r="R932">
            <v>8.4466955491857956</v>
          </cell>
          <cell r="S932">
            <v>378.74329000000307</v>
          </cell>
          <cell r="T932">
            <v>-460.95538020236381</v>
          </cell>
          <cell r="U932">
            <v>182.16484854428452</v>
          </cell>
        </row>
        <row r="933">
          <cell r="C933" t="str">
            <v>Ja-ela</v>
          </cell>
          <cell r="D933">
            <v>145967.65044999999</v>
          </cell>
          <cell r="E933">
            <v>119325.06943</v>
          </cell>
          <cell r="F933">
            <v>22.327731420788648</v>
          </cell>
          <cell r="G933">
            <v>22988.032480000002</v>
          </cell>
          <cell r="H933">
            <v>19933.617822589738</v>
          </cell>
          <cell r="I933">
            <v>15.322931765797442</v>
          </cell>
          <cell r="J933">
            <v>5192.6817099999998</v>
          </cell>
          <cell r="K933">
            <v>5353.985498181818</v>
          </cell>
          <cell r="L933">
            <v>-3.0127796990969808</v>
          </cell>
          <cell r="M933">
            <v>16009.00137</v>
          </cell>
          <cell r="N933">
            <v>14560.103529196505</v>
          </cell>
          <cell r="O933">
            <v>-9.9511506762167343</v>
          </cell>
          <cell r="P933">
            <v>6933.4626200000002</v>
          </cell>
          <cell r="Q933">
            <v>8217.6661099999983</v>
          </cell>
          <cell r="R933">
            <v>15.627350549534535</v>
          </cell>
          <cell r="S933">
            <v>5238.2502000000022</v>
          </cell>
          <cell r="T933">
            <v>2509.8336815750517</v>
          </cell>
          <cell r="U933">
            <v>108.70905663807677</v>
          </cell>
        </row>
        <row r="934">
          <cell r="C934" t="str">
            <v>Piliyandala</v>
          </cell>
          <cell r="D934">
            <v>107450.732</v>
          </cell>
          <cell r="E934">
            <v>75255.660939999987</v>
          </cell>
          <cell r="F934">
            <v>42.780929245533542</v>
          </cell>
          <cell r="G934">
            <v>15412.420630000001</v>
          </cell>
          <cell r="H934">
            <v>12340.166165162109</v>
          </cell>
          <cell r="I934">
            <v>24.896378409484186</v>
          </cell>
          <cell r="J934">
            <v>1359.8318899999999</v>
          </cell>
          <cell r="K934">
            <v>1626.4780949999999</v>
          </cell>
          <cell r="L934">
            <v>-16.394085221295281</v>
          </cell>
          <cell r="M934">
            <v>13351.874169999999</v>
          </cell>
          <cell r="N934">
            <v>12960.332480569823</v>
          </cell>
          <cell r="O934">
            <v>-3.0210775072103808</v>
          </cell>
          <cell r="P934">
            <v>6240.0029400000003</v>
          </cell>
          <cell r="Q934">
            <v>6176.2783800000025</v>
          </cell>
          <cell r="R934">
            <v>-1.0317630793059851</v>
          </cell>
          <cell r="S934">
            <v>-2819.6245899999976</v>
          </cell>
          <cell r="T934">
            <v>-5169.9666004077162</v>
          </cell>
          <cell r="U934">
            <v>45.46145443613436</v>
          </cell>
        </row>
        <row r="935">
          <cell r="C935" t="str">
            <v>Chilaw</v>
          </cell>
          <cell r="D935">
            <v>90958.090200000006</v>
          </cell>
          <cell r="E935">
            <v>69868.010680000007</v>
          </cell>
          <cell r="F935">
            <v>30.185601843730637</v>
          </cell>
          <cell r="G935">
            <v>12920.477080000001</v>
          </cell>
          <cell r="H935">
            <v>11478.12183180687</v>
          </cell>
          <cell r="I935">
            <v>12.566125968416189</v>
          </cell>
          <cell r="J935">
            <v>1571.03801</v>
          </cell>
          <cell r="K935">
            <v>1605.3720747272723</v>
          </cell>
          <cell r="L935">
            <v>-2.1386982661390292</v>
          </cell>
          <cell r="M935">
            <v>12950.681559999999</v>
          </cell>
          <cell r="N935">
            <v>13693.135960737412</v>
          </cell>
          <cell r="O935">
            <v>5.422091790122197</v>
          </cell>
          <cell r="P935">
            <v>4593.12086</v>
          </cell>
          <cell r="Q935">
            <v>5184.4563049999997</v>
          </cell>
          <cell r="R935">
            <v>11.405929767981712</v>
          </cell>
          <cell r="S935">
            <v>-3052.2873299999983</v>
          </cell>
          <cell r="T935">
            <v>-5794.0983592032699</v>
          </cell>
          <cell r="U935">
            <v>47.320753967668068</v>
          </cell>
        </row>
        <row r="936">
          <cell r="C936" t="str">
            <v>Ratnapura</v>
          </cell>
          <cell r="D936">
            <v>168063.29759999999</v>
          </cell>
          <cell r="E936">
            <v>114759.34974999999</v>
          </cell>
          <cell r="F936">
            <v>46.448457547137679</v>
          </cell>
          <cell r="G936">
            <v>18995.623080000001</v>
          </cell>
          <cell r="H936">
            <v>18748.319536754141</v>
          </cell>
          <cell r="I936">
            <v>1.3190704519466241</v>
          </cell>
          <cell r="J936">
            <v>3962.1482599999999</v>
          </cell>
          <cell r="K936">
            <v>2014.8041519999999</v>
          </cell>
          <cell r="L936">
            <v>96.651781567303431</v>
          </cell>
          <cell r="M936">
            <v>15448.72438</v>
          </cell>
          <cell r="N936">
            <v>15699.038906483165</v>
          </cell>
          <cell r="O936">
            <v>1.5944576478487114</v>
          </cell>
          <cell r="P936">
            <v>7285.3597399999999</v>
          </cell>
          <cell r="Q936">
            <v>7501.2961925000009</v>
          </cell>
          <cell r="R936">
            <v>2.8786551944969205</v>
          </cell>
          <cell r="S936">
            <v>223.6872199999998</v>
          </cell>
          <cell r="T936">
            <v>-2437.2114102290243</v>
          </cell>
          <cell r="U936">
            <v>109.17799822621788</v>
          </cell>
        </row>
        <row r="937">
          <cell r="C937" t="str">
            <v>Nawala</v>
          </cell>
          <cell r="D937">
            <v>263411.40389999998</v>
          </cell>
          <cell r="E937">
            <v>176673.09136999998</v>
          </cell>
          <cell r="F937">
            <v>49.095372621486042</v>
          </cell>
          <cell r="G937">
            <v>35348.096460000001</v>
          </cell>
          <cell r="H937">
            <v>28045.392257734173</v>
          </cell>
          <cell r="I937">
            <v>26.038873463258248</v>
          </cell>
          <cell r="J937">
            <v>5151.4275699999998</v>
          </cell>
          <cell r="K937">
            <v>3086.1060525000003</v>
          </cell>
          <cell r="L937">
            <v>66.923219175404512</v>
          </cell>
          <cell r="M937">
            <v>20421.828979999998</v>
          </cell>
          <cell r="N937">
            <v>18744.43678984026</v>
          </cell>
          <cell r="O937">
            <v>-8.9487468146757454</v>
          </cell>
          <cell r="P937">
            <v>7582.5934999999999</v>
          </cell>
          <cell r="Q937">
            <v>4508.0510100000001</v>
          </cell>
          <cell r="R937">
            <v>-68.201146863242784</v>
          </cell>
          <cell r="S937">
            <v>12495.101550000003</v>
          </cell>
          <cell r="T937">
            <v>7879.0105103939122</v>
          </cell>
          <cell r="U937">
            <v>58.587192306909472</v>
          </cell>
        </row>
        <row r="938">
          <cell r="C938" t="str">
            <v>Collupitiya</v>
          </cell>
          <cell r="D938">
            <v>148343.584</v>
          </cell>
          <cell r="E938">
            <v>125743.53972</v>
          </cell>
          <cell r="F938">
            <v>17.973125562016747</v>
          </cell>
          <cell r="G938">
            <v>23085.22409</v>
          </cell>
          <cell r="H938">
            <v>21053.188922404013</v>
          </cell>
          <cell r="I938">
            <v>9.6519115231686872</v>
          </cell>
          <cell r="J938">
            <v>1468.99953</v>
          </cell>
          <cell r="K938">
            <v>1519.0943325000001</v>
          </cell>
          <cell r="L938">
            <v>-3.2976755576171572</v>
          </cell>
          <cell r="M938">
            <v>16594.955969999999</v>
          </cell>
          <cell r="N938">
            <v>17817.688629132197</v>
          </cell>
          <cell r="O938">
            <v>6.8624650737975701</v>
          </cell>
          <cell r="P938">
            <v>3099.8158199999998</v>
          </cell>
          <cell r="Q938">
            <v>4240.7092025000011</v>
          </cell>
          <cell r="R938">
            <v>26.903362810810439</v>
          </cell>
          <cell r="S938">
            <v>4859.4518300000018</v>
          </cell>
          <cell r="T938">
            <v>513.88542327181585</v>
          </cell>
          <cell r="U938">
            <v>845.62943604446832</v>
          </cell>
        </row>
        <row r="939">
          <cell r="C939" t="str">
            <v>Dehiwala</v>
          </cell>
          <cell r="D939">
            <v>148549.44954999999</v>
          </cell>
          <cell r="E939">
            <v>148718.67731999999</v>
          </cell>
          <cell r="F939">
            <v>-0.11379052923922124</v>
          </cell>
          <cell r="G939">
            <v>22511.832279999999</v>
          </cell>
          <cell r="H939">
            <v>24471.72069341848</v>
          </cell>
          <cell r="I939">
            <v>-8.0087887483350571</v>
          </cell>
          <cell r="J939">
            <v>1635.9264700000001</v>
          </cell>
          <cell r="K939">
            <v>1551.0461645</v>
          </cell>
          <cell r="L939">
            <v>5.4724551365859799</v>
          </cell>
          <cell r="M939">
            <v>18771.844970000002</v>
          </cell>
          <cell r="N939">
            <v>17403.393048995189</v>
          </cell>
          <cell r="O939">
            <v>-7.8631328796186812</v>
          </cell>
          <cell r="P939">
            <v>1994.8715199999999</v>
          </cell>
          <cell r="Q939">
            <v>3120.3948824999989</v>
          </cell>
          <cell r="R939">
            <v>36.069901563171769</v>
          </cell>
          <cell r="S939">
            <v>3381.0422599999956</v>
          </cell>
          <cell r="T939">
            <v>5498.9789264232913</v>
          </cell>
          <cell r="U939">
            <v>-38.515089705951432</v>
          </cell>
        </row>
        <row r="940">
          <cell r="C940" t="str">
            <v>Thimbirigasyaya</v>
          </cell>
          <cell r="D940">
            <v>103197.25659999999</v>
          </cell>
          <cell r="E940">
            <v>92851.010039999994</v>
          </cell>
          <cell r="F940">
            <v>11.14284761742803</v>
          </cell>
          <cell r="G940">
            <v>16143.95897</v>
          </cell>
          <cell r="H940">
            <v>15387.627260854266</v>
          </cell>
          <cell r="I940">
            <v>4.9151938523350029</v>
          </cell>
          <cell r="J940">
            <v>376.15321999999998</v>
          </cell>
          <cell r="K940">
            <v>376.78005218181818</v>
          </cell>
          <cell r="L940">
            <v>-0.16636554355476305</v>
          </cell>
          <cell r="M940">
            <v>11963.68381</v>
          </cell>
          <cell r="N940">
            <v>11646.726091952121</v>
          </cell>
          <cell r="O940">
            <v>-2.7214318903481094</v>
          </cell>
          <cell r="P940">
            <v>2008.89014</v>
          </cell>
          <cell r="Q940">
            <v>3462.5336675000003</v>
          </cell>
          <cell r="R940">
            <v>41.982076337457016</v>
          </cell>
          <cell r="S940">
            <v>2547.5382399999994</v>
          </cell>
          <cell r="T940">
            <v>655.14755358396314</v>
          </cell>
          <cell r="U940">
            <v>288.84953871288616</v>
          </cell>
        </row>
        <row r="941">
          <cell r="C941" t="str">
            <v>Moratuwa</v>
          </cell>
          <cell r="D941">
            <v>167075.05040000001</v>
          </cell>
          <cell r="E941">
            <v>119360.70496000003</v>
          </cell>
          <cell r="F941">
            <v>39.974919263412467</v>
          </cell>
          <cell r="G941">
            <v>26231.922449999998</v>
          </cell>
          <cell r="H941">
            <v>19666.926357911449</v>
          </cell>
          <cell r="I941">
            <v>33.380895278776684</v>
          </cell>
          <cell r="J941">
            <v>1670.29207</v>
          </cell>
          <cell r="K941">
            <v>1492.242084</v>
          </cell>
          <cell r="L941">
            <v>11.931709198465414</v>
          </cell>
          <cell r="M941">
            <v>16469.951549999998</v>
          </cell>
          <cell r="N941">
            <v>15214.588751285162</v>
          </cell>
          <cell r="O941">
            <v>-8.251046539846806</v>
          </cell>
          <cell r="P941">
            <v>3610.44346</v>
          </cell>
          <cell r="Q941">
            <v>4084.9240124999992</v>
          </cell>
          <cell r="R941">
            <v>11.615407068725721</v>
          </cell>
          <cell r="S941">
            <v>7821.8195099999994</v>
          </cell>
          <cell r="T941">
            <v>1859.6556781262884</v>
          </cell>
          <cell r="U941">
            <v>320.60579288962458</v>
          </cell>
        </row>
        <row r="942">
          <cell r="C942" t="str">
            <v>Kegalle</v>
          </cell>
          <cell r="D942">
            <v>69181.092749999996</v>
          </cell>
          <cell r="E942">
            <v>60434.415081069164</v>
          </cell>
          <cell r="F942">
            <v>14.473007899882351</v>
          </cell>
          <cell r="G942">
            <v>9862.8091499999991</v>
          </cell>
          <cell r="H942">
            <v>9208.0940200133809</v>
          </cell>
          <cell r="I942">
            <v>7.1102133466885125</v>
          </cell>
          <cell r="J942">
            <v>849.94169999999997</v>
          </cell>
          <cell r="K942">
            <v>1875</v>
          </cell>
          <cell r="L942">
            <v>-54.669776000000006</v>
          </cell>
          <cell r="M942">
            <v>10499.4763</v>
          </cell>
          <cell r="N942">
            <v>9434.8341175771693</v>
          </cell>
          <cell r="O942">
            <v>-11.284164291128281</v>
          </cell>
          <cell r="P942">
            <v>4.4074999999999998</v>
          </cell>
          <cell r="Q942">
            <v>0</v>
          </cell>
          <cell r="R942">
            <v>0</v>
          </cell>
          <cell r="S942">
            <v>208.86704999999827</v>
          </cell>
          <cell r="T942">
            <v>1648.2599024362116</v>
          </cell>
          <cell r="U942">
            <v>-87.328026988263062</v>
          </cell>
        </row>
        <row r="943">
          <cell r="C943" t="str">
            <v>Kadawatha</v>
          </cell>
          <cell r="D943">
            <v>76461.881349999996</v>
          </cell>
          <cell r="E943">
            <v>65697.735622749999</v>
          </cell>
          <cell r="F943">
            <v>16.384348144142972</v>
          </cell>
          <cell r="G943">
            <v>11561.58041</v>
          </cell>
          <cell r="H943">
            <v>10196.288568650796</v>
          </cell>
          <cell r="I943">
            <v>13.390086325595863</v>
          </cell>
          <cell r="J943">
            <v>984.56844000000001</v>
          </cell>
          <cell r="K943">
            <v>921.8000000000003</v>
          </cell>
          <cell r="L943">
            <v>6.8093339119114447</v>
          </cell>
          <cell r="M943">
            <v>11898.132440000001</v>
          </cell>
          <cell r="N943">
            <v>7991.6406349820008</v>
          </cell>
          <cell r="O943">
            <v>-48.882225608569279</v>
          </cell>
          <cell r="P943">
            <v>0</v>
          </cell>
          <cell r="Q943">
            <v>0</v>
          </cell>
          <cell r="R943">
            <v>0</v>
          </cell>
          <cell r="S943">
            <v>648.01641000000018</v>
          </cell>
          <cell r="T943">
            <v>3126.4479336687964</v>
          </cell>
          <cell r="U943">
            <v>-79.273078466412471</v>
          </cell>
        </row>
        <row r="944">
          <cell r="C944" t="str">
            <v>Aluthgama</v>
          </cell>
          <cell r="D944">
            <v>67816.184200000003</v>
          </cell>
          <cell r="E944">
            <v>54726.273271394501</v>
          </cell>
          <cell r="F944">
            <v>23.918878714234719</v>
          </cell>
          <cell r="G944">
            <v>10774.210370000001</v>
          </cell>
          <cell r="H944">
            <v>8380.5930753111916</v>
          </cell>
          <cell r="I944">
            <v>28.56143083405739</v>
          </cell>
          <cell r="J944">
            <v>487.41316</v>
          </cell>
          <cell r="K944">
            <v>1687.5</v>
          </cell>
          <cell r="L944">
            <v>-71.116257185185177</v>
          </cell>
          <cell r="M944">
            <v>9771.5843699999987</v>
          </cell>
          <cell r="N944">
            <v>8502.8029170269438</v>
          </cell>
          <cell r="O944">
            <v>-14.921920046298004</v>
          </cell>
          <cell r="P944">
            <v>0</v>
          </cell>
          <cell r="Q944">
            <v>0</v>
          </cell>
          <cell r="R944">
            <v>0</v>
          </cell>
          <cell r="S944">
            <v>1490.0391600000021</v>
          </cell>
          <cell r="T944">
            <v>1565.2901582842478</v>
          </cell>
          <cell r="U944">
            <v>-4.8074791683818008</v>
          </cell>
        </row>
        <row r="945">
          <cell r="C945" t="str">
            <v>Park Road</v>
          </cell>
          <cell r="D945">
            <v>75186.957999999999</v>
          </cell>
          <cell r="E945">
            <v>48817.974307732191</v>
          </cell>
          <cell r="F945">
            <v>54.014907554431787</v>
          </cell>
          <cell r="G945">
            <v>11633.83812</v>
          </cell>
          <cell r="H945">
            <v>7497.5610978556142</v>
          </cell>
          <cell r="I945">
            <v>55.168300306714499</v>
          </cell>
          <cell r="J945">
            <v>496.89710000000002</v>
          </cell>
          <cell r="K945">
            <v>1500</v>
          </cell>
          <cell r="L945">
            <v>-66.873526666666663</v>
          </cell>
          <cell r="M945">
            <v>7817.4568500000005</v>
          </cell>
          <cell r="N945">
            <v>7570.5075653215372</v>
          </cell>
          <cell r="O945">
            <v>-3.2619911220969078</v>
          </cell>
          <cell r="P945">
            <v>0</v>
          </cell>
          <cell r="Q945">
            <v>0</v>
          </cell>
          <cell r="R945">
            <v>0</v>
          </cell>
          <cell r="S945">
            <v>4313.27837</v>
          </cell>
          <cell r="T945">
            <v>1427.053532534077</v>
          </cell>
          <cell r="U945">
            <v>202.25063542926355</v>
          </cell>
        </row>
        <row r="946">
          <cell r="C946" t="str">
            <v>Kotahena</v>
          </cell>
          <cell r="D946">
            <v>96771.303249999997</v>
          </cell>
          <cell r="E946">
            <v>48817.974307732191</v>
          </cell>
          <cell r="F946">
            <v>98.228838091449774</v>
          </cell>
          <cell r="G946">
            <v>15026.15796</v>
          </cell>
          <cell r="H946">
            <v>7497.5610978556142</v>
          </cell>
          <cell r="I946">
            <v>100.41394479996499</v>
          </cell>
          <cell r="J946">
            <v>1818.98045</v>
          </cell>
          <cell r="K946">
            <v>1500</v>
          </cell>
          <cell r="L946">
            <v>21.265363333333333</v>
          </cell>
          <cell r="M946">
            <v>12563.09907</v>
          </cell>
          <cell r="N946">
            <v>7570.5075653215372</v>
          </cell>
          <cell r="O946">
            <v>-65.947909854131638</v>
          </cell>
          <cell r="P946">
            <v>0</v>
          </cell>
          <cell r="Q946">
            <v>0</v>
          </cell>
          <cell r="R946">
            <v>0</v>
          </cell>
          <cell r="S946">
            <v>4282.0393399999994</v>
          </cell>
          <cell r="T946">
            <v>1427.053532534077</v>
          </cell>
          <cell r="U946">
            <v>200.06157739550301</v>
          </cell>
        </row>
        <row r="947">
          <cell r="C947" t="str">
            <v>Ambalangoda</v>
          </cell>
          <cell r="D947">
            <v>43506.051399999997</v>
          </cell>
          <cell r="E947">
            <v>36660.463600581978</v>
          </cell>
          <cell r="F947">
            <v>18.672943894002874</v>
          </cell>
          <cell r="G947">
            <v>6468.9128600000004</v>
          </cell>
          <cell r="H947">
            <v>5656.4530868052279</v>
          </cell>
          <cell r="I947">
            <v>14.36341397562356</v>
          </cell>
          <cell r="J947">
            <v>440.97505999999998</v>
          </cell>
          <cell r="K947">
            <v>1125</v>
          </cell>
          <cell r="L947">
            <v>-60.802216888888893</v>
          </cell>
          <cell r="M947">
            <v>7037.5834899999991</v>
          </cell>
          <cell r="N947">
            <v>5682.477245133754</v>
          </cell>
          <cell r="O947">
            <v>-23.84710376142208</v>
          </cell>
          <cell r="P947">
            <v>32.370800000000003</v>
          </cell>
          <cell r="Q947">
            <v>0</v>
          </cell>
          <cell r="R947">
            <v>0</v>
          </cell>
          <cell r="S947">
            <v>-160.06636999999895</v>
          </cell>
          <cell r="T947">
            <v>1098.975841671474</v>
          </cell>
          <cell r="U947">
            <v>-114.56504901477615</v>
          </cell>
        </row>
        <row r="948">
          <cell r="C948" t="str">
            <v>Katugastota</v>
          </cell>
          <cell r="D948">
            <v>58062.0605</v>
          </cell>
          <cell r="E948">
            <v>36660.463600581978</v>
          </cell>
          <cell r="F948">
            <v>58.377867592155262</v>
          </cell>
          <cell r="G948">
            <v>8107.2684600000002</v>
          </cell>
          <cell r="H948">
            <v>5656.4530868052279</v>
          </cell>
          <cell r="I948">
            <v>43.327776887459272</v>
          </cell>
          <cell r="J948">
            <v>800.03129999999999</v>
          </cell>
          <cell r="K948">
            <v>1125</v>
          </cell>
          <cell r="L948">
            <v>-28.886106666666667</v>
          </cell>
          <cell r="M948">
            <v>7416.0990199999997</v>
          </cell>
          <cell r="N948">
            <v>5682.477245133754</v>
          </cell>
          <cell r="O948">
            <v>-30.508204434093422</v>
          </cell>
          <cell r="P948">
            <v>21.9008</v>
          </cell>
          <cell r="Q948">
            <v>0</v>
          </cell>
          <cell r="R948">
            <v>0</v>
          </cell>
          <cell r="S948">
            <v>1469.2999400000003</v>
          </cell>
          <cell r="T948">
            <v>1098.975841671474</v>
          </cell>
          <cell r="U948">
            <v>33.697201001733248</v>
          </cell>
        </row>
        <row r="949">
          <cell r="C949" t="str">
            <v>Beruwela</v>
          </cell>
          <cell r="D949">
            <v>34126.244149999999</v>
          </cell>
          <cell r="E949">
            <v>30884.649721944148</v>
          </cell>
          <cell r="F949">
            <v>10.495810887415162</v>
          </cell>
          <cell r="G949">
            <v>5006.6394399999999</v>
          </cell>
          <cell r="H949">
            <v>4796.5608673784918</v>
          </cell>
          <cell r="I949">
            <v>4.3797749769059902</v>
          </cell>
          <cell r="J949">
            <v>387.97831000000002</v>
          </cell>
          <cell r="K949">
            <v>937.5</v>
          </cell>
          <cell r="L949">
            <v>-58.615646933333331</v>
          </cell>
          <cell r="M949">
            <v>5563.7177000000001</v>
          </cell>
          <cell r="N949">
            <v>4738.48351711143</v>
          </cell>
          <cell r="O949">
            <v>-17.41557567750349</v>
          </cell>
          <cell r="P949">
            <v>1.4677500000000001</v>
          </cell>
          <cell r="Q949">
            <v>0</v>
          </cell>
          <cell r="R949">
            <v>0</v>
          </cell>
          <cell r="S949">
            <v>-170.5676999999998</v>
          </cell>
          <cell r="T949">
            <v>995.57735026706177</v>
          </cell>
          <cell r="U949">
            <v>-117.1325412288905</v>
          </cell>
        </row>
        <row r="950">
          <cell r="C950" t="str">
            <v>Warakapola</v>
          </cell>
          <cell r="D950">
            <v>24879.337500000001</v>
          </cell>
          <cell r="E950">
            <v>30884.649721944148</v>
          </cell>
          <cell r="F950">
            <v>-19.444326796678073</v>
          </cell>
          <cell r="G950">
            <v>3202.6542899999999</v>
          </cell>
          <cell r="H950">
            <v>4796.5608673784918</v>
          </cell>
          <cell r="I950">
            <v>-33.230195997692491</v>
          </cell>
          <cell r="J950">
            <v>335.50099999999998</v>
          </cell>
          <cell r="K950">
            <v>937.5</v>
          </cell>
          <cell r="L950">
            <v>-64.213226666666671</v>
          </cell>
          <cell r="M950">
            <v>4798.2996599999997</v>
          </cell>
          <cell r="N950">
            <v>4738.48351711143</v>
          </cell>
          <cell r="O950">
            <v>-1.2623478096433989</v>
          </cell>
          <cell r="P950">
            <v>0.30049999999999999</v>
          </cell>
          <cell r="Q950">
            <v>0</v>
          </cell>
          <cell r="R950">
            <v>0</v>
          </cell>
          <cell r="S950">
            <v>-1260.44487</v>
          </cell>
          <cell r="T950">
            <v>995.57735026706177</v>
          </cell>
          <cell r="U950">
            <v>-226.60441397766715</v>
          </cell>
        </row>
        <row r="951">
          <cell r="C951" t="str">
            <v>Karagampitiya</v>
          </cell>
          <cell r="D951">
            <v>25226.481</v>
          </cell>
          <cell r="E951">
            <v>0</v>
          </cell>
          <cell r="F951">
            <v>0</v>
          </cell>
          <cell r="G951">
            <v>3750.8632499999999</v>
          </cell>
          <cell r="H951">
            <v>0</v>
          </cell>
          <cell r="I951">
            <v>0</v>
          </cell>
          <cell r="J951">
            <v>227.6857</v>
          </cell>
          <cell r="K951">
            <v>0</v>
          </cell>
          <cell r="L951">
            <v>0</v>
          </cell>
          <cell r="M951">
            <v>4627.1629899999998</v>
          </cell>
          <cell r="N951">
            <v>0</v>
          </cell>
          <cell r="O951">
            <v>0</v>
          </cell>
          <cell r="P951">
            <v>0</v>
          </cell>
          <cell r="Q951">
            <v>0</v>
          </cell>
          <cell r="R951">
            <v>0</v>
          </cell>
          <cell r="S951">
            <v>-648.61403999999993</v>
          </cell>
          <cell r="T951">
            <v>0</v>
          </cell>
          <cell r="U951">
            <v>0</v>
          </cell>
        </row>
        <row r="952">
          <cell r="C952" t="str">
            <v>Mathale</v>
          </cell>
          <cell r="D952">
            <v>35367.205600000001</v>
          </cell>
          <cell r="E952">
            <v>0</v>
          </cell>
          <cell r="F952">
            <v>0</v>
          </cell>
          <cell r="G952">
            <v>3777.84103</v>
          </cell>
          <cell r="H952">
            <v>0</v>
          </cell>
          <cell r="I952">
            <v>0</v>
          </cell>
          <cell r="J952">
            <v>191.76205999999999</v>
          </cell>
          <cell r="K952">
            <v>0</v>
          </cell>
          <cell r="L952">
            <v>0</v>
          </cell>
          <cell r="M952">
            <v>3927.5243099999998</v>
          </cell>
          <cell r="N952">
            <v>0</v>
          </cell>
          <cell r="O952">
            <v>0</v>
          </cell>
          <cell r="P952">
            <v>0.30049999999999999</v>
          </cell>
          <cell r="Q952">
            <v>0</v>
          </cell>
          <cell r="R952">
            <v>0</v>
          </cell>
          <cell r="S952">
            <v>41.778280000000279</v>
          </cell>
          <cell r="T952">
            <v>0</v>
          </cell>
          <cell r="U952">
            <v>0</v>
          </cell>
        </row>
        <row r="953">
          <cell r="C953" t="str">
            <v>Peliyagoda</v>
          </cell>
          <cell r="D953">
            <v>15173.188200000001</v>
          </cell>
          <cell r="E953">
            <v>0</v>
          </cell>
          <cell r="F953">
            <v>0</v>
          </cell>
          <cell r="G953">
            <v>2199.7318399999999</v>
          </cell>
          <cell r="H953">
            <v>0</v>
          </cell>
          <cell r="I953">
            <v>0</v>
          </cell>
          <cell r="J953">
            <v>150.58304000000001</v>
          </cell>
          <cell r="K953">
            <v>0</v>
          </cell>
          <cell r="L953">
            <v>0</v>
          </cell>
          <cell r="M953">
            <v>3533.0615399999997</v>
          </cell>
          <cell r="N953">
            <v>0</v>
          </cell>
          <cell r="O953">
            <v>0</v>
          </cell>
          <cell r="P953">
            <v>0</v>
          </cell>
          <cell r="Q953">
            <v>0</v>
          </cell>
          <cell r="R953">
            <v>0</v>
          </cell>
          <cell r="S953">
            <v>-1182.7466599999998</v>
          </cell>
          <cell r="T953">
            <v>0</v>
          </cell>
          <cell r="U953">
            <v>0</v>
          </cell>
        </row>
        <row r="954">
          <cell r="C954" t="str">
            <v>Kelaniya</v>
          </cell>
          <cell r="D954">
            <v>15290.482599999999</v>
          </cell>
          <cell r="E954">
            <v>0</v>
          </cell>
          <cell r="F954">
            <v>0</v>
          </cell>
          <cell r="G954">
            <v>2326.2275399999999</v>
          </cell>
          <cell r="H954">
            <v>0</v>
          </cell>
          <cell r="I954">
            <v>0</v>
          </cell>
          <cell r="J954">
            <v>165.98069000000001</v>
          </cell>
          <cell r="K954">
            <v>0</v>
          </cell>
          <cell r="L954">
            <v>0</v>
          </cell>
          <cell r="M954">
            <v>2811.7574800000002</v>
          </cell>
          <cell r="N954">
            <v>0</v>
          </cell>
          <cell r="O954">
            <v>0</v>
          </cell>
          <cell r="P954">
            <v>0</v>
          </cell>
          <cell r="Q954">
            <v>0</v>
          </cell>
          <cell r="R954">
            <v>0</v>
          </cell>
          <cell r="S954">
            <v>-319.54925000000048</v>
          </cell>
          <cell r="T954">
            <v>0</v>
          </cell>
          <cell r="U954">
            <v>0</v>
          </cell>
        </row>
        <row r="955">
          <cell r="C955" t="str">
            <v>Demategoda</v>
          </cell>
          <cell r="D955">
            <v>13009.984</v>
          </cell>
          <cell r="E955">
            <v>0</v>
          </cell>
          <cell r="F955">
            <v>0</v>
          </cell>
          <cell r="G955">
            <v>1960.22793</v>
          </cell>
          <cell r="H955">
            <v>0</v>
          </cell>
          <cell r="I955">
            <v>0</v>
          </cell>
          <cell r="J955">
            <v>200.25568000000001</v>
          </cell>
          <cell r="K955">
            <v>0</v>
          </cell>
          <cell r="L955">
            <v>0</v>
          </cell>
          <cell r="M955">
            <v>2233.48954</v>
          </cell>
          <cell r="N955">
            <v>0</v>
          </cell>
          <cell r="O955">
            <v>0</v>
          </cell>
          <cell r="P955">
            <v>0</v>
          </cell>
          <cell r="Q955">
            <v>0</v>
          </cell>
          <cell r="R955">
            <v>0</v>
          </cell>
          <cell r="S955">
            <v>-73.005929999999807</v>
          </cell>
          <cell r="T955">
            <v>0</v>
          </cell>
          <cell r="U955">
            <v>0</v>
          </cell>
        </row>
        <row r="956">
          <cell r="C956" t="str">
            <v>Kolannawa</v>
          </cell>
          <cell r="D956">
            <v>16100.647000000001</v>
          </cell>
          <cell r="E956">
            <v>0</v>
          </cell>
          <cell r="F956">
            <v>0</v>
          </cell>
          <cell r="G956">
            <v>2154.2765300000001</v>
          </cell>
          <cell r="H956">
            <v>0</v>
          </cell>
          <cell r="I956">
            <v>0</v>
          </cell>
          <cell r="J956">
            <v>148.95119</v>
          </cell>
          <cell r="K956">
            <v>0</v>
          </cell>
          <cell r="L956">
            <v>0</v>
          </cell>
          <cell r="M956">
            <v>1944.5519399999998</v>
          </cell>
          <cell r="N956">
            <v>0</v>
          </cell>
          <cell r="O956">
            <v>0</v>
          </cell>
          <cell r="P956">
            <v>0</v>
          </cell>
          <cell r="Q956">
            <v>0</v>
          </cell>
          <cell r="R956">
            <v>0</v>
          </cell>
          <cell r="S956">
            <v>358.67578000000003</v>
          </cell>
          <cell r="T956">
            <v>0</v>
          </cell>
          <cell r="U956">
            <v>0</v>
          </cell>
        </row>
        <row r="957">
          <cell r="C957" t="str">
            <v>Avissawella</v>
          </cell>
          <cell r="D957">
            <v>9283.7816999999995</v>
          </cell>
          <cell r="E957">
            <v>0</v>
          </cell>
          <cell r="F957">
            <v>0</v>
          </cell>
          <cell r="G957">
            <v>1380.64301</v>
          </cell>
          <cell r="H957">
            <v>0</v>
          </cell>
          <cell r="I957">
            <v>0</v>
          </cell>
          <cell r="J957">
            <v>92.106999999999999</v>
          </cell>
          <cell r="K957">
            <v>0</v>
          </cell>
          <cell r="L957">
            <v>0</v>
          </cell>
          <cell r="M957">
            <v>1803.4214000000002</v>
          </cell>
          <cell r="N957">
            <v>0</v>
          </cell>
          <cell r="O957">
            <v>0</v>
          </cell>
          <cell r="P957">
            <v>-1.5E-3</v>
          </cell>
          <cell r="Q957">
            <v>0</v>
          </cell>
          <cell r="R957">
            <v>0</v>
          </cell>
          <cell r="S957">
            <v>-330.66989000000018</v>
          </cell>
          <cell r="T957">
            <v>0</v>
          </cell>
          <cell r="U957">
            <v>0</v>
          </cell>
        </row>
        <row r="958">
          <cell r="C958" t="str">
            <v>Homagama</v>
          </cell>
          <cell r="D958">
            <v>13079.683199999999</v>
          </cell>
          <cell r="E958">
            <v>0</v>
          </cell>
          <cell r="F958">
            <v>0</v>
          </cell>
          <cell r="G958">
            <v>1904.2280900000001</v>
          </cell>
          <cell r="H958">
            <v>0</v>
          </cell>
          <cell r="I958">
            <v>0</v>
          </cell>
          <cell r="J958">
            <v>77.675250000000005</v>
          </cell>
          <cell r="K958">
            <v>0</v>
          </cell>
          <cell r="L958">
            <v>0</v>
          </cell>
          <cell r="M958">
            <v>2160.19137</v>
          </cell>
          <cell r="N958">
            <v>0</v>
          </cell>
          <cell r="O958">
            <v>0</v>
          </cell>
          <cell r="P958">
            <v>0</v>
          </cell>
          <cell r="Q958">
            <v>0</v>
          </cell>
          <cell r="R958">
            <v>0</v>
          </cell>
          <cell r="S958">
            <v>-178.28802999999994</v>
          </cell>
          <cell r="T958">
            <v>0</v>
          </cell>
          <cell r="U958">
            <v>0</v>
          </cell>
        </row>
        <row r="959">
          <cell r="C959" t="str">
            <v>Galle</v>
          </cell>
          <cell r="D959">
            <v>17036.641</v>
          </cell>
          <cell r="E959">
            <v>0</v>
          </cell>
          <cell r="F959">
            <v>0</v>
          </cell>
          <cell r="G959">
            <v>2600.1679899999999</v>
          </cell>
          <cell r="H959">
            <v>0</v>
          </cell>
          <cell r="I959">
            <v>0</v>
          </cell>
          <cell r="J959">
            <v>72.561599999999999</v>
          </cell>
          <cell r="K959">
            <v>0</v>
          </cell>
          <cell r="L959">
            <v>0</v>
          </cell>
          <cell r="M959">
            <v>1982.0922</v>
          </cell>
          <cell r="N959">
            <v>0</v>
          </cell>
          <cell r="O959">
            <v>0</v>
          </cell>
          <cell r="P959">
            <v>0</v>
          </cell>
          <cell r="Q959">
            <v>0</v>
          </cell>
          <cell r="R959">
            <v>0</v>
          </cell>
          <cell r="S959">
            <v>690.63738999999987</v>
          </cell>
          <cell r="T959">
            <v>0</v>
          </cell>
          <cell r="U959">
            <v>0</v>
          </cell>
        </row>
        <row r="960">
          <cell r="C960" t="str">
            <v>Kohuwela</v>
          </cell>
          <cell r="D960">
            <v>15327.698850000001</v>
          </cell>
          <cell r="E960">
            <v>0</v>
          </cell>
          <cell r="F960">
            <v>0</v>
          </cell>
          <cell r="G960">
            <v>2273.9348100000002</v>
          </cell>
          <cell r="H960">
            <v>0</v>
          </cell>
          <cell r="I960">
            <v>0</v>
          </cell>
          <cell r="J960">
            <v>114.2877</v>
          </cell>
          <cell r="K960">
            <v>0</v>
          </cell>
          <cell r="L960">
            <v>0</v>
          </cell>
          <cell r="M960">
            <v>2024.30431</v>
          </cell>
          <cell r="N960">
            <v>0</v>
          </cell>
          <cell r="O960">
            <v>0</v>
          </cell>
          <cell r="P960">
            <v>0</v>
          </cell>
          <cell r="Q960">
            <v>0</v>
          </cell>
          <cell r="R960">
            <v>0</v>
          </cell>
          <cell r="S960">
            <v>363.91820000000007</v>
          </cell>
          <cell r="T960">
            <v>0</v>
          </cell>
          <cell r="U960">
            <v>0</v>
          </cell>
        </row>
        <row r="961">
          <cell r="C961" t="str">
            <v>Mt lavinia-STC</v>
          </cell>
          <cell r="D961">
            <v>5755.3805499999999</v>
          </cell>
          <cell r="E961">
            <v>0</v>
          </cell>
          <cell r="F961">
            <v>0</v>
          </cell>
          <cell r="G961">
            <v>916.94128999999998</v>
          </cell>
          <cell r="H961">
            <v>0</v>
          </cell>
          <cell r="I961">
            <v>0</v>
          </cell>
          <cell r="J961">
            <v>5.0500000000000003E-2</v>
          </cell>
          <cell r="K961">
            <v>0</v>
          </cell>
          <cell r="L961">
            <v>0</v>
          </cell>
          <cell r="M961">
            <v>1272.79619</v>
          </cell>
          <cell r="N961">
            <v>0</v>
          </cell>
          <cell r="O961">
            <v>0</v>
          </cell>
          <cell r="P961">
            <v>0</v>
          </cell>
          <cell r="Q961">
            <v>0</v>
          </cell>
          <cell r="R961">
            <v>0</v>
          </cell>
          <cell r="S961">
            <v>-355.80439999999999</v>
          </cell>
          <cell r="T961">
            <v>0</v>
          </cell>
          <cell r="U961">
            <v>0</v>
          </cell>
        </row>
        <row r="962">
          <cell r="C962" t="str">
            <v>Express Matara</v>
          </cell>
          <cell r="D962">
            <v>18854.953799999999</v>
          </cell>
          <cell r="E962">
            <v>17098.226336674863</v>
          </cell>
          <cell r="F962">
            <v>10.274325703345273</v>
          </cell>
          <cell r="G962">
            <v>2739.3957700000001</v>
          </cell>
          <cell r="H962">
            <v>3005.9824775300899</v>
          </cell>
          <cell r="I962">
            <v>-8.8685383072869666</v>
          </cell>
          <cell r="J962">
            <v>0.1045</v>
          </cell>
          <cell r="K962">
            <v>0.2</v>
          </cell>
          <cell r="L962">
            <v>-47.75</v>
          </cell>
          <cell r="M962">
            <v>2352.8426200000004</v>
          </cell>
          <cell r="N962">
            <v>2345.1877283078484</v>
          </cell>
          <cell r="O962">
            <v>-0.32640848319956478</v>
          </cell>
          <cell r="P962">
            <v>-1.5E-3</v>
          </cell>
          <cell r="Q962">
            <v>0</v>
          </cell>
          <cell r="R962">
            <v>0</v>
          </cell>
          <cell r="S962">
            <v>386.65914999999967</v>
          </cell>
          <cell r="T962">
            <v>660.99474922224135</v>
          </cell>
          <cell r="U962">
            <v>-41.503446062928383</v>
          </cell>
        </row>
        <row r="963">
          <cell r="C963" t="str">
            <v>Express Maligawatte</v>
          </cell>
          <cell r="D963">
            <v>12457.043250000001</v>
          </cell>
          <cell r="E963">
            <v>15199.999999999998</v>
          </cell>
          <cell r="F963">
            <v>-18.045768092105249</v>
          </cell>
          <cell r="G963">
            <v>1784.5183999999999</v>
          </cell>
          <cell r="H963">
            <v>2713.2000000000003</v>
          </cell>
          <cell r="I963">
            <v>-34.228276573787419</v>
          </cell>
          <cell r="J963">
            <v>2.48645</v>
          </cell>
          <cell r="K963">
            <v>600</v>
          </cell>
          <cell r="L963">
            <v>-99.585591666666673</v>
          </cell>
          <cell r="M963">
            <v>1894.6557999999998</v>
          </cell>
          <cell r="N963">
            <v>2392.1496811780398</v>
          </cell>
          <cell r="O963">
            <v>20.796937795842435</v>
          </cell>
          <cell r="P963">
            <v>0</v>
          </cell>
          <cell r="Q963">
            <v>0</v>
          </cell>
          <cell r="R963">
            <v>0</v>
          </cell>
          <cell r="S963">
            <v>-107.65094999999974</v>
          </cell>
          <cell r="T963">
            <v>921.05031882196045</v>
          </cell>
          <cell r="U963">
            <v>-111.68784677667635</v>
          </cell>
        </row>
        <row r="964">
          <cell r="C964" t="str">
            <v>Express Peradeniya</v>
          </cell>
          <cell r="D964">
            <v>4438.4579000000003</v>
          </cell>
          <cell r="E964">
            <v>13680</v>
          </cell>
          <cell r="F964">
            <v>-67.555132309941513</v>
          </cell>
          <cell r="G964">
            <v>699.36019999999996</v>
          </cell>
          <cell r="H964">
            <v>2441.8800000000006</v>
          </cell>
          <cell r="I964">
            <v>-71.359763788556364</v>
          </cell>
          <cell r="J964">
            <v>0.21375</v>
          </cell>
          <cell r="K964">
            <v>600</v>
          </cell>
          <cell r="L964">
            <v>-99.96437499999999</v>
          </cell>
          <cell r="M964">
            <v>1082.43543</v>
          </cell>
          <cell r="N964">
            <v>2171.5395216898451</v>
          </cell>
          <cell r="O964">
            <v>50.153546864407417</v>
          </cell>
          <cell r="P964">
            <v>0</v>
          </cell>
          <cell r="Q964">
            <v>0</v>
          </cell>
          <cell r="R964">
            <v>0</v>
          </cell>
          <cell r="S964">
            <v>-382.86148000000003</v>
          </cell>
          <cell r="T964">
            <v>870.3404783101555</v>
          </cell>
          <cell r="U964">
            <v>-143.9898510458068</v>
          </cell>
        </row>
        <row r="965">
          <cell r="C965" t="str">
            <v>Express Alexandra Place</v>
          </cell>
          <cell r="D965">
            <v>10201.76375</v>
          </cell>
          <cell r="E965">
            <v>0</v>
          </cell>
          <cell r="F965">
            <v>0</v>
          </cell>
          <cell r="G965">
            <v>1572.04836</v>
          </cell>
          <cell r="H965">
            <v>0</v>
          </cell>
          <cell r="I965">
            <v>0</v>
          </cell>
          <cell r="J965">
            <v>6.5783500000000004</v>
          </cell>
          <cell r="K965">
            <v>0</v>
          </cell>
          <cell r="L965">
            <v>0</v>
          </cell>
          <cell r="M965">
            <v>1531.5190700000001</v>
          </cell>
          <cell r="N965">
            <v>0</v>
          </cell>
          <cell r="O965">
            <v>0</v>
          </cell>
          <cell r="P965">
            <v>0</v>
          </cell>
          <cell r="Q965">
            <v>0</v>
          </cell>
          <cell r="R965">
            <v>0</v>
          </cell>
          <cell r="S965">
            <v>47.107639999999947</v>
          </cell>
          <cell r="T965">
            <v>0</v>
          </cell>
          <cell r="U965">
            <v>0</v>
          </cell>
        </row>
        <row r="966">
          <cell r="C966" t="str">
            <v>Express Boralla</v>
          </cell>
          <cell r="D966">
            <v>1075.70165</v>
          </cell>
          <cell r="E966">
            <v>0</v>
          </cell>
          <cell r="F966">
            <v>0</v>
          </cell>
          <cell r="G966">
            <v>116.29371999999999</v>
          </cell>
          <cell r="H966">
            <v>0</v>
          </cell>
          <cell r="I966">
            <v>0</v>
          </cell>
          <cell r="J966">
            <v>8.3099999999999993E-2</v>
          </cell>
          <cell r="K966">
            <v>0</v>
          </cell>
          <cell r="L966">
            <v>0</v>
          </cell>
          <cell r="M966">
            <v>509.25648999999999</v>
          </cell>
          <cell r="N966">
            <v>0</v>
          </cell>
          <cell r="O966">
            <v>0</v>
          </cell>
          <cell r="P966">
            <v>0</v>
          </cell>
          <cell r="Q966">
            <v>0</v>
          </cell>
          <cell r="R966">
            <v>0</v>
          </cell>
          <cell r="S966">
            <v>-392.87966999999998</v>
          </cell>
          <cell r="T966">
            <v>0</v>
          </cell>
          <cell r="U966">
            <v>0</v>
          </cell>
        </row>
        <row r="967">
          <cell r="C967" t="str">
            <v>Express Havelock Road</v>
          </cell>
          <cell r="D967">
            <v>1613.48945</v>
          </cell>
          <cell r="E967">
            <v>0</v>
          </cell>
          <cell r="F967">
            <v>0</v>
          </cell>
          <cell r="G967">
            <v>265.18950000000001</v>
          </cell>
          <cell r="H967">
            <v>0</v>
          </cell>
          <cell r="I967">
            <v>0</v>
          </cell>
          <cell r="J967">
            <v>0.75049999999999994</v>
          </cell>
          <cell r="K967">
            <v>0</v>
          </cell>
          <cell r="L967">
            <v>0</v>
          </cell>
          <cell r="M967">
            <v>598.97360000000003</v>
          </cell>
          <cell r="N967">
            <v>0</v>
          </cell>
          <cell r="O967">
            <v>0</v>
          </cell>
          <cell r="P967">
            <v>0</v>
          </cell>
          <cell r="Q967">
            <v>0</v>
          </cell>
          <cell r="R967">
            <v>0</v>
          </cell>
          <cell r="S967">
            <v>-333.03360000000004</v>
          </cell>
          <cell r="T967">
            <v>0</v>
          </cell>
          <cell r="U967">
            <v>0</v>
          </cell>
        </row>
        <row r="968">
          <cell r="C968" t="str">
            <v>Express Maradana</v>
          </cell>
          <cell r="D968">
            <v>116.58815</v>
          </cell>
          <cell r="E968">
            <v>0</v>
          </cell>
          <cell r="F968">
            <v>0</v>
          </cell>
          <cell r="G968">
            <v>4.91275</v>
          </cell>
          <cell r="H968">
            <v>0</v>
          </cell>
          <cell r="I968">
            <v>0</v>
          </cell>
          <cell r="J968">
            <v>5.0000000000000001E-4</v>
          </cell>
          <cell r="K968">
            <v>0</v>
          </cell>
          <cell r="L968">
            <v>0</v>
          </cell>
          <cell r="M968">
            <v>70.208309999999997</v>
          </cell>
          <cell r="N968">
            <v>0</v>
          </cell>
          <cell r="O968">
            <v>0</v>
          </cell>
          <cell r="P968">
            <v>0</v>
          </cell>
          <cell r="Q968">
            <v>0</v>
          </cell>
          <cell r="R968">
            <v>0</v>
          </cell>
          <cell r="S968">
            <v>-65.295059999999992</v>
          </cell>
          <cell r="T968">
            <v>0</v>
          </cell>
          <cell r="U968">
            <v>0</v>
          </cell>
        </row>
        <row r="969">
          <cell r="C969" t="str">
            <v xml:space="preserve">Food City </v>
          </cell>
          <cell r="D969">
            <v>6648915.7856999999</v>
          </cell>
          <cell r="E969">
            <v>5933159.812712403</v>
          </cell>
          <cell r="F969">
            <v>12.063655717717502</v>
          </cell>
          <cell r="G969">
            <v>919268.59576000017</v>
          </cell>
          <cell r="H969">
            <v>896200.23996364931</v>
          </cell>
          <cell r="I969">
            <v>2.5740180338811935</v>
          </cell>
          <cell r="J969">
            <v>90931.667790000007</v>
          </cell>
          <cell r="K969">
            <v>97868.113679445451</v>
          </cell>
          <cell r="L969">
            <v>-7.0875442763358958</v>
          </cell>
          <cell r="M969">
            <v>642627.7702100001</v>
          </cell>
          <cell r="N969">
            <v>598019.97791628935</v>
          </cell>
          <cell r="O969">
            <v>-7.45924784137478</v>
          </cell>
          <cell r="P969">
            <v>90008.807130000001</v>
          </cell>
          <cell r="Q969">
            <v>95996.084099999993</v>
          </cell>
          <cell r="R969">
            <v>6.2370012549293063</v>
          </cell>
          <cell r="S969">
            <v>277563.68620999996</v>
          </cell>
          <cell r="T969">
            <v>300052.2916268055</v>
          </cell>
          <cell r="U969">
            <v>-7.4948954046903538</v>
          </cell>
        </row>
        <row r="970">
          <cell r="B970">
            <v>29</v>
          </cell>
          <cell r="T970" t="str">
            <v>Schedule 2</v>
          </cell>
        </row>
        <row r="971">
          <cell r="B971" t="str">
            <v>CARGILLS ( CEYLON ) LTD</v>
          </cell>
        </row>
        <row r="973">
          <cell r="B973" t="str">
            <v xml:space="preserve"> Contribution by Profit Centres/Divisions  -Twelve  months ended 31st March 2004 </v>
          </cell>
        </row>
        <row r="974">
          <cell r="C974" t="str">
            <v>YTD V BUD</v>
          </cell>
          <cell r="U974">
            <v>38154.357810300928</v>
          </cell>
        </row>
        <row r="975">
          <cell r="B975" t="str">
            <v>Profit Centre</v>
          </cell>
          <cell r="D975" t="str">
            <v>Gross Turnover</v>
          </cell>
          <cell r="G975" t="str">
            <v>Achieved Gross Profit</v>
          </cell>
          <cell r="J975" t="str">
            <v>Other Income</v>
          </cell>
          <cell r="M975" t="str">
            <v>Direct Expenses</v>
          </cell>
          <cell r="P975" t="str">
            <v>D&amp;A and Finance</v>
          </cell>
          <cell r="S975" t="str">
            <v>Contribution</v>
          </cell>
        </row>
        <row r="976">
          <cell r="D976">
            <v>38047</v>
          </cell>
          <cell r="E976" t="str">
            <v>Budget</v>
          </cell>
          <cell r="F976" t="str">
            <v>Var %</v>
          </cell>
          <cell r="G976">
            <v>38047</v>
          </cell>
          <cell r="H976" t="str">
            <v>Budget</v>
          </cell>
          <cell r="I976" t="str">
            <v>Var %</v>
          </cell>
          <cell r="J976">
            <v>38047</v>
          </cell>
          <cell r="K976" t="str">
            <v>Budget</v>
          </cell>
          <cell r="L976" t="str">
            <v>Var %</v>
          </cell>
          <cell r="M976">
            <v>38047</v>
          </cell>
          <cell r="N976" t="str">
            <v>Budget</v>
          </cell>
          <cell r="O976" t="str">
            <v>Var %</v>
          </cell>
          <cell r="P976">
            <v>38047</v>
          </cell>
          <cell r="Q976" t="str">
            <v>Budget</v>
          </cell>
          <cell r="R976" t="str">
            <v>Var %</v>
          </cell>
          <cell r="S976">
            <v>38047</v>
          </cell>
          <cell r="T976" t="str">
            <v>Budget</v>
          </cell>
          <cell r="U976" t="str">
            <v>Var %</v>
          </cell>
        </row>
        <row r="977">
          <cell r="C977" t="str">
            <v>Department Store</v>
          </cell>
          <cell r="D977">
            <v>10057.508</v>
          </cell>
          <cell r="E977">
            <v>9810.4117200000001</v>
          </cell>
          <cell r="F977">
            <v>2.5187146783682568</v>
          </cell>
          <cell r="G977">
            <v>2086.8788199999999</v>
          </cell>
          <cell r="H977">
            <v>2033.9235329545454</v>
          </cell>
          <cell r="I977">
            <v>2.6036026520883935</v>
          </cell>
          <cell r="J977">
            <v>2E-3</v>
          </cell>
          <cell r="K977">
            <v>0</v>
          </cell>
          <cell r="L977">
            <v>0</v>
          </cell>
          <cell r="M977">
            <v>591.22876000000008</v>
          </cell>
          <cell r="N977">
            <v>512.63961005945453</v>
          </cell>
          <cell r="O977">
            <v>-15.330292158155903</v>
          </cell>
          <cell r="P977">
            <v>6.0999999999999999E-2</v>
          </cell>
          <cell r="Q977">
            <v>0.1346</v>
          </cell>
          <cell r="R977">
            <v>54.680534918276379</v>
          </cell>
          <cell r="S977">
            <v>1495.59106</v>
          </cell>
          <cell r="T977">
            <v>1521.1493228950908</v>
          </cell>
          <cell r="U977">
            <v>-1.6801942130472549</v>
          </cell>
        </row>
        <row r="978">
          <cell r="C978" t="str">
            <v>Books &amp; Stationery</v>
          </cell>
          <cell r="D978">
            <v>29491.057799999995</v>
          </cell>
          <cell r="E978">
            <v>28527.315747272725</v>
          </cell>
          <cell r="F978">
            <v>3.3783131271977656</v>
          </cell>
          <cell r="G978">
            <v>7467.1374700000006</v>
          </cell>
          <cell r="H978">
            <v>7072.7463740260191</v>
          </cell>
          <cell r="I978">
            <v>5.5762086623428884</v>
          </cell>
          <cell r="J978">
            <v>54.17313</v>
          </cell>
          <cell r="K978">
            <v>8.7157679999999971</v>
          </cell>
          <cell r="L978">
            <v>521.55314368165864</v>
          </cell>
          <cell r="M978">
            <v>4964.5761499999999</v>
          </cell>
          <cell r="N978">
            <v>5135.339687988735</v>
          </cell>
          <cell r="O978">
            <v>3.3252627550255589</v>
          </cell>
          <cell r="P978">
            <v>-7.3631699999999984</v>
          </cell>
          <cell r="Q978">
            <v>174.82909090909095</v>
          </cell>
          <cell r="R978">
            <v>104.21163889928866</v>
          </cell>
          <cell r="S978">
            <v>2564.0976200000009</v>
          </cell>
          <cell r="T978">
            <v>1771.2933631281931</v>
          </cell>
          <cell r="U978">
            <v>44.758495310549563</v>
          </cell>
        </row>
        <row r="979">
          <cell r="C979" t="str">
            <v>Hatton Liquor</v>
          </cell>
          <cell r="D979">
            <v>31397.028999999999</v>
          </cell>
          <cell r="E979">
            <v>33616.541400000002</v>
          </cell>
          <cell r="F979">
            <v>-6.6024412612536141</v>
          </cell>
          <cell r="G979">
            <v>1464.7768799999999</v>
          </cell>
          <cell r="H979">
            <v>1471.6900109999985</v>
          </cell>
          <cell r="I979">
            <v>-0.4697409745481152</v>
          </cell>
          <cell r="J979">
            <v>5.0000000000000001E-4</v>
          </cell>
          <cell r="K979">
            <v>2.8000000000000001E-2</v>
          </cell>
          <cell r="L979">
            <v>-98.214285714285708</v>
          </cell>
          <cell r="M979">
            <v>1464.7781799999998</v>
          </cell>
          <cell r="N979">
            <v>1471.7180109999995</v>
          </cell>
          <cell r="O979">
            <v>0.47154624378648635</v>
          </cell>
          <cell r="P979">
            <v>0</v>
          </cell>
          <cell r="Q979">
            <v>0</v>
          </cell>
          <cell r="R979">
            <v>0</v>
          </cell>
          <cell r="S979">
            <v>-7.9999999979918357E-4</v>
          </cell>
          <cell r="T979">
            <v>-9.0949470177292824E-13</v>
          </cell>
          <cell r="U979">
            <v>0</v>
          </cell>
        </row>
        <row r="980">
          <cell r="C980" t="str">
            <v>Retail Division</v>
          </cell>
          <cell r="D980">
            <v>6719861.3805</v>
          </cell>
          <cell r="E980">
            <v>6005114.0815796759</v>
          </cell>
          <cell r="F980">
            <v>11.902310084545574</v>
          </cell>
          <cell r="G980">
            <v>930287.38893000013</v>
          </cell>
          <cell r="H980">
            <v>906778.59988162993</v>
          </cell>
          <cell r="I980">
            <v>2.5925610784638087</v>
          </cell>
          <cell r="J980">
            <v>90985.843420000005</v>
          </cell>
          <cell r="K980">
            <v>97876.857447445451</v>
          </cell>
          <cell r="L980">
            <v>-7.0404937460783774</v>
          </cell>
          <cell r="M980">
            <v>649648.35330000008</v>
          </cell>
          <cell r="N980">
            <v>605139.6752253375</v>
          </cell>
          <cell r="O980">
            <v>-7.3551082331676163</v>
          </cell>
          <cell r="P980">
            <v>90001.504960000006</v>
          </cell>
          <cell r="Q980">
            <v>96171.047790909084</v>
          </cell>
          <cell r="R980">
            <v>6.4151768880823994</v>
          </cell>
          <cell r="S980">
            <v>281623.37408999994</v>
          </cell>
          <cell r="T980">
            <v>303344.7343128288</v>
          </cell>
          <cell r="U980">
            <v>-7.1606188490578466</v>
          </cell>
        </row>
        <row r="981">
          <cell r="C981" t="str">
            <v>Commercial Division</v>
          </cell>
          <cell r="D981">
            <v>2.5000000000000001E-3</v>
          </cell>
          <cell r="E981">
            <v>0</v>
          </cell>
          <cell r="F981">
            <v>0</v>
          </cell>
          <cell r="G981">
            <v>22060.380740000001</v>
          </cell>
          <cell r="H981">
            <v>6379.5241253351796</v>
          </cell>
          <cell r="I981">
            <v>245.79978547915516</v>
          </cell>
          <cell r="J981">
            <v>2166.1284800000003</v>
          </cell>
          <cell r="K981">
            <v>2785.7123999999999</v>
          </cell>
          <cell r="L981">
            <v>-22.24148910705928</v>
          </cell>
          <cell r="M981">
            <v>27973.602529999996</v>
          </cell>
          <cell r="N981">
            <v>22424.809932482491</v>
          </cell>
          <cell r="O981">
            <v>-24.743989421645182</v>
          </cell>
          <cell r="P981">
            <v>1008.1410100000001</v>
          </cell>
          <cell r="Q981">
            <v>1001.0395199999997</v>
          </cell>
          <cell r="R981">
            <v>-0.7094115525029776</v>
          </cell>
          <cell r="S981">
            <v>-4755.2343199999968</v>
          </cell>
          <cell r="T981">
            <v>-14260.612927147311</v>
          </cell>
          <cell r="U981">
            <v>66.654769018043652</v>
          </cell>
        </row>
        <row r="982">
          <cell r="C982" t="str">
            <v>Hampers</v>
          </cell>
          <cell r="D982">
            <v>22254.20276</v>
          </cell>
          <cell r="E982">
            <v>21297.364509999996</v>
          </cell>
          <cell r="F982">
            <v>4.4927542539393972</v>
          </cell>
          <cell r="G982">
            <v>7529.2830899999999</v>
          </cell>
          <cell r="H982">
            <v>5324.3411274999999</v>
          </cell>
          <cell r="I982">
            <v>41.412484844586061</v>
          </cell>
          <cell r="J982">
            <v>0.10069</v>
          </cell>
          <cell r="K982">
            <v>0</v>
          </cell>
          <cell r="L982">
            <v>0</v>
          </cell>
          <cell r="M982">
            <v>1840.6198300000001</v>
          </cell>
          <cell r="N982">
            <v>1788.5770560000001</v>
          </cell>
          <cell r="O982">
            <v>-2.9097306054226832</v>
          </cell>
          <cell r="P982">
            <v>0</v>
          </cell>
          <cell r="Q982">
            <v>0</v>
          </cell>
          <cell r="R982">
            <v>0</v>
          </cell>
          <cell r="S982">
            <v>5688.7639500000005</v>
          </cell>
          <cell r="T982">
            <v>3535.7640714999998</v>
          </cell>
          <cell r="U982">
            <v>60.89206844580611</v>
          </cell>
        </row>
        <row r="983">
          <cell r="C983" t="str">
            <v>Wines &amp; Spirits</v>
          </cell>
          <cell r="D983">
            <v>136718.96444000001</v>
          </cell>
          <cell r="E983">
            <v>107600</v>
          </cell>
          <cell r="F983">
            <v>27.062234609665438</v>
          </cell>
          <cell r="G983">
            <v>27163.577799999999</v>
          </cell>
          <cell r="H983">
            <v>18458.323034838882</v>
          </cell>
          <cell r="I983">
            <v>47.161677410946353</v>
          </cell>
          <cell r="J983">
            <v>1489.37581</v>
          </cell>
          <cell r="K983">
            <v>1498.0273336363637</v>
          </cell>
          <cell r="L983">
            <v>-0.57752775547577317</v>
          </cell>
          <cell r="M983">
            <v>8297.9526700000006</v>
          </cell>
          <cell r="N983">
            <v>6141.8259937079019</v>
          </cell>
          <cell r="O983">
            <v>-35.105629474051838</v>
          </cell>
          <cell r="P983">
            <v>-1764.7998</v>
          </cell>
          <cell r="Q983">
            <v>50.628000000000007</v>
          </cell>
          <cell r="R983">
            <v>3585.8177293197436</v>
          </cell>
          <cell r="S983">
            <v>22119.800739999999</v>
          </cell>
          <cell r="T983">
            <v>13763.896374767344</v>
          </cell>
          <cell r="U983">
            <v>60.708858434528111</v>
          </cell>
        </row>
        <row r="984">
          <cell r="C984" t="str">
            <v xml:space="preserve">Total </v>
          </cell>
          <cell r="D984">
            <v>6878834.5502000004</v>
          </cell>
          <cell r="E984">
            <v>6134011.4460896757</v>
          </cell>
          <cell r="F984">
            <v>12.1425124595282</v>
          </cell>
          <cell r="G984">
            <v>987040.63056000019</v>
          </cell>
          <cell r="H984">
            <v>936940.78816930403</v>
          </cell>
          <cell r="I984">
            <v>5.347172737413497</v>
          </cell>
          <cell r="J984">
            <v>94641.448400000008</v>
          </cell>
          <cell r="K984">
            <v>102160.59718108182</v>
          </cell>
          <cell r="L984">
            <v>-7.3601261039556736</v>
          </cell>
          <cell r="M984">
            <v>687760.52833000012</v>
          </cell>
          <cell r="N984">
            <v>635494.88820752793</v>
          </cell>
          <cell r="O984">
            <v>-8.224399769743588</v>
          </cell>
          <cell r="P984">
            <v>89244.846170000019</v>
          </cell>
          <cell r="Q984">
            <v>97222.715310909087</v>
          </cell>
          <cell r="R984">
            <v>8.2057666414650043</v>
          </cell>
          <cell r="S984">
            <v>304676.70445999992</v>
          </cell>
          <cell r="T984">
            <v>306383.78183194884</v>
          </cell>
          <cell r="U984">
            <v>-0.55716962619295973</v>
          </cell>
        </row>
        <row r="1003">
          <cell r="V1003">
            <v>31</v>
          </cell>
          <cell r="AQ1003" t="str">
            <v>Schedule 4</v>
          </cell>
        </row>
        <row r="1004">
          <cell r="V1004" t="str">
            <v>CARGILLS ( CEYLON ) LTD</v>
          </cell>
        </row>
        <row r="1006">
          <cell r="V1006" t="str">
            <v xml:space="preserve"> Indirect &amp; Service Division Expenses  -Twelve  months ended 31st March 2004 </v>
          </cell>
        </row>
        <row r="1007">
          <cell r="W1007" t="str">
            <v>YTD V BUD</v>
          </cell>
          <cell r="AR1007">
            <v>38154.357810300928</v>
          </cell>
        </row>
        <row r="1008">
          <cell r="V1008" t="str">
            <v>Indirect - Strategic Business Units (SBUs)</v>
          </cell>
        </row>
        <row r="1009">
          <cell r="V1009" t="str">
            <v>Cost Centre</v>
          </cell>
          <cell r="X1009" t="str">
            <v>Staff Related</v>
          </cell>
          <cell r="AA1009" t="str">
            <v xml:space="preserve">Administration </v>
          </cell>
          <cell r="AD1009" t="str">
            <v xml:space="preserve">Establishment </v>
          </cell>
          <cell r="AG1009" t="str">
            <v>Selling &amp; Distribution</v>
          </cell>
          <cell r="AJ1009" t="str">
            <v>Expenses</v>
          </cell>
          <cell r="AM1009" t="str">
            <v>Depreciation</v>
          </cell>
          <cell r="AP1009" t="str">
            <v>Finance</v>
          </cell>
        </row>
        <row r="1010">
          <cell r="X1010">
            <v>38047</v>
          </cell>
          <cell r="Y1010" t="str">
            <v>Budget</v>
          </cell>
          <cell r="Z1010" t="str">
            <v>Var %</v>
          </cell>
          <cell r="AA1010">
            <v>38047</v>
          </cell>
          <cell r="AB1010" t="str">
            <v>Budget</v>
          </cell>
          <cell r="AC1010" t="str">
            <v>Var %</v>
          </cell>
          <cell r="AD1010">
            <v>38047</v>
          </cell>
          <cell r="AE1010" t="str">
            <v>Budget</v>
          </cell>
          <cell r="AF1010" t="str">
            <v>Var %</v>
          </cell>
          <cell r="AG1010">
            <v>38047</v>
          </cell>
          <cell r="AH1010" t="str">
            <v>Budget</v>
          </cell>
          <cell r="AI1010" t="str">
            <v>Var %</v>
          </cell>
          <cell r="AJ1010">
            <v>38047</v>
          </cell>
          <cell r="AK1010" t="str">
            <v>Budget</v>
          </cell>
          <cell r="AL1010" t="str">
            <v>Var %</v>
          </cell>
          <cell r="AM1010">
            <v>38047</v>
          </cell>
          <cell r="AN1010" t="str">
            <v>Budget</v>
          </cell>
          <cell r="AO1010" t="str">
            <v>Var %</v>
          </cell>
          <cell r="AP1010">
            <v>0</v>
          </cell>
          <cell r="AQ1010" t="str">
            <v>Budget</v>
          </cell>
          <cell r="AR1010" t="str">
            <v>Var %</v>
          </cell>
        </row>
        <row r="1011">
          <cell r="W1011" t="str">
            <v>Food City Operations</v>
          </cell>
          <cell r="X1011">
            <v>11453.761710000001</v>
          </cell>
          <cell r="Y1011">
            <v>10935.541263058314</v>
          </cell>
          <cell r="Z1011">
            <v>-4.7388641721128417</v>
          </cell>
          <cell r="AA1011">
            <v>8851.9627300000011</v>
          </cell>
          <cell r="AB1011">
            <v>6206.4702747272759</v>
          </cell>
          <cell r="AC1011">
            <v>-42.624750271424986</v>
          </cell>
          <cell r="AD1011">
            <v>9037.98819</v>
          </cell>
          <cell r="AE1011">
            <v>6583.2513599999984</v>
          </cell>
          <cell r="AF1011">
            <v>-37.287606013573246</v>
          </cell>
          <cell r="AG1011">
            <v>2336.36679</v>
          </cell>
          <cell r="AH1011">
            <v>1646.5359360000004</v>
          </cell>
          <cell r="AI1011">
            <v>-41.895888144162527</v>
          </cell>
          <cell r="AJ1011">
            <v>31680.079420000002</v>
          </cell>
          <cell r="AK1011">
            <v>25371.79883378559</v>
          </cell>
          <cell r="AL1011">
            <v>-24.863355679039127</v>
          </cell>
          <cell r="AM1011">
            <v>350.10550000000001</v>
          </cell>
          <cell r="AN1011">
            <v>146.07599999999999</v>
          </cell>
          <cell r="AO1011">
            <v>-139.67352610969635</v>
          </cell>
          <cell r="AP1011">
            <v>0</v>
          </cell>
          <cell r="AQ1011">
            <v>0</v>
          </cell>
          <cell r="AR1011">
            <v>0</v>
          </cell>
        </row>
        <row r="1012">
          <cell r="W1012" t="str">
            <v>Wharf</v>
          </cell>
          <cell r="X1012">
            <v>302.56554</v>
          </cell>
          <cell r="Y1012">
            <v>502.88470780957431</v>
          </cell>
          <cell r="Z1012">
            <v>39.834014576046428</v>
          </cell>
          <cell r="AA1012">
            <v>117.37025</v>
          </cell>
          <cell r="AB1012">
            <v>133.08752214545456</v>
          </cell>
          <cell r="AC1012">
            <v>11.80972633052464</v>
          </cell>
          <cell r="AD1012">
            <v>8.1062100000000008</v>
          </cell>
          <cell r="AE1012">
            <v>4.3233840000000017</v>
          </cell>
          <cell r="AF1012">
            <v>-87.496877446000582</v>
          </cell>
          <cell r="AG1012">
            <v>1.0605</v>
          </cell>
          <cell r="AH1012">
            <v>0</v>
          </cell>
          <cell r="AI1012">
            <v>0</v>
          </cell>
          <cell r="AJ1012">
            <v>429.10249999999996</v>
          </cell>
          <cell r="AK1012">
            <v>640.2956139550289</v>
          </cell>
          <cell r="AL1012">
            <v>32.983688994918225</v>
          </cell>
          <cell r="AM1012">
            <v>1.6205000000000001</v>
          </cell>
          <cell r="AN1012">
            <v>0</v>
          </cell>
          <cell r="AO1012">
            <v>0</v>
          </cell>
          <cell r="AP1012">
            <v>45.010379999999998</v>
          </cell>
          <cell r="AQ1012">
            <v>0</v>
          </cell>
          <cell r="AR1012">
            <v>0</v>
          </cell>
        </row>
        <row r="1013">
          <cell r="W1013" t="str">
            <v>Cellar &amp; Packing Hall</v>
          </cell>
          <cell r="X1013">
            <v>17237.544750000001</v>
          </cell>
          <cell r="Y1013">
            <v>19164.407685132981</v>
          </cell>
          <cell r="Z1013">
            <v>10.054382931061141</v>
          </cell>
          <cell r="AA1013">
            <v>1330.11283</v>
          </cell>
          <cell r="AB1013">
            <v>1010.2011940363636</v>
          </cell>
          <cell r="AC1013">
            <v>-31.668111050769625</v>
          </cell>
          <cell r="AD1013">
            <v>64.345590000000001</v>
          </cell>
          <cell r="AE1013">
            <v>949.53967600000021</v>
          </cell>
          <cell r="AF1013">
            <v>93.223496434497591</v>
          </cell>
          <cell r="AG1013">
            <v>76.932019999999994</v>
          </cell>
          <cell r="AH1013">
            <v>70.344000000000008</v>
          </cell>
          <cell r="AI1013">
            <v>-9.3654327305811229</v>
          </cell>
          <cell r="AJ1013">
            <v>18708.93519</v>
          </cell>
          <cell r="AK1013">
            <v>21194.492555169345</v>
          </cell>
          <cell r="AL1013">
            <v>11.72737379156132</v>
          </cell>
          <cell r="AM1013">
            <v>74.036500000000004</v>
          </cell>
          <cell r="AN1013">
            <v>73.739999999999981</v>
          </cell>
          <cell r="AO1013">
            <v>-0.40208841876867801</v>
          </cell>
          <cell r="AP1013">
            <v>0</v>
          </cell>
          <cell r="AQ1013">
            <v>0</v>
          </cell>
          <cell r="AR1013">
            <v>0</v>
          </cell>
        </row>
        <row r="1014">
          <cell r="W1014" t="str">
            <v>SBUs</v>
          </cell>
          <cell r="X1014">
            <v>28993.872000000003</v>
          </cell>
          <cell r="Y1014">
            <v>30602.833656000868</v>
          </cell>
          <cell r="Z1014">
            <v>5.2575577611106814</v>
          </cell>
          <cell r="AA1014">
            <v>10299.445810000001</v>
          </cell>
          <cell r="AB1014">
            <v>7349.7589909090939</v>
          </cell>
          <cell r="AC1014">
            <v>-40.133109435824636</v>
          </cell>
          <cell r="AD1014">
            <v>9110.4399900000008</v>
          </cell>
          <cell r="AE1014">
            <v>7537.114419999999</v>
          </cell>
          <cell r="AF1014">
            <v>-20.874375554457909</v>
          </cell>
          <cell r="AG1014">
            <v>2414.3593100000003</v>
          </cell>
          <cell r="AH1014">
            <v>1716.8799360000005</v>
          </cell>
          <cell r="AI1014">
            <v>-40.624819439907505</v>
          </cell>
          <cell r="AJ1014">
            <v>50818.117110000007</v>
          </cell>
          <cell r="AK1014">
            <v>47206.587002909961</v>
          </cell>
          <cell r="AL1014">
            <v>-7.6504791733141397</v>
          </cell>
          <cell r="AM1014">
            <v>425.76249999999999</v>
          </cell>
          <cell r="AN1014">
            <v>219.81599999999997</v>
          </cell>
          <cell r="AO1014">
            <v>-93.69040470211452</v>
          </cell>
          <cell r="AP1014">
            <v>45.010379999999998</v>
          </cell>
          <cell r="AQ1014">
            <v>0</v>
          </cell>
          <cell r="AR1014">
            <v>0</v>
          </cell>
        </row>
        <row r="1015">
          <cell r="V1015" t="str">
            <v>Indirect - Support Service Units (SSUs)</v>
          </cell>
        </row>
        <row r="1016">
          <cell r="V1016" t="str">
            <v>Cost Centre</v>
          </cell>
          <cell r="X1016" t="str">
            <v>Staff Related</v>
          </cell>
          <cell r="AA1016" t="str">
            <v xml:space="preserve">Administration </v>
          </cell>
          <cell r="AD1016" t="str">
            <v xml:space="preserve">Establishment </v>
          </cell>
          <cell r="AG1016" t="str">
            <v>Selling &amp; Distribution</v>
          </cell>
          <cell r="AJ1016" t="str">
            <v>Expenses</v>
          </cell>
          <cell r="AM1016" t="str">
            <v>Depreciation</v>
          </cell>
          <cell r="AP1016" t="str">
            <v>Finance</v>
          </cell>
        </row>
        <row r="1017">
          <cell r="X1017">
            <v>38047</v>
          </cell>
          <cell r="Y1017" t="str">
            <v>Budget</v>
          </cell>
          <cell r="Z1017" t="str">
            <v>Var %</v>
          </cell>
          <cell r="AA1017">
            <v>38047</v>
          </cell>
          <cell r="AB1017" t="str">
            <v>Budget</v>
          </cell>
          <cell r="AC1017" t="str">
            <v>Var %</v>
          </cell>
          <cell r="AD1017">
            <v>38047</v>
          </cell>
          <cell r="AE1017" t="str">
            <v>Budget</v>
          </cell>
          <cell r="AF1017" t="str">
            <v>Var %</v>
          </cell>
          <cell r="AG1017">
            <v>38047</v>
          </cell>
          <cell r="AH1017" t="str">
            <v>Budget</v>
          </cell>
          <cell r="AI1017" t="str">
            <v>Var %</v>
          </cell>
          <cell r="AJ1017">
            <v>38047</v>
          </cell>
          <cell r="AK1017" t="str">
            <v>Budget</v>
          </cell>
          <cell r="AL1017" t="str">
            <v>Var %</v>
          </cell>
          <cell r="AM1017">
            <v>38047</v>
          </cell>
          <cell r="AN1017" t="str">
            <v>Budget</v>
          </cell>
          <cell r="AO1017" t="str">
            <v>Var %</v>
          </cell>
          <cell r="AP1017">
            <v>38047</v>
          </cell>
          <cell r="AQ1017" t="str">
            <v>Budget</v>
          </cell>
          <cell r="AR1017" t="str">
            <v>Var %</v>
          </cell>
        </row>
        <row r="1018">
          <cell r="W1018" t="str">
            <v>Mngt &amp; Secretarial</v>
          </cell>
          <cell r="X1018">
            <v>6059.4023900000002</v>
          </cell>
          <cell r="Y1018">
            <v>12443.579554126689</v>
          </cell>
          <cell r="Z1018">
            <v>51.304989342953903</v>
          </cell>
          <cell r="AA1018">
            <v>14986.025390000001</v>
          </cell>
          <cell r="AB1018">
            <v>12604.506673527279</v>
          </cell>
          <cell r="AC1018">
            <v>-18.894184264065849</v>
          </cell>
          <cell r="AD1018">
            <v>1674.98903</v>
          </cell>
          <cell r="AE1018">
            <v>1735.1894356363637</v>
          </cell>
          <cell r="AF1018">
            <v>3.4693852094763251</v>
          </cell>
          <cell r="AG1018">
            <v>286.03219999999999</v>
          </cell>
          <cell r="AH1018">
            <v>38.378399999999999</v>
          </cell>
          <cell r="AI1018">
            <v>-645.29474912971875</v>
          </cell>
          <cell r="AJ1018">
            <v>23006.449010000004</v>
          </cell>
          <cell r="AK1018">
            <v>26821.654063290334</v>
          </cell>
          <cell r="AL1018">
            <v>14.224346657695659</v>
          </cell>
          <cell r="AM1018">
            <v>2229.0124999999998</v>
          </cell>
          <cell r="AN1018">
            <v>2824.8119999999999</v>
          </cell>
          <cell r="AO1018">
            <v>21.091651409014126</v>
          </cell>
          <cell r="AP1018">
            <v>0</v>
          </cell>
          <cell r="AQ1018">
            <v>0</v>
          </cell>
          <cell r="AR1018">
            <v>0</v>
          </cell>
        </row>
        <row r="1019">
          <cell r="W1019" t="str">
            <v>Finance</v>
          </cell>
          <cell r="X1019">
            <v>8678.2615900000001</v>
          </cell>
          <cell r="Y1019">
            <v>9471.5329893226772</v>
          </cell>
          <cell r="Z1019">
            <v>8.3753221386330736</v>
          </cell>
          <cell r="AA1019">
            <v>2442.7581100000002</v>
          </cell>
          <cell r="AB1019">
            <v>1835.0178380727268</v>
          </cell>
          <cell r="AC1019">
            <v>-33.119038917113073</v>
          </cell>
          <cell r="AD1019">
            <v>242.67131000000001</v>
          </cell>
          <cell r="AE1019">
            <v>291.42074618181817</v>
          </cell>
          <cell r="AF1019">
            <v>16.728196883897645</v>
          </cell>
          <cell r="AG1019">
            <v>386.1019</v>
          </cell>
          <cell r="AH1019">
            <v>71.86490400000001</v>
          </cell>
          <cell r="AI1019">
            <v>-437.26071908479821</v>
          </cell>
          <cell r="AJ1019">
            <v>11749.79291</v>
          </cell>
          <cell r="AK1019">
            <v>11669.836477577222</v>
          </cell>
          <cell r="AL1019">
            <v>-0.68515469412453522</v>
          </cell>
          <cell r="AM1019">
            <v>89.231499999999997</v>
          </cell>
          <cell r="AN1019">
            <v>103.5</v>
          </cell>
          <cell r="AO1019">
            <v>13.785990338164252</v>
          </cell>
          <cell r="AP1019">
            <v>0</v>
          </cell>
          <cell r="AQ1019">
            <v>0</v>
          </cell>
          <cell r="AR1019">
            <v>0</v>
          </cell>
        </row>
        <row r="1020">
          <cell r="W1020" t="str">
            <v>Human Resources</v>
          </cell>
          <cell r="X1020">
            <v>5486.2964300000003</v>
          </cell>
          <cell r="Y1020">
            <v>4860.7568646626905</v>
          </cell>
          <cell r="Z1020">
            <v>-12.869180309859393</v>
          </cell>
          <cell r="AA1020">
            <v>9058.8382399999991</v>
          </cell>
          <cell r="AB1020">
            <v>8207.4411437454528</v>
          </cell>
          <cell r="AC1020">
            <v>-10.373477937193133</v>
          </cell>
          <cell r="AD1020">
            <v>168.20107999999999</v>
          </cell>
          <cell r="AE1020">
            <v>109.21787345454548</v>
          </cell>
          <cell r="AF1020">
            <v>-54.005086053980222</v>
          </cell>
          <cell r="AG1020">
            <v>311.70954</v>
          </cell>
          <cell r="AH1020">
            <v>144.21391200000002</v>
          </cell>
          <cell r="AI1020">
            <v>-116.14387660463711</v>
          </cell>
          <cell r="AJ1020">
            <v>15025.04529</v>
          </cell>
          <cell r="AK1020">
            <v>13321.629793862689</v>
          </cell>
          <cell r="AL1020">
            <v>-12.786840067587523</v>
          </cell>
          <cell r="AM1020">
            <v>388.0335</v>
          </cell>
          <cell r="AN1020">
            <v>466.48800000000011</v>
          </cell>
          <cell r="AO1020">
            <v>16.81811750784588</v>
          </cell>
          <cell r="AP1020">
            <v>0</v>
          </cell>
          <cell r="AQ1020">
            <v>0</v>
          </cell>
          <cell r="AR1020">
            <v>0</v>
          </cell>
        </row>
        <row r="1021">
          <cell r="W1021" t="str">
            <v>Maintenance</v>
          </cell>
          <cell r="X1021">
            <v>560.47986000000003</v>
          </cell>
          <cell r="Y1021">
            <v>486.29916438700144</v>
          </cell>
          <cell r="Z1021">
            <v>-15.254127715087929</v>
          </cell>
          <cell r="AA1021">
            <v>373.63450999999998</v>
          </cell>
          <cell r="AB1021">
            <v>295.76031861818177</v>
          </cell>
          <cell r="AC1021">
            <v>-26.330168883254281</v>
          </cell>
          <cell r="AD1021">
            <v>452.83602999999999</v>
          </cell>
          <cell r="AE1021">
            <v>252.69250909090911</v>
          </cell>
          <cell r="AF1021">
            <v>-79.204374371496272</v>
          </cell>
          <cell r="AG1021">
            <v>0</v>
          </cell>
          <cell r="AH1021">
            <v>0.16302000000000005</v>
          </cell>
          <cell r="AI1021">
            <v>100</v>
          </cell>
          <cell r="AJ1021">
            <v>1386.9503999999999</v>
          </cell>
          <cell r="AK1021">
            <v>1034.9150120960924</v>
          </cell>
          <cell r="AL1021">
            <v>-34.015874133558412</v>
          </cell>
          <cell r="AM1021">
            <v>27.7685</v>
          </cell>
          <cell r="AN1021">
            <v>34.58400000000001</v>
          </cell>
          <cell r="AO1021">
            <v>19.707089983807567</v>
          </cell>
          <cell r="AP1021">
            <v>0</v>
          </cell>
          <cell r="AQ1021">
            <v>0</v>
          </cell>
          <cell r="AR1021">
            <v>0</v>
          </cell>
        </row>
        <row r="1022">
          <cell r="W1022" t="str">
            <v>Internal Audit</v>
          </cell>
          <cell r="X1022">
            <v>1431.47244</v>
          </cell>
          <cell r="Y1022">
            <v>1461.4383964855704</v>
          </cell>
          <cell r="Z1022">
            <v>2.0504426705656376</v>
          </cell>
          <cell r="AA1022">
            <v>453.43205999999998</v>
          </cell>
          <cell r="AB1022">
            <v>475.13099814545461</v>
          </cell>
          <cell r="AC1022">
            <v>4.5669380087071927</v>
          </cell>
          <cell r="AD1022">
            <v>37.380989999999997</v>
          </cell>
          <cell r="AE1022">
            <v>47.227640727272728</v>
          </cell>
          <cell r="AF1022">
            <v>20.849338598416473</v>
          </cell>
          <cell r="AG1022">
            <v>0.70050000000000001</v>
          </cell>
          <cell r="AH1022">
            <v>0</v>
          </cell>
          <cell r="AI1022">
            <v>0</v>
          </cell>
          <cell r="AJ1022">
            <v>1922.9859900000001</v>
          </cell>
          <cell r="AK1022">
            <v>1983.7970353582978</v>
          </cell>
          <cell r="AL1022">
            <v>3.0653864419811687</v>
          </cell>
          <cell r="AM1022">
            <v>0</v>
          </cell>
          <cell r="AN1022">
            <v>0</v>
          </cell>
          <cell r="AO1022">
            <v>0</v>
          </cell>
          <cell r="AP1022">
            <v>0</v>
          </cell>
          <cell r="AQ1022">
            <v>0</v>
          </cell>
          <cell r="AR1022">
            <v>0</v>
          </cell>
        </row>
        <row r="1023">
          <cell r="W1023" t="str">
            <v>Data Processing</v>
          </cell>
          <cell r="X1023">
            <v>3562.47399</v>
          </cell>
          <cell r="Y1023">
            <v>3227.363397529582</v>
          </cell>
          <cell r="Z1023">
            <v>-10.383416776893849</v>
          </cell>
          <cell r="AA1023">
            <v>1861.50549</v>
          </cell>
          <cell r="AB1023">
            <v>1226.0027705454543</v>
          </cell>
          <cell r="AC1023">
            <v>-51.835341218014349</v>
          </cell>
          <cell r="AD1023">
            <v>1878.7854400000001</v>
          </cell>
          <cell r="AE1023">
            <v>1073.583045818182</v>
          </cell>
          <cell r="AF1023">
            <v>-75.001407419597442</v>
          </cell>
          <cell r="AG1023">
            <v>227.9785</v>
          </cell>
          <cell r="AH1023">
            <v>262.791</v>
          </cell>
          <cell r="AI1023">
            <v>13.247219273110572</v>
          </cell>
          <cell r="AJ1023">
            <v>7530.7434199999998</v>
          </cell>
          <cell r="AK1023">
            <v>5789.7402138932184</v>
          </cell>
          <cell r="AL1023">
            <v>-30.070489206562716</v>
          </cell>
          <cell r="AM1023">
            <v>1279.6604600000001</v>
          </cell>
          <cell r="AN1023">
            <v>1039.6774254545458</v>
          </cell>
          <cell r="AO1023">
            <v>-23.082451217071874</v>
          </cell>
          <cell r="AP1023">
            <v>0</v>
          </cell>
          <cell r="AQ1023">
            <v>0</v>
          </cell>
          <cell r="AR1023">
            <v>0</v>
          </cell>
        </row>
        <row r="1024">
          <cell r="W1024" t="str">
            <v>Cash</v>
          </cell>
          <cell r="X1024">
            <v>387.75081999999998</v>
          </cell>
          <cell r="Y1024">
            <v>490.63460765251057</v>
          </cell>
          <cell r="Z1024">
            <v>20.969533344736561</v>
          </cell>
          <cell r="AA1024">
            <v>117.34647</v>
          </cell>
          <cell r="AB1024">
            <v>92.842935054545478</v>
          </cell>
          <cell r="AC1024">
            <v>-26.392460482920566</v>
          </cell>
          <cell r="AD1024">
            <v>3.0005000000000002</v>
          </cell>
          <cell r="AE1024">
            <v>0.91636363636363649</v>
          </cell>
          <cell r="AF1024">
            <v>-227.43551587301582</v>
          </cell>
          <cell r="AG1024">
            <v>45.412100000000002</v>
          </cell>
          <cell r="AH1024">
            <v>414.80459999999999</v>
          </cell>
          <cell r="AI1024">
            <v>89.052170588272162</v>
          </cell>
          <cell r="AJ1024">
            <v>553.50988999999993</v>
          </cell>
          <cell r="AK1024">
            <v>999.19850634341969</v>
          </cell>
          <cell r="AL1024">
            <v>44.604611947872428</v>
          </cell>
          <cell r="AM1024">
            <v>2.4845000000000002</v>
          </cell>
          <cell r="AN1024">
            <v>3.1079999999999992</v>
          </cell>
          <cell r="AO1024">
            <v>20.061132561132535</v>
          </cell>
          <cell r="AP1024">
            <v>0</v>
          </cell>
          <cell r="AQ1024">
            <v>0</v>
          </cell>
          <cell r="AR1024">
            <v>0</v>
          </cell>
        </row>
        <row r="1025">
          <cell r="W1025" t="str">
            <v>Security</v>
          </cell>
          <cell r="X1025">
            <v>1946.99252</v>
          </cell>
          <cell r="Y1025">
            <v>1847.911718491479</v>
          </cell>
          <cell r="Z1025">
            <v>-5.3617713723577936</v>
          </cell>
          <cell r="AA1025">
            <v>73.857240000000004</v>
          </cell>
          <cell r="AB1025">
            <v>93.886558581818178</v>
          </cell>
          <cell r="AC1025">
            <v>21.333531534616288</v>
          </cell>
          <cell r="AD1025">
            <v>11.247909999999999</v>
          </cell>
          <cell r="AE1025">
            <v>40.356130909090915</v>
          </cell>
          <cell r="AF1025">
            <v>72.128373690387122</v>
          </cell>
          <cell r="AG1025">
            <v>0</v>
          </cell>
          <cell r="AH1025">
            <v>0</v>
          </cell>
          <cell r="AI1025">
            <v>0</v>
          </cell>
          <cell r="AJ1025">
            <v>2032.0976700000001</v>
          </cell>
          <cell r="AK1025">
            <v>1982.1544079823882</v>
          </cell>
          <cell r="AL1025">
            <v>-2.519645382644462</v>
          </cell>
          <cell r="AM1025">
            <v>0</v>
          </cell>
          <cell r="AN1025">
            <v>0</v>
          </cell>
          <cell r="AO1025">
            <v>0</v>
          </cell>
          <cell r="AP1025">
            <v>0</v>
          </cell>
          <cell r="AQ1025">
            <v>0</v>
          </cell>
          <cell r="AR1025">
            <v>0</v>
          </cell>
        </row>
        <row r="1026">
          <cell r="W1026" t="str">
            <v>Work Shop</v>
          </cell>
          <cell r="X1026">
            <v>0</v>
          </cell>
          <cell r="Y1026">
            <v>0</v>
          </cell>
          <cell r="Z1026">
            <v>0</v>
          </cell>
          <cell r="AA1026">
            <v>0.54049999999999998</v>
          </cell>
          <cell r="AB1026">
            <v>0</v>
          </cell>
          <cell r="AC1026">
            <v>0</v>
          </cell>
          <cell r="AD1026">
            <v>0</v>
          </cell>
          <cell r="AE1026">
            <v>0</v>
          </cell>
          <cell r="AF1026">
            <v>0</v>
          </cell>
          <cell r="AG1026">
            <v>0</v>
          </cell>
          <cell r="AH1026">
            <v>0</v>
          </cell>
          <cell r="AI1026">
            <v>0</v>
          </cell>
          <cell r="AJ1026">
            <v>0.54049999999999998</v>
          </cell>
          <cell r="AK1026">
            <v>0</v>
          </cell>
          <cell r="AL1026">
            <v>0</v>
          </cell>
          <cell r="AM1026">
            <v>0</v>
          </cell>
          <cell r="AN1026">
            <v>0</v>
          </cell>
          <cell r="AO1026">
            <v>0</v>
          </cell>
          <cell r="AP1026">
            <v>0</v>
          </cell>
          <cell r="AQ1026">
            <v>0</v>
          </cell>
          <cell r="AR1026">
            <v>0</v>
          </cell>
        </row>
        <row r="1027">
          <cell r="W1027" t="str">
            <v>Refrigeration Unit</v>
          </cell>
          <cell r="X1027">
            <v>2336.60293</v>
          </cell>
          <cell r="Y1027">
            <v>1624.4890132541743</v>
          </cell>
          <cell r="Z1027">
            <v>-43.836179311506704</v>
          </cell>
          <cell r="AA1027">
            <v>748.43463999999994</v>
          </cell>
          <cell r="AB1027">
            <v>369.21682636363636</v>
          </cell>
          <cell r="AC1027">
            <v>-102.70870300555517</v>
          </cell>
          <cell r="AD1027">
            <v>236.66314</v>
          </cell>
          <cell r="AE1027">
            <v>193.87814399999993</v>
          </cell>
          <cell r="AF1027">
            <v>-22.067983072914128</v>
          </cell>
          <cell r="AG1027">
            <v>493.01844</v>
          </cell>
          <cell r="AH1027">
            <v>0.169488</v>
          </cell>
          <cell r="AI1027">
            <v>0</v>
          </cell>
          <cell r="AJ1027">
            <v>3814.7191499999999</v>
          </cell>
          <cell r="AK1027">
            <v>2187.7534716178106</v>
          </cell>
          <cell r="AL1027">
            <v>-74.366956765886101</v>
          </cell>
          <cell r="AM1027">
            <v>8.0764999999999993</v>
          </cell>
          <cell r="AN1027">
            <v>7.9679999999999991</v>
          </cell>
          <cell r="AO1027">
            <v>-1.3616967871485979</v>
          </cell>
          <cell r="AP1027">
            <v>0</v>
          </cell>
          <cell r="AQ1027">
            <v>0</v>
          </cell>
          <cell r="AR1027">
            <v>0</v>
          </cell>
        </row>
        <row r="1028">
          <cell r="W1028" t="str">
            <v>General</v>
          </cell>
          <cell r="X1028">
            <v>1173.93065</v>
          </cell>
          <cell r="Y1028">
            <v>859.40067054545432</v>
          </cell>
          <cell r="Z1028">
            <v>-36.598758906589659</v>
          </cell>
          <cell r="AA1028">
            <v>6014.7473499999996</v>
          </cell>
          <cell r="AB1028">
            <v>5901.595213636364</v>
          </cell>
          <cell r="AC1028">
            <v>-1.917314425465571</v>
          </cell>
          <cell r="AD1028">
            <v>19642.060320000001</v>
          </cell>
          <cell r="AE1028">
            <v>23597.207465090898</v>
          </cell>
          <cell r="AF1028">
            <v>16.761081373472013</v>
          </cell>
          <cell r="AG1028">
            <v>1800.7343000000001</v>
          </cell>
          <cell r="AH1028">
            <v>433.23104399999988</v>
          </cell>
          <cell r="AI1028">
            <v>-315.6521848882096</v>
          </cell>
          <cell r="AJ1028">
            <v>28631.47262</v>
          </cell>
          <cell r="AK1028">
            <v>30791.434393272717</v>
          </cell>
          <cell r="AL1028">
            <v>7.0148137488022417</v>
          </cell>
          <cell r="AM1028">
            <v>3081.92814</v>
          </cell>
          <cell r="AN1028">
            <v>736.07579999999996</v>
          </cell>
          <cell r="AO1028">
            <v>-318.69711516123749</v>
          </cell>
          <cell r="AP1028">
            <v>86199.537119999994</v>
          </cell>
          <cell r="AQ1028">
            <v>68569.305842066751</v>
          </cell>
          <cell r="AR1028">
            <v>-25.71154988580507</v>
          </cell>
        </row>
        <row r="1029">
          <cell r="W1029" t="str">
            <v>Whouse M'kuliya</v>
          </cell>
          <cell r="X1029">
            <v>300</v>
          </cell>
          <cell r="Y1029">
            <v>0</v>
          </cell>
          <cell r="Z1029">
            <v>0</v>
          </cell>
          <cell r="AA1029">
            <v>226</v>
          </cell>
          <cell r="AB1029">
            <v>0</v>
          </cell>
          <cell r="AC1029">
            <v>0</v>
          </cell>
          <cell r="AD1029">
            <v>1001</v>
          </cell>
          <cell r="AE1029">
            <v>0</v>
          </cell>
          <cell r="AF1029">
            <v>0</v>
          </cell>
          <cell r="AG1029">
            <v>15</v>
          </cell>
          <cell r="AH1029">
            <v>0</v>
          </cell>
          <cell r="AI1029">
            <v>0</v>
          </cell>
          <cell r="AJ1029">
            <v>1542</v>
          </cell>
          <cell r="AK1029">
            <v>0</v>
          </cell>
          <cell r="AL1029">
            <v>0</v>
          </cell>
          <cell r="AM1029">
            <v>0</v>
          </cell>
          <cell r="AN1029">
            <v>0</v>
          </cell>
          <cell r="AO1029">
            <v>0</v>
          </cell>
          <cell r="AP1029">
            <v>0</v>
          </cell>
          <cell r="AQ1029">
            <v>0</v>
          </cell>
          <cell r="AR1029">
            <v>0</v>
          </cell>
        </row>
        <row r="1030">
          <cell r="W1030" t="str">
            <v>SSUs</v>
          </cell>
          <cell r="X1030">
            <v>31923.663619999999</v>
          </cell>
          <cell r="Y1030">
            <v>36773.406376457824</v>
          </cell>
          <cell r="Z1030">
            <v>13.188179269578379</v>
          </cell>
          <cell r="AA1030">
            <v>36357.120000000003</v>
          </cell>
          <cell r="AB1030">
            <v>31101.401276290911</v>
          </cell>
          <cell r="AC1030">
            <v>-16.89865571335401</v>
          </cell>
          <cell r="AD1030">
            <v>25348.835749999998</v>
          </cell>
          <cell r="AE1030">
            <v>27341.689354545444</v>
          </cell>
          <cell r="AF1030">
            <v>7.2886996070494883</v>
          </cell>
          <cell r="AG1030">
            <v>3566.6874800000005</v>
          </cell>
          <cell r="AH1030">
            <v>1365.616368</v>
          </cell>
          <cell r="AI1030">
            <v>-161.17785079154825</v>
          </cell>
          <cell r="AJ1030">
            <v>97196.306850000008</v>
          </cell>
          <cell r="AK1030">
            <v>96582.113375294182</v>
          </cell>
          <cell r="AL1030">
            <v>-0.63592880010734698</v>
          </cell>
          <cell r="AM1030">
            <v>7106.1956</v>
          </cell>
          <cell r="AN1030">
            <v>5216.213225454545</v>
          </cell>
          <cell r="AO1030">
            <v>-36.232843498853725</v>
          </cell>
          <cell r="AP1030">
            <v>86199.537119999994</v>
          </cell>
          <cell r="AQ1030">
            <v>68569.305842066751</v>
          </cell>
          <cell r="AR1030">
            <v>-25.71154988580507</v>
          </cell>
        </row>
        <row r="1031">
          <cell r="W1031" t="str">
            <v>Total</v>
          </cell>
          <cell r="X1031">
            <v>60917.535620000002</v>
          </cell>
          <cell r="Y1031">
            <v>67376.240032458692</v>
          </cell>
          <cell r="Z1031">
            <v>9.5860267793916538</v>
          </cell>
          <cell r="AA1031">
            <v>46656.56581</v>
          </cell>
          <cell r="AB1031">
            <v>38451.160267200008</v>
          </cell>
          <cell r="AC1031">
            <v>-21.339812598059488</v>
          </cell>
          <cell r="AD1031">
            <v>34459.275739999997</v>
          </cell>
          <cell r="AE1031">
            <v>34878.803774545442</v>
          </cell>
          <cell r="AF1031">
            <v>1.2028165795399681</v>
          </cell>
          <cell r="AG1031">
            <v>5981.0467900000003</v>
          </cell>
          <cell r="AH1031">
            <v>3082.4963040000002</v>
          </cell>
          <cell r="AI1031">
            <v>-94.032569714315542</v>
          </cell>
          <cell r="AJ1031">
            <v>148014.42396000001</v>
          </cell>
          <cell r="AK1031">
            <v>143788.70037820414</v>
          </cell>
          <cell r="AL1031">
            <v>-2.9388426007614279</v>
          </cell>
          <cell r="AM1031">
            <v>7531.9580999999998</v>
          </cell>
          <cell r="AN1031">
            <v>5436.0292254545448</v>
          </cell>
          <cell r="AO1031">
            <v>-38.556247356639247</v>
          </cell>
          <cell r="AP1031">
            <v>86244.547500000001</v>
          </cell>
          <cell r="AQ1031">
            <v>68569.305842066751</v>
          </cell>
          <cell r="AR1031">
            <v>-25.777192055354924</v>
          </cell>
        </row>
        <row r="1044">
          <cell r="AS1044">
            <v>28</v>
          </cell>
          <cell r="BB1044" t="str">
            <v>Schedule 1</v>
          </cell>
        </row>
        <row r="1045">
          <cell r="AS1045" t="str">
            <v>CARGILLS ( CEYLON ) LTD</v>
          </cell>
        </row>
        <row r="1047">
          <cell r="AS1047" t="str">
            <v xml:space="preserve"> Summarised Profit &amp; Loss Account  -Twelve  months ended 31st March 2004 (compared to Budget)</v>
          </cell>
        </row>
        <row r="1048">
          <cell r="AT1048" t="str">
            <v>YTD V BUD</v>
          </cell>
          <cell r="BC1048">
            <v>38154.357810300928</v>
          </cell>
        </row>
        <row r="1049">
          <cell r="AS1049" t="str">
            <v>Particulars</v>
          </cell>
          <cell r="AX1049">
            <v>38047</v>
          </cell>
          <cell r="AZ1049" t="str">
            <v>Budget</v>
          </cell>
          <cell r="BB1049" t="str">
            <v>Var</v>
          </cell>
          <cell r="BD1049" t="str">
            <v>Revised Budget 96/97</v>
          </cell>
          <cell r="BF1049" t="str">
            <v>Var %</v>
          </cell>
        </row>
        <row r="1050">
          <cell r="AX1050" t="str">
            <v>Rs 000's</v>
          </cell>
          <cell r="AY1050" t="str">
            <v>%</v>
          </cell>
          <cell r="AZ1050" t="str">
            <v>Rs 000's</v>
          </cell>
          <cell r="BA1050" t="str">
            <v>%</v>
          </cell>
          <cell r="BB1050" t="str">
            <v>Rs 000's</v>
          </cell>
          <cell r="BC1050" t="str">
            <v>%</v>
          </cell>
          <cell r="BD1050" t="str">
            <v>Rs 000's</v>
          </cell>
          <cell r="BE1050" t="str">
            <v>%</v>
          </cell>
          <cell r="BF1050" t="str">
            <v>Rs 000's</v>
          </cell>
          <cell r="BG1050" t="str">
            <v>%</v>
          </cell>
        </row>
        <row r="1051">
          <cell r="AT1051" t="str">
            <v>Gross Turnover</v>
          </cell>
          <cell r="AX1051">
            <v>6878834.5502000004</v>
          </cell>
          <cell r="AY1051">
            <v>100</v>
          </cell>
          <cell r="AZ1051">
            <v>6134011.4460896757</v>
          </cell>
          <cell r="BA1051">
            <v>100</v>
          </cell>
          <cell r="BB1051">
            <v>744823.10411032476</v>
          </cell>
          <cell r="BC1051">
            <v>12.1425124595282</v>
          </cell>
          <cell r="BD1051">
            <v>1283979</v>
          </cell>
          <cell r="BE1051">
            <v>100</v>
          </cell>
          <cell r="BF1051">
            <v>-5594855.5502000004</v>
          </cell>
          <cell r="BG1051">
            <v>-435.74354021366395</v>
          </cell>
        </row>
        <row r="1052">
          <cell r="AT1052" t="str">
            <v>Turnover Tax</v>
          </cell>
          <cell r="AX1052">
            <v>95065.85</v>
          </cell>
          <cell r="AY1052">
            <v>1.3820051827999846</v>
          </cell>
          <cell r="AZ1052">
            <v>84681.505075583656</v>
          </cell>
          <cell r="BA1052">
            <v>1.3805240798754397</v>
          </cell>
          <cell r="BB1052">
            <v>-10384.344924416349</v>
          </cell>
          <cell r="BC1052">
            <v>-12.262825176699041</v>
          </cell>
        </row>
        <row r="1053">
          <cell r="AT1053" t="str">
            <v>TURNOVER AFTER TURNOVER TAX</v>
          </cell>
          <cell r="AW1053" t="str">
            <v>A</v>
          </cell>
          <cell r="AX1053">
            <v>6783768.7002000008</v>
          </cell>
          <cell r="AY1053">
            <v>98.617994817200014</v>
          </cell>
          <cell r="AZ1053">
            <v>6049329.9410140924</v>
          </cell>
          <cell r="BA1053">
            <v>98.619475920124572</v>
          </cell>
          <cell r="BB1053">
            <v>734438.75918590836</v>
          </cell>
          <cell r="BC1053">
            <v>12.140828262754489</v>
          </cell>
        </row>
        <row r="1054">
          <cell r="AT1054" t="str">
            <v>COST OF SALES</v>
          </cell>
          <cell r="AW1054" t="str">
            <v>B</v>
          </cell>
          <cell r="AX1054">
            <v>5755373.0696400004</v>
          </cell>
          <cell r="AY1054">
            <v>83.667851401843421</v>
          </cell>
          <cell r="AZ1054">
            <v>5083624.1664720979</v>
          </cell>
          <cell r="BA1054">
            <v>82.8760137008355</v>
          </cell>
          <cell r="BB1054">
            <v>-671748.90316790249</v>
          </cell>
          <cell r="BC1054">
            <v>-13.213976509087191</v>
          </cell>
        </row>
        <row r="1055">
          <cell r="AT1055" t="str">
            <v>POTENTIAL GROSS PROFIT</v>
          </cell>
          <cell r="AV1055" t="str">
            <v>(A-B)</v>
          </cell>
          <cell r="AW1055" t="str">
            <v>C</v>
          </cell>
          <cell r="AX1055">
            <v>1028395.6305600002</v>
          </cell>
          <cell r="AY1055">
            <v>14.950143415356601</v>
          </cell>
          <cell r="AZ1055">
            <v>965705.77454199409</v>
          </cell>
          <cell r="BA1055">
            <v>15.74346221928905</v>
          </cell>
          <cell r="BB1055">
            <v>62689.856018006103</v>
          </cell>
          <cell r="BC1055">
            <v>6.4916103507549243</v>
          </cell>
        </row>
        <row r="1056">
          <cell r="AT1056" t="str">
            <v>STOCK ADJUSTMENTS</v>
          </cell>
          <cell r="AW1056" t="str">
            <v>D</v>
          </cell>
          <cell r="AX1056">
            <v>-41355</v>
          </cell>
          <cell r="AY1056">
            <v>-0.60119195625656696</v>
          </cell>
          <cell r="AZ1056">
            <v>-28764.986372690037</v>
          </cell>
          <cell r="BA1056">
            <v>-0.46894249587726489</v>
          </cell>
          <cell r="BB1056">
            <v>-12590.013627309963</v>
          </cell>
          <cell r="BC1056">
            <v>-43.768536734865741</v>
          </cell>
        </row>
        <row r="1057">
          <cell r="AT1057" t="str">
            <v>ACHIEVED GROSS PROFIT</v>
          </cell>
          <cell r="AV1057" t="str">
            <v>(C-D)</v>
          </cell>
          <cell r="AW1057" t="str">
            <v>E</v>
          </cell>
          <cell r="AX1057">
            <v>987040.63056000019</v>
          </cell>
          <cell r="AY1057">
            <v>14.348951459100034</v>
          </cell>
          <cell r="AZ1057">
            <v>936940.78816930403</v>
          </cell>
          <cell r="BA1057">
            <v>15.274519723411785</v>
          </cell>
          <cell r="BB1057">
            <v>50099.842390696169</v>
          </cell>
          <cell r="BC1057">
            <v>5.347172737413497</v>
          </cell>
          <cell r="BD1057">
            <v>160271</v>
          </cell>
          <cell r="BE1057">
            <v>12.482369259933378</v>
          </cell>
          <cell r="BF1057">
            <v>-826769.63056000019</v>
          </cell>
          <cell r="BG1057">
            <v>-515.85728582213881</v>
          </cell>
        </row>
        <row r="1058">
          <cell r="AT1058" t="str">
            <v>Other Direct Income</v>
          </cell>
          <cell r="AX1058">
            <v>94641.448400000008</v>
          </cell>
          <cell r="AY1058">
            <v>1.3758355097703046</v>
          </cell>
          <cell r="AZ1058">
            <v>102160.59718108182</v>
          </cell>
          <cell r="BA1058">
            <v>1.6654777722367538</v>
          </cell>
          <cell r="BB1058">
            <v>-7519.1487810818071</v>
          </cell>
          <cell r="BC1058">
            <v>-7.3601261039556736</v>
          </cell>
        </row>
        <row r="1059">
          <cell r="AT1059" t="str">
            <v>GROSS INCOME</v>
          </cell>
          <cell r="AW1059" t="str">
            <v>F</v>
          </cell>
          <cell r="AX1059">
            <v>1081682.0789600003</v>
          </cell>
          <cell r="AY1059">
            <v>15.724786968870339</v>
          </cell>
          <cell r="AZ1059">
            <v>1039101.3853503858</v>
          </cell>
          <cell r="BA1059">
            <v>16.939997495648537</v>
          </cell>
          <cell r="BB1059">
            <v>42580.693609614507</v>
          </cell>
          <cell r="BC1059">
            <v>4.0978382100083781</v>
          </cell>
        </row>
        <row r="1060">
          <cell r="AT1060" t="str">
            <v>Staff Related Expenses</v>
          </cell>
          <cell r="AX1060">
            <v>222290.89711999998</v>
          </cell>
          <cell r="AY1060">
            <v>3.2315197508789759</v>
          </cell>
          <cell r="AZ1060">
            <v>221329.25633585817</v>
          </cell>
          <cell r="BA1060">
            <v>3.6082302467327754</v>
          </cell>
          <cell r="BB1060">
            <v>-961.64078414181131</v>
          </cell>
          <cell r="BC1060">
            <v>-0.43448426116905237</v>
          </cell>
          <cell r="BD1060">
            <v>41418</v>
          </cell>
          <cell r="BE1060">
            <v>3.2257536922332837</v>
          </cell>
          <cell r="BF1060">
            <v>-180872.89711999998</v>
          </cell>
          <cell r="BG1060">
            <v>-436.70118576464336</v>
          </cell>
        </row>
        <row r="1061">
          <cell r="AT1061" t="str">
            <v>Administration Expenses</v>
          </cell>
          <cell r="AX1061">
            <v>34801.972200000004</v>
          </cell>
          <cell r="AY1061">
            <v>0.50592832181126002</v>
          </cell>
          <cell r="AZ1061">
            <v>33157.934035718841</v>
          </cell>
          <cell r="BA1061">
            <v>0.54055872453346077</v>
          </cell>
          <cell r="BB1061">
            <v>-1644.0381642811626</v>
          </cell>
          <cell r="BC1061">
            <v>-4.9582044602361215</v>
          </cell>
          <cell r="BD1061">
            <v>11043</v>
          </cell>
          <cell r="BE1061">
            <v>0.86006079538684044</v>
          </cell>
          <cell r="BF1061">
            <v>-23758.972200000004</v>
          </cell>
          <cell r="BG1061">
            <v>-215.14961695191528</v>
          </cell>
        </row>
        <row r="1062">
          <cell r="AT1062" t="str">
            <v>Establishment Expenses</v>
          </cell>
          <cell r="AX1062">
            <v>272226.28811000008</v>
          </cell>
          <cell r="AY1062">
            <v>3.9574478223507379</v>
          </cell>
          <cell r="AZ1062">
            <v>253028.064431912</v>
          </cell>
          <cell r="BA1062">
            <v>4.1250015044105099</v>
          </cell>
          <cell r="BB1062">
            <v>-19198.223678088078</v>
          </cell>
          <cell r="BC1062">
            <v>-7.5873890594670295</v>
          </cell>
          <cell r="BD1062">
            <v>40737</v>
          </cell>
          <cell r="BE1062">
            <v>3.1727154416076897</v>
          </cell>
          <cell r="BF1062">
            <v>-231489.28811000008</v>
          </cell>
          <cell r="BG1062">
            <v>-568.25315587794898</v>
          </cell>
        </row>
        <row r="1063">
          <cell r="AT1063" t="str">
            <v>Selling &amp; Distribution Expenses</v>
          </cell>
          <cell r="AX1063">
            <v>158441.37089999995</v>
          </cell>
          <cell r="AY1063">
            <v>2.3033170770969233</v>
          </cell>
          <cell r="AZ1063">
            <v>127979.63340403914</v>
          </cell>
          <cell r="BA1063">
            <v>2.0863937820922049</v>
          </cell>
          <cell r="BB1063">
            <v>-30461.737495960813</v>
          </cell>
          <cell r="BC1063">
            <v>-23.802019654011151</v>
          </cell>
          <cell r="BD1063">
            <v>24499</v>
          </cell>
          <cell r="BE1063">
            <v>1.9080530133280995</v>
          </cell>
          <cell r="BF1063">
            <v>-133942.37089999995</v>
          </cell>
          <cell r="BG1063">
            <v>-546.72587003551143</v>
          </cell>
        </row>
        <row r="1064">
          <cell r="AT1064" t="str">
            <v>DIRECT EXPENSES</v>
          </cell>
          <cell r="AW1064" t="str">
            <v>G</v>
          </cell>
          <cell r="AX1064">
            <v>687760.52833000012</v>
          </cell>
          <cell r="AY1064">
            <v>9.9982129721378978</v>
          </cell>
          <cell r="AZ1064">
            <v>635494.88820752816</v>
          </cell>
          <cell r="BA1064">
            <v>10.360184257768951</v>
          </cell>
          <cell r="BB1064">
            <v>-52265.640122471959</v>
          </cell>
          <cell r="BC1064">
            <v>-8.2243997697435471</v>
          </cell>
          <cell r="BD1064">
            <v>117697</v>
          </cell>
          <cell r="BE1064">
            <v>9.1665829425559142</v>
          </cell>
          <cell r="BF1064">
            <v>-570063.52833</v>
          </cell>
          <cell r="BG1064">
            <v>-484.34839318759185</v>
          </cell>
        </row>
        <row r="1065">
          <cell r="AT1065" t="str">
            <v>DIVISIONAL CONTRIBUTION BEF DIR D/A &amp;FIN</v>
          </cell>
          <cell r="AV1065" t="str">
            <v>(F-G)</v>
          </cell>
          <cell r="AW1065" t="str">
            <v>H</v>
          </cell>
          <cell r="AX1065">
            <v>393921.55063000019</v>
          </cell>
          <cell r="AY1065">
            <v>5.7265739967324407</v>
          </cell>
          <cell r="AZ1065">
            <v>403606.49714285764</v>
          </cell>
          <cell r="BA1065">
            <v>6.5798132378795877</v>
          </cell>
          <cell r="BB1065">
            <v>-9684.946512857452</v>
          </cell>
          <cell r="BC1065">
            <v>-2.3996012406681944</v>
          </cell>
          <cell r="BD1065" t="e">
            <v>#REF!</v>
          </cell>
          <cell r="BE1065" t="e">
            <v>#REF!</v>
          </cell>
          <cell r="BF1065" t="e">
            <v>#REF!</v>
          </cell>
          <cell r="BG1065" t="e">
            <v>#REF!</v>
          </cell>
        </row>
        <row r="1066">
          <cell r="AT1066" t="str">
            <v>Depreciation - Direct</v>
          </cell>
          <cell r="AX1066">
            <v>41231.421900000001</v>
          </cell>
          <cell r="AY1066">
            <v>0.59939545862171095</v>
          </cell>
          <cell r="AZ1066">
            <v>50281.488000000012</v>
          </cell>
          <cell r="BA1066">
            <v>0.81971624021102163</v>
          </cell>
          <cell r="BB1066">
            <v>9050.0661000000109</v>
          </cell>
          <cell r="BC1066">
            <v>17.998803257373787</v>
          </cell>
          <cell r="BD1066">
            <v>0</v>
          </cell>
          <cell r="BE1066">
            <v>0</v>
          </cell>
          <cell r="BF1066">
            <v>-41231.421900000001</v>
          </cell>
          <cell r="BG1066" t="e">
            <v>#DIV/0!</v>
          </cell>
        </row>
        <row r="1067">
          <cell r="AT1067" t="str">
            <v>Amortisation - Direct</v>
          </cell>
          <cell r="AX1067">
            <v>49418.212</v>
          </cell>
          <cell r="AY1067">
            <v>43.371433485315698</v>
          </cell>
          <cell r="AZ1067">
            <v>46938.349619999994</v>
          </cell>
          <cell r="BA1067">
            <v>59.377177997864543</v>
          </cell>
          <cell r="BB1067">
            <v>-2479.8623800000059</v>
          </cell>
          <cell r="BC1067">
            <v>-5.2832330068617495</v>
          </cell>
        </row>
        <row r="1068">
          <cell r="AT1068" t="str">
            <v>Finance Costs - Direct</v>
          </cell>
          <cell r="AX1068">
            <v>-1399.8165000000008</v>
          </cell>
          <cell r="AY1068">
            <v>-2.0349617217633204E-2</v>
          </cell>
          <cell r="AZ1068">
            <v>2.8499999999999996</v>
          </cell>
          <cell r="BA1068">
            <v>4.6462254350973284E-5</v>
          </cell>
          <cell r="BB1068">
            <v>1402.6665000000007</v>
          </cell>
          <cell r="BC1068">
            <v>49216.368421052663</v>
          </cell>
          <cell r="BD1068">
            <v>0</v>
          </cell>
          <cell r="BE1068">
            <v>0</v>
          </cell>
          <cell r="BF1068">
            <v>1399.8165000000008</v>
          </cell>
          <cell r="BG1068" t="e">
            <v>#DIV/0!</v>
          </cell>
        </row>
        <row r="1069">
          <cell r="AT1069" t="str">
            <v>DIRECT D/A &amp; FIN COSTS</v>
          </cell>
          <cell r="AW1069" t="str">
            <v>I</v>
          </cell>
          <cell r="AX1069">
            <v>89249.8174</v>
          </cell>
          <cell r="AY1069">
            <v>1.297455502798873</v>
          </cell>
          <cell r="AZ1069">
            <v>97222.687620000012</v>
          </cell>
          <cell r="BA1069">
            <v>1.5849772775037414</v>
          </cell>
          <cell r="BB1069">
            <v>7972.8702200000116</v>
          </cell>
          <cell r="BC1069">
            <v>8.2006272560190823</v>
          </cell>
          <cell r="BD1069">
            <v>0</v>
          </cell>
          <cell r="BE1069">
            <v>0</v>
          </cell>
          <cell r="BF1069">
            <v>-89249.8174</v>
          </cell>
          <cell r="BG1069" t="e">
            <v>#DIV/0!</v>
          </cell>
        </row>
        <row r="1070">
          <cell r="AT1070" t="str">
            <v>DIVISIONAL CONTRIBUTION AFTER DIR D/A &amp; FIN</v>
          </cell>
          <cell r="AV1070" t="str">
            <v>(H-I)</v>
          </cell>
          <cell r="AW1070" t="str">
            <v>J</v>
          </cell>
          <cell r="AX1070">
            <v>304671.73323000019</v>
          </cell>
          <cell r="AY1070">
            <v>4.4291184939335677</v>
          </cell>
          <cell r="AZ1070">
            <v>306383.80952285766</v>
          </cell>
          <cell r="BA1070">
            <v>4.9948359603758474</v>
          </cell>
          <cell r="BB1070">
            <v>-1712.0762928574695</v>
          </cell>
          <cell r="BC1070">
            <v>-0.55880116365278787</v>
          </cell>
          <cell r="BD1070">
            <v>0</v>
          </cell>
          <cell r="BE1070">
            <v>0</v>
          </cell>
          <cell r="BF1070">
            <v>-304671.73323000019</v>
          </cell>
          <cell r="BG1070" t="e">
            <v>#DIV/0!</v>
          </cell>
        </row>
        <row r="1071">
          <cell r="AT1071" t="str">
            <v>Indirect Expenses - Service</v>
          </cell>
          <cell r="AX1071">
            <v>50818.117110000007</v>
          </cell>
          <cell r="AY1071">
            <v>0.73876056676668411</v>
          </cell>
          <cell r="AZ1071">
            <v>47206.587002909961</v>
          </cell>
          <cell r="BA1071">
            <v>0.76958752714756218</v>
          </cell>
          <cell r="BB1071">
            <v>-3611.5301070900459</v>
          </cell>
          <cell r="BC1071">
            <v>-7.6504791733141397</v>
          </cell>
          <cell r="BD1071">
            <v>37559</v>
          </cell>
          <cell r="BE1071">
            <v>2.9252036053549162</v>
          </cell>
          <cell r="BF1071">
            <v>-13259.117110000007</v>
          </cell>
          <cell r="BG1071">
            <v>-35.302103650256946</v>
          </cell>
        </row>
        <row r="1072">
          <cell r="AT1072" t="str">
            <v>Indirect Expenses - Others</v>
          </cell>
          <cell r="AX1072">
            <v>97196.306850000008</v>
          </cell>
          <cell r="AY1072">
            <v>1.4129763718066755</v>
          </cell>
          <cell r="AZ1072">
            <v>96582.113375294182</v>
          </cell>
          <cell r="BA1072">
            <v>1.5745342868061256</v>
          </cell>
          <cell r="BB1072">
            <v>-614.19347470582579</v>
          </cell>
          <cell r="BC1072">
            <v>-0.63592880010734698</v>
          </cell>
          <cell r="BD1072" t="e">
            <v>#REF!</v>
          </cell>
          <cell r="BE1072" t="e">
            <v>#REF!</v>
          </cell>
          <cell r="BF1072" t="e">
            <v>#REF!</v>
          </cell>
          <cell r="BG1072" t="e">
            <v>#REF!</v>
          </cell>
        </row>
        <row r="1073">
          <cell r="AT1073" t="str">
            <v>INDIRECT EXPENSES</v>
          </cell>
          <cell r="AW1073" t="str">
            <v>K</v>
          </cell>
          <cell r="AX1073">
            <v>148014.42396000001</v>
          </cell>
          <cell r="AY1073">
            <v>2.1517369385733596</v>
          </cell>
          <cell r="AZ1073">
            <v>143788.70037820414</v>
          </cell>
          <cell r="BA1073">
            <v>2.3441218139536879</v>
          </cell>
          <cell r="BB1073">
            <v>-4225.7235817958717</v>
          </cell>
          <cell r="BC1073">
            <v>-2.9388426007614279</v>
          </cell>
          <cell r="BD1073">
            <v>8551</v>
          </cell>
          <cell r="BE1073">
            <v>0.66597662422827786</v>
          </cell>
          <cell r="BF1073">
            <v>-139463.42396000001</v>
          </cell>
          <cell r="BG1073">
            <v>-1630.9604018243483</v>
          </cell>
        </row>
        <row r="1074">
          <cell r="AT1074" t="str">
            <v>Depreciation - Indirect</v>
          </cell>
          <cell r="AX1074">
            <v>5725.9040999999997</v>
          </cell>
          <cell r="AY1074">
            <v>8.3239450785068239E-2</v>
          </cell>
          <cell r="AZ1074">
            <v>5436.0292254545448</v>
          </cell>
          <cell r="BA1074">
            <v>8.8621113169260843E-2</v>
          </cell>
          <cell r="BB1074">
            <v>-289.87487454545499</v>
          </cell>
          <cell r="BC1074">
            <v>-5.3324745420443627</v>
          </cell>
          <cell r="BD1074">
            <v>2389</v>
          </cell>
          <cell r="BE1074">
            <v>0.18606223310505857</v>
          </cell>
          <cell r="BF1074">
            <v>-3336.9040999999997</v>
          </cell>
          <cell r="BG1074">
            <v>-139.67786102971954</v>
          </cell>
        </row>
        <row r="1075">
          <cell r="AT1075" t="str">
            <v>Amortisation - Indirect</v>
          </cell>
          <cell r="AX1075">
            <v>1806.0540000000001</v>
          </cell>
          <cell r="AY1075">
            <v>2.6255232435376565E-2</v>
          </cell>
          <cell r="AZ1075">
            <v>1276.33824</v>
          </cell>
          <cell r="BA1075">
            <v>2.0807562085878455E-2</v>
          </cell>
          <cell r="BB1075">
            <v>-529.71576000000005</v>
          </cell>
          <cell r="BC1075">
            <v>-41.50277280730851</v>
          </cell>
        </row>
        <row r="1076">
          <cell r="AT1076" t="str">
            <v>Finance Costs - Indirect</v>
          </cell>
          <cell r="AX1076">
            <v>86244.547500000001</v>
          </cell>
          <cell r="AY1076">
            <v>1.2537668535361481</v>
          </cell>
          <cell r="AZ1076">
            <v>68569.305842066751</v>
          </cell>
          <cell r="BA1076">
            <v>1.117854220597819</v>
          </cell>
          <cell r="BB1076">
            <v>-17675.241657933249</v>
          </cell>
          <cell r="BC1076">
            <v>-25.777192055354924</v>
          </cell>
          <cell r="BD1076">
            <v>10940</v>
          </cell>
          <cell r="BE1076">
            <v>0.8520388573333364</v>
          </cell>
          <cell r="BF1076">
            <v>-75304.547500000001</v>
          </cell>
          <cell r="BG1076">
            <v>-688.34138482632545</v>
          </cell>
        </row>
        <row r="1077">
          <cell r="AT1077" t="str">
            <v>INDIRECT D/A &amp; FIN</v>
          </cell>
          <cell r="AW1077" t="str">
            <v>L</v>
          </cell>
          <cell r="AX1077">
            <v>93776.505600000004</v>
          </cell>
          <cell r="AY1077">
            <v>1.363261536756593</v>
          </cell>
          <cell r="AZ1077">
            <v>75281.673307521298</v>
          </cell>
          <cell r="BA1077">
            <v>1.2272828958529582</v>
          </cell>
          <cell r="BB1077">
            <v>-18494.832292478706</v>
          </cell>
          <cell r="BC1077">
            <v>-24.567509567605363</v>
          </cell>
          <cell r="BD1077">
            <v>698</v>
          </cell>
          <cell r="BE1077">
            <v>5.4362259818891118E-2</v>
          </cell>
          <cell r="BF1077">
            <v>-93078.505600000004</v>
          </cell>
          <cell r="BG1077">
            <v>-13335.029455587395</v>
          </cell>
        </row>
        <row r="1078">
          <cell r="AT1078" t="str">
            <v>TRADING PROFIT</v>
          </cell>
          <cell r="AV1078" t="str">
            <v>(J-K-L)</v>
          </cell>
          <cell r="AW1078" t="str">
            <v>M</v>
          </cell>
          <cell r="AX1078">
            <v>62880.803670000168</v>
          </cell>
          <cell r="AY1078">
            <v>0.91412001860361547</v>
          </cell>
          <cell r="AZ1078">
            <v>87313.435837132216</v>
          </cell>
          <cell r="BA1078">
            <v>1.4234312505692013</v>
          </cell>
          <cell r="BB1078">
            <v>-24432.632167132047</v>
          </cell>
          <cell r="BC1078">
            <v>-27.982671776548578</v>
          </cell>
          <cell r="BD1078">
            <v>42273</v>
          </cell>
          <cell r="BE1078">
            <v>3.29234356636674</v>
          </cell>
          <cell r="BF1078">
            <v>-20607.803670000168</v>
          </cell>
          <cell r="BG1078">
            <v>-48.749328578525699</v>
          </cell>
        </row>
        <row r="1079">
          <cell r="AT1079" t="str">
            <v>Rental Income</v>
          </cell>
          <cell r="AX1079">
            <v>15627</v>
          </cell>
          <cell r="AY1079">
            <v>0.22717511063768278</v>
          </cell>
          <cell r="AZ1079">
            <v>15167.675999999999</v>
          </cell>
          <cell r="BA1079">
            <v>0.24727172639479056</v>
          </cell>
          <cell r="BB1079">
            <v>459.32400000000052</v>
          </cell>
          <cell r="BC1079">
            <v>3.0283083578525845</v>
          </cell>
          <cell r="BD1079">
            <v>0</v>
          </cell>
          <cell r="BF1079">
            <v>-15627</v>
          </cell>
          <cell r="BG1079" t="e">
            <v>#DIV/0!</v>
          </cell>
        </row>
        <row r="1080">
          <cell r="AT1080" t="str">
            <v>Other Income</v>
          </cell>
          <cell r="AX1080">
            <v>40210.144999999997</v>
          </cell>
          <cell r="AY1080">
            <v>0.5845488026577248</v>
          </cell>
          <cell r="AZ1080">
            <v>5288.4052240000001</v>
          </cell>
          <cell r="BA1080">
            <v>8.6214466185439959E-2</v>
          </cell>
          <cell r="BB1080">
            <v>34921.739775999995</v>
          </cell>
          <cell r="BC1080">
            <v>660.34538385063809</v>
          </cell>
          <cell r="BD1080">
            <v>42910</v>
          </cell>
          <cell r="BF1080">
            <v>2699.8550000000032</v>
          </cell>
          <cell r="BG1080">
            <v>6.2919016546259687</v>
          </cell>
        </row>
        <row r="1081">
          <cell r="AT1081" t="str">
            <v>Dividend Income</v>
          </cell>
          <cell r="AX1081">
            <v>1179.327</v>
          </cell>
          <cell r="AY1081">
            <v>1.7144285000512353E-2</v>
          </cell>
          <cell r="AZ1081">
            <v>2358.6556399999999</v>
          </cell>
          <cell r="BA1081">
            <v>3.8452090621767611E-2</v>
          </cell>
          <cell r="BB1081">
            <v>-1179.32864</v>
          </cell>
          <cell r="BC1081">
            <v>-50.000034765566717</v>
          </cell>
          <cell r="BD1081">
            <v>42910</v>
          </cell>
          <cell r="BF1081">
            <v>41730.673000000003</v>
          </cell>
          <cell r="BG1081">
            <v>97.251626660452118</v>
          </cell>
        </row>
        <row r="1082">
          <cell r="AT1082" t="str">
            <v>Profit on Sale of Fixed Assets</v>
          </cell>
          <cell r="AX1082">
            <v>781.43799999999999</v>
          </cell>
          <cell r="AY1082">
            <v>1.1360034818358582E-2</v>
          </cell>
          <cell r="AZ1082">
            <v>0</v>
          </cell>
          <cell r="BA1082">
            <v>0</v>
          </cell>
          <cell r="BB1082">
            <v>781.43799999999999</v>
          </cell>
          <cell r="BC1082">
            <v>0</v>
          </cell>
          <cell r="BD1082">
            <v>0</v>
          </cell>
          <cell r="BF1082">
            <v>-781.43799999999999</v>
          </cell>
          <cell r="BG1082" t="e">
            <v>#DIV/0!</v>
          </cell>
        </row>
        <row r="1083">
          <cell r="AT1083" t="str">
            <v>Exceptional Items</v>
          </cell>
          <cell r="AX1083">
            <v>0</v>
          </cell>
          <cell r="AY1083">
            <v>0</v>
          </cell>
          <cell r="AZ1083">
            <v>0</v>
          </cell>
          <cell r="BA1083">
            <v>0</v>
          </cell>
          <cell r="BB1083">
            <v>0</v>
          </cell>
          <cell r="BC1083">
            <v>0</v>
          </cell>
          <cell r="BD1083">
            <v>42910</v>
          </cell>
          <cell r="BF1083">
            <v>42910</v>
          </cell>
          <cell r="BG1083">
            <v>100</v>
          </cell>
        </row>
        <row r="1084">
          <cell r="AT1084" t="str">
            <v>Profit Before Taxation</v>
          </cell>
          <cell r="AX1084">
            <v>120678.71367000016</v>
          </cell>
          <cell r="AY1084">
            <v>1.7543482517178939</v>
          </cell>
          <cell r="AZ1084">
            <v>110128.17270113222</v>
          </cell>
          <cell r="BA1084">
            <v>1.7953695337711995</v>
          </cell>
          <cell r="BB1084">
            <v>10550.540968867936</v>
          </cell>
          <cell r="BC1084">
            <v>9.5802379264933233</v>
          </cell>
          <cell r="BD1084">
            <v>128730</v>
          </cell>
          <cell r="BF1084">
            <v>8051.2863299998426</v>
          </cell>
          <cell r="BG1084">
            <v>6.2543978326729146</v>
          </cell>
        </row>
        <row r="1092">
          <cell r="BJ1092">
            <v>36</v>
          </cell>
          <cell r="BX1092">
            <v>0</v>
          </cell>
          <cell r="CB1092" t="str">
            <v>Appendix V</v>
          </cell>
        </row>
        <row r="1093">
          <cell r="BJ1093" t="str">
            <v>CARGILLS ( CEYLON ) LTD</v>
          </cell>
        </row>
        <row r="1095">
          <cell r="BJ1095" t="str">
            <v xml:space="preserve"> Contribution % by Profit Centres within Divisions  -Twelve  months ended 31st March 2004 </v>
          </cell>
        </row>
        <row r="1096">
          <cell r="BK1096" t="str">
            <v>YTD V BUD</v>
          </cell>
          <cell r="CC1096">
            <v>38154.357810300928</v>
          </cell>
        </row>
        <row r="1097">
          <cell r="BJ1097" t="str">
            <v>Profit Centre</v>
          </cell>
          <cell r="BL1097" t="str">
            <v>Gross Turnover</v>
          </cell>
          <cell r="BO1097" t="str">
            <v>Achieved Gross Profit</v>
          </cell>
          <cell r="BR1097" t="str">
            <v>Other Income</v>
          </cell>
          <cell r="BU1097" t="str">
            <v>Direct Expenses</v>
          </cell>
          <cell r="BX1097" t="str">
            <v>D&amp;A and Finance</v>
          </cell>
          <cell r="CA1097" t="str">
            <v>Contribution</v>
          </cell>
        </row>
        <row r="1098">
          <cell r="BL1098">
            <v>38047</v>
          </cell>
          <cell r="BM1098" t="str">
            <v>Budget</v>
          </cell>
          <cell r="BN1098" t="str">
            <v>Var %</v>
          </cell>
          <cell r="BO1098">
            <v>38047</v>
          </cell>
          <cell r="BP1098" t="str">
            <v>Budget</v>
          </cell>
          <cell r="BQ1098" t="str">
            <v>Var %</v>
          </cell>
          <cell r="BR1098">
            <v>38047</v>
          </cell>
          <cell r="BS1098" t="str">
            <v>Budget</v>
          </cell>
          <cell r="BT1098" t="str">
            <v>Var %</v>
          </cell>
          <cell r="BU1098">
            <v>38047</v>
          </cell>
          <cell r="BV1098" t="str">
            <v>Budget</v>
          </cell>
          <cell r="BW1098" t="str">
            <v>Var %</v>
          </cell>
          <cell r="BX1098">
            <v>38047</v>
          </cell>
          <cell r="BY1098" t="str">
            <v>Budget</v>
          </cell>
          <cell r="BZ1098" t="str">
            <v>Var %</v>
          </cell>
          <cell r="CA1098">
            <v>38047</v>
          </cell>
          <cell r="CB1098" t="str">
            <v>Budget</v>
          </cell>
          <cell r="CC1098" t="str">
            <v>Var %</v>
          </cell>
        </row>
        <row r="1099">
          <cell r="BK1099" t="str">
            <v>Staples Street</v>
          </cell>
          <cell r="BL1099">
            <v>9.4750932220398756</v>
          </cell>
          <cell r="BM1099">
            <v>11.327881400227147</v>
          </cell>
          <cell r="BN1099">
            <v>-16.35599908514331</v>
          </cell>
          <cell r="BO1099">
            <v>10.27671410355283</v>
          </cell>
          <cell r="BP1099">
            <v>11.904443304813174</v>
          </cell>
          <cell r="BQ1099">
            <v>-13.673291220616965</v>
          </cell>
          <cell r="BR1099">
            <v>9.1980929782526317</v>
          </cell>
          <cell r="BS1099">
            <v>8.2715129579813738</v>
          </cell>
          <cell r="BT1099">
            <v>11.202062125492768</v>
          </cell>
          <cell r="BU1099">
            <v>8.1625748950840666</v>
          </cell>
          <cell r="BV1099">
            <v>8.903239460575687</v>
          </cell>
          <cell r="BW1099">
            <v>8.3190457672327813</v>
          </cell>
          <cell r="BX1099">
            <v>6.3983708301812259</v>
          </cell>
          <cell r="BY1099">
            <v>6.1295667892769812</v>
          </cell>
          <cell r="BZ1099">
            <v>-4.3853676800534824</v>
          </cell>
          <cell r="CA1099">
            <v>16.075775289365797</v>
          </cell>
          <cell r="CB1099">
            <v>18.548609684358897</v>
          </cell>
          <cell r="CC1099">
            <v>-13.331642840478313</v>
          </cell>
        </row>
        <row r="1100">
          <cell r="BK1100" t="str">
            <v>Kandy</v>
          </cell>
          <cell r="BL1100">
            <v>7.1953247434556387</v>
          </cell>
          <cell r="BM1100">
            <v>7.8558467500122466</v>
          </cell>
          <cell r="BN1100">
            <v>-8.4080307008990243</v>
          </cell>
          <cell r="BO1100">
            <v>6.6217494147806377</v>
          </cell>
          <cell r="BP1100">
            <v>6.677781267022624</v>
          </cell>
          <cell r="BQ1100">
            <v>-0.83907887966759942</v>
          </cell>
          <cell r="BR1100">
            <v>6.2798236288678106</v>
          </cell>
          <cell r="BS1100">
            <v>6.5888975604948135</v>
          </cell>
          <cell r="BT1100">
            <v>-4.6908292136779242</v>
          </cell>
          <cell r="BU1100">
            <v>4.2291001244964699</v>
          </cell>
          <cell r="BV1100">
            <v>4.6051445946720326</v>
          </cell>
          <cell r="BW1100">
            <v>8.1657472951149259</v>
          </cell>
          <cell r="BX1100">
            <v>5.3028196819743805</v>
          </cell>
          <cell r="BY1100">
            <v>4.8824993815555029</v>
          </cell>
          <cell r="BZ1100">
            <v>-8.6087118004911822</v>
          </cell>
          <cell r="CA1100">
            <v>12.477004871522817</v>
          </cell>
          <cell r="CB1100">
            <v>11.354030462074723</v>
          </cell>
          <cell r="CC1100">
            <v>9.8905354640284529</v>
          </cell>
        </row>
        <row r="1101">
          <cell r="BK1101" t="str">
            <v>Mount Lavinia</v>
          </cell>
          <cell r="BL1101">
            <v>4.6050531878975312</v>
          </cell>
          <cell r="BM1101">
            <v>4.7331283583210695</v>
          </cell>
          <cell r="BN1101">
            <v>-2.7059306388421933</v>
          </cell>
          <cell r="BO1101">
            <v>3.6989500606063861</v>
          </cell>
          <cell r="BP1101">
            <v>3.4710643933394811</v>
          </cell>
          <cell r="BQ1101">
            <v>6.5652964463634778</v>
          </cell>
          <cell r="BR1101">
            <v>2.3196662848759124</v>
          </cell>
          <cell r="BS1101">
            <v>2.8011292234633429</v>
          </cell>
          <cell r="BT1101">
            <v>-17.188173060868113</v>
          </cell>
          <cell r="BU1101">
            <v>2.9982577929527778</v>
          </cell>
          <cell r="BV1101">
            <v>3.1606062405719775</v>
          </cell>
          <cell r="BW1101">
            <v>5.1366236494495849</v>
          </cell>
          <cell r="BX1101">
            <v>1.1230324367481705</v>
          </cell>
          <cell r="BY1101">
            <v>1.1475724351968646</v>
          </cell>
          <cell r="BZ1101">
            <v>2.1384269694909697</v>
          </cell>
          <cell r="CA1101">
            <v>5.7046843685525097</v>
          </cell>
          <cell r="CB1101">
            <v>4.6146684426795792</v>
          </cell>
          <cell r="CC1101">
            <v>23.62067696547221</v>
          </cell>
        </row>
        <row r="1102">
          <cell r="BK1102" t="str">
            <v>Wellawatte</v>
          </cell>
          <cell r="BL1102">
            <v>1.5668154697349996</v>
          </cell>
          <cell r="BM1102">
            <v>1.8072832191415249</v>
          </cell>
          <cell r="BN1102">
            <v>-13.305482331692845</v>
          </cell>
          <cell r="BO1102">
            <v>1.6677102220951427</v>
          </cell>
          <cell r="BP1102">
            <v>1.906576469957928</v>
          </cell>
          <cell r="BQ1102">
            <v>-12.528542737551787</v>
          </cell>
          <cell r="BR1102">
            <v>0.99341361700982822</v>
          </cell>
          <cell r="BS1102">
            <v>0.88827741376350922</v>
          </cell>
          <cell r="BT1102">
            <v>11.835964938123482</v>
          </cell>
          <cell r="BU1102">
            <v>2.3170505649225506</v>
          </cell>
          <cell r="BV1102">
            <v>1.7244492775865841</v>
          </cell>
          <cell r="BW1102">
            <v>-34.364669059175164</v>
          </cell>
          <cell r="BX1102">
            <v>0.35844547915630176</v>
          </cell>
          <cell r="BY1102">
            <v>0.37412776090519712</v>
          </cell>
          <cell r="BZ1102">
            <v>4.1916915523596225</v>
          </cell>
          <cell r="CA1102">
            <v>0.367995195606103</v>
          </cell>
          <cell r="CB1102">
            <v>2.4277048575264644</v>
          </cell>
          <cell r="CC1102">
            <v>-84.841847868564827</v>
          </cell>
        </row>
        <row r="1103">
          <cell r="BK1103" t="str">
            <v>Bambalapitiya</v>
          </cell>
          <cell r="BL1103">
            <v>3.209994697316354</v>
          </cell>
          <cell r="BM1103">
            <v>4.2986357376307325</v>
          </cell>
          <cell r="BN1103">
            <v>-25.325268451669313</v>
          </cell>
          <cell r="BO1103">
            <v>3.4949564771587052</v>
          </cell>
          <cell r="BP1103">
            <v>4.523375580780149</v>
          </cell>
          <cell r="BQ1103">
            <v>-22.735655822859439</v>
          </cell>
          <cell r="BR1103">
            <v>4.7632708882046115</v>
          </cell>
          <cell r="BS1103">
            <v>4.5944609939793137</v>
          </cell>
          <cell r="BT1103">
            <v>3.6742045355594515</v>
          </cell>
          <cell r="BU1103">
            <v>3.7060227730615112</v>
          </cell>
          <cell r="BV1103">
            <v>4.3760153863837647</v>
          </cell>
          <cell r="BW1103">
            <v>15.310563473039329</v>
          </cell>
          <cell r="BX1103">
            <v>0.88336993384616136</v>
          </cell>
          <cell r="BY1103">
            <v>0.83244908111829963</v>
          </cell>
          <cell r="BZ1103">
            <v>-6.1169930849650793</v>
          </cell>
          <cell r="CA1103">
            <v>4.2686840277210338</v>
          </cell>
          <cell r="CB1103">
            <v>6.0211006064099859</v>
          </cell>
          <cell r="CC1103">
            <v>-29.104588898968935</v>
          </cell>
        </row>
        <row r="1104">
          <cell r="BK1104" t="str">
            <v>Nuwara Eliya</v>
          </cell>
          <cell r="BL1104">
            <v>1.7756393742257415</v>
          </cell>
          <cell r="BM1104">
            <v>1.8044485098920013</v>
          </cell>
          <cell r="BN1104">
            <v>-1.5965618031397379</v>
          </cell>
          <cell r="BO1104">
            <v>1.6399495587615913</v>
          </cell>
          <cell r="BP1104">
            <v>1.5023880236477165</v>
          </cell>
          <cell r="BQ1104">
            <v>9.1561922052522</v>
          </cell>
          <cell r="BR1104">
            <v>1.9374905825644044</v>
          </cell>
          <cell r="BS1104">
            <v>3.0898956544121865</v>
          </cell>
          <cell r="BT1104">
            <v>-37.295921957824582</v>
          </cell>
          <cell r="BU1104">
            <v>1.6889105502635351</v>
          </cell>
          <cell r="BV1104">
            <v>1.8839282945172096</v>
          </cell>
          <cell r="BW1104">
            <v>10.351654297100053</v>
          </cell>
          <cell r="BX1104">
            <v>2.4366579559624033</v>
          </cell>
          <cell r="BY1104">
            <v>2.1243482784939975</v>
          </cell>
          <cell r="BZ1104">
            <v>-14.701434817920239</v>
          </cell>
          <cell r="CA1104">
            <v>1.3657113658347972</v>
          </cell>
          <cell r="CB1104">
            <v>1.0607714130977299</v>
          </cell>
          <cell r="CC1104">
            <v>28.746999492243376</v>
          </cell>
        </row>
        <row r="1105">
          <cell r="BK1105" t="str">
            <v>Bandarawela</v>
          </cell>
          <cell r="BL1105">
            <v>3.730512439087637</v>
          </cell>
          <cell r="BM1105">
            <v>4.3191757464703535</v>
          </cell>
          <cell r="BN1105">
            <v>-13.629065866647691</v>
          </cell>
          <cell r="BO1105">
            <v>2.1118449841039091</v>
          </cell>
          <cell r="BP1105">
            <v>2.234917919246397</v>
          </cell>
          <cell r="BQ1105">
            <v>-5.5068212609789056</v>
          </cell>
          <cell r="BR1105">
            <v>1.2129090742590456</v>
          </cell>
          <cell r="BS1105">
            <v>1.5434408210015134</v>
          </cell>
          <cell r="BT1105">
            <v>-21.415252353374399</v>
          </cell>
          <cell r="BU1105">
            <v>1.6268096516563075</v>
          </cell>
          <cell r="BV1105">
            <v>1.6788092138917341</v>
          </cell>
          <cell r="BW1105">
            <v>3.0974074841347639</v>
          </cell>
          <cell r="BX1105">
            <v>0.60412314898767616</v>
          </cell>
          <cell r="BY1105">
            <v>0.55773112520117907</v>
          </cell>
          <cell r="BZ1105">
            <v>-8.3179908185620874</v>
          </cell>
          <cell r="CA1105">
            <v>3.4292495823097626</v>
          </cell>
          <cell r="CB1105">
            <v>3.6543169135382811</v>
          </cell>
          <cell r="CC1105">
            <v>-6.1589439710251552</v>
          </cell>
        </row>
        <row r="1106">
          <cell r="BK1106" t="str">
            <v>Maharagama</v>
          </cell>
          <cell r="BL1106">
            <v>3.2103139952392676</v>
          </cell>
          <cell r="BM1106">
            <v>3.3457921166166709</v>
          </cell>
          <cell r="BN1106">
            <v>-4.0492091754463599</v>
          </cell>
          <cell r="BO1106">
            <v>3.647785576997419</v>
          </cell>
          <cell r="BP1106">
            <v>3.5715306331768728</v>
          </cell>
          <cell r="BQ1106">
            <v>2.135077412249927</v>
          </cell>
          <cell r="BR1106">
            <v>2.5549949940052672</v>
          </cell>
          <cell r="BS1106">
            <v>2.7494008859297976</v>
          </cell>
          <cell r="BT1106">
            <v>-7.0708456129265347</v>
          </cell>
          <cell r="BU1106">
            <v>3.0880108252270477</v>
          </cell>
          <cell r="BV1106">
            <v>3.1070285756417277</v>
          </cell>
          <cell r="BW1106">
            <v>0.61208804334064015</v>
          </cell>
          <cell r="BX1106">
            <v>0.99212902434117622</v>
          </cell>
          <cell r="BY1106">
            <v>1.0422050121938258</v>
          </cell>
          <cell r="BZ1106">
            <v>4.8048116509476726</v>
          </cell>
          <cell r="CA1106">
            <v>5.4469762981031122</v>
          </cell>
          <cell r="CB1106">
            <v>5.0383635484275064</v>
          </cell>
          <cell r="CC1106">
            <v>8.1100290947273042</v>
          </cell>
        </row>
        <row r="1107">
          <cell r="BK1107" t="str">
            <v>Kiribathgoda</v>
          </cell>
          <cell r="BL1107">
            <v>1.7466518458508864</v>
          </cell>
          <cell r="BM1107">
            <v>2.576161762278979</v>
          </cell>
          <cell r="BN1107">
            <v>-32.199449917084159</v>
          </cell>
          <cell r="BO1107">
            <v>1.9661181469010696</v>
          </cell>
          <cell r="BP1107">
            <v>2.8006813000293214</v>
          </cell>
          <cell r="BQ1107">
            <v>-29.798576264979324</v>
          </cell>
          <cell r="BR1107">
            <v>1.0342160469022228</v>
          </cell>
          <cell r="BS1107">
            <v>1.5882870263922537</v>
          </cell>
          <cell r="BT1107">
            <v>-34.8848142862809</v>
          </cell>
          <cell r="BU1107">
            <v>1.6955738539651493</v>
          </cell>
          <cell r="BV1107">
            <v>2.2318444244177638</v>
          </cell>
          <cell r="BW1107">
            <v>24.028134066401829</v>
          </cell>
          <cell r="BX1107">
            <v>0.49641753318056664</v>
          </cell>
          <cell r="BY1107">
            <v>0.53880947837537885</v>
          </cell>
          <cell r="BZ1107">
            <v>7.8677059139034862</v>
          </cell>
          <cell r="CA1107">
            <v>2.7637940448002385</v>
          </cell>
          <cell r="CB1107">
            <v>4.2625995224539146</v>
          </cell>
          <cell r="CC1107">
            <v>-35.161770880855265</v>
          </cell>
        </row>
        <row r="1108">
          <cell r="BK1108" t="str">
            <v>Nugegoda</v>
          </cell>
          <cell r="BL1108">
            <v>3.4541424572400565</v>
          </cell>
          <cell r="BM1108">
            <v>4.2982333833919526</v>
          </cell>
          <cell r="BN1108">
            <v>-19.638089672222065</v>
          </cell>
          <cell r="BO1108">
            <v>3.9512031812607331</v>
          </cell>
          <cell r="BP1108">
            <v>4.7657753870899748</v>
          </cell>
          <cell r="BQ1108">
            <v>-17.092123309794228</v>
          </cell>
          <cell r="BR1108">
            <v>4.8927309903462186</v>
          </cell>
          <cell r="BS1108">
            <v>4.6993355566157184</v>
          </cell>
          <cell r="BT1108">
            <v>4.1153782572142212</v>
          </cell>
          <cell r="BU1108">
            <v>3.9130146697181574</v>
          </cell>
          <cell r="BV1108">
            <v>4.5207407127229802</v>
          </cell>
          <cell r="BW1108">
            <v>13.443063462906963</v>
          </cell>
          <cell r="BX1108">
            <v>1.745923438059011</v>
          </cell>
          <cell r="BY1108">
            <v>1.7661599516224431</v>
          </cell>
          <cell r="BZ1108">
            <v>1.1457916676710016</v>
          </cell>
          <cell r="CA1108">
            <v>5.0632012789192027</v>
          </cell>
          <cell r="CB1108">
            <v>6.192142181232275</v>
          </cell>
          <cell r="CC1108">
            <v>-18.23183107349783</v>
          </cell>
        </row>
        <row r="1109">
          <cell r="BK1109" t="str">
            <v>Fort</v>
          </cell>
          <cell r="BL1109">
            <v>2.4748662948011146</v>
          </cell>
          <cell r="BM1109">
            <v>3.1207551976482582</v>
          </cell>
          <cell r="BN1109">
            <v>-20.696557786201016</v>
          </cell>
          <cell r="BO1109">
            <v>1.9443713787723571</v>
          </cell>
          <cell r="BP1109">
            <v>2.3991704280394446</v>
          </cell>
          <cell r="BQ1109">
            <v>-18.956512799248713</v>
          </cell>
          <cell r="BR1109">
            <v>1.8715307234111385</v>
          </cell>
          <cell r="BS1109">
            <v>1.9840390778775463</v>
          </cell>
          <cell r="BT1109">
            <v>-5.6706723028240571</v>
          </cell>
          <cell r="BU1109">
            <v>1.2253291773287058</v>
          </cell>
          <cell r="BV1109">
            <v>1.287384803312368</v>
          </cell>
          <cell r="BW1109">
            <v>4.8202857315075187</v>
          </cell>
          <cell r="BX1109">
            <v>0.47616840358853002</v>
          </cell>
          <cell r="BY1109">
            <v>0.74622198834045994</v>
          </cell>
          <cell r="BZ1109">
            <v>36.189443486181396</v>
          </cell>
          <cell r="CA1109">
            <v>4.0613780044234993</v>
          </cell>
          <cell r="CB1109">
            <v>5.0084438508915587</v>
          </cell>
          <cell r="CC1109">
            <v>-18.909383326708777</v>
          </cell>
        </row>
        <row r="1110">
          <cell r="BK1110" t="str">
            <v>Malabe</v>
          </cell>
          <cell r="BL1110">
            <v>2.4642755643317278</v>
          </cell>
          <cell r="BM1110">
            <v>2.7593242558412738</v>
          </cell>
          <cell r="BN1110">
            <v>-10.692787949257903</v>
          </cell>
          <cell r="BO1110">
            <v>2.6886973398200222</v>
          </cell>
          <cell r="BP1110">
            <v>3.0191015323250761</v>
          </cell>
          <cell r="BQ1110">
            <v>-10.94379201783924</v>
          </cell>
          <cell r="BR1110">
            <v>2.0826090800110242</v>
          </cell>
          <cell r="BS1110">
            <v>2.0253704445385825</v>
          </cell>
          <cell r="BT1110">
            <v>2.8260822916018071</v>
          </cell>
          <cell r="BU1110">
            <v>2.5516141754411903</v>
          </cell>
          <cell r="BV1110">
            <v>3.0008479335295437</v>
          </cell>
          <cell r="BW1110">
            <v>14.970227350373355</v>
          </cell>
          <cell r="BX1110">
            <v>0.73566028826894858</v>
          </cell>
          <cell r="BY1110">
            <v>0.76610624995275234</v>
          </cell>
          <cell r="BZ1110">
            <v>3.9741173872007223</v>
          </cell>
          <cell r="CA1110">
            <v>3.4408539713563986</v>
          </cell>
          <cell r="CB1110">
            <v>3.4521598955234509</v>
          </cell>
          <cell r="CC1110">
            <v>-0.32750291148776645</v>
          </cell>
        </row>
        <row r="1111">
          <cell r="BK1111" t="str">
            <v>Negombo</v>
          </cell>
          <cell r="BL1111">
            <v>4.1862820085439845</v>
          </cell>
          <cell r="BM1111">
            <v>3.9697211389006082</v>
          </cell>
          <cell r="BN1111">
            <v>5.4553169370317933</v>
          </cell>
          <cell r="BO1111">
            <v>3.1775957891665234</v>
          </cell>
          <cell r="BP1111">
            <v>4.1926078324899789</v>
          </cell>
          <cell r="BQ1111">
            <v>-24.209563209269742</v>
          </cell>
          <cell r="BR1111">
            <v>7.9492631397605633</v>
          </cell>
          <cell r="BS1111">
            <v>8.3329818845826154</v>
          </cell>
          <cell r="BT1111">
            <v>-4.6048191408167432</v>
          </cell>
          <cell r="BU1111">
            <v>2.9006775234609883</v>
          </cell>
          <cell r="BV1111">
            <v>3.146876322286952</v>
          </cell>
          <cell r="BW1111">
            <v>7.8235931003173942</v>
          </cell>
          <cell r="BX1111">
            <v>1.3154573843978459</v>
          </cell>
          <cell r="BY1111">
            <v>1.3818063647452468</v>
          </cell>
          <cell r="BZ1111">
            <v>4.8016120087587781</v>
          </cell>
          <cell r="CA1111">
            <v>5.9858157876710818</v>
          </cell>
          <cell r="CB1111">
            <v>8.5265352958637113</v>
          </cell>
          <cell r="CC1111">
            <v>-29.797795001507264</v>
          </cell>
        </row>
        <row r="1112">
          <cell r="BK1112" t="str">
            <v>Rajagiriya</v>
          </cell>
          <cell r="BL1112">
            <v>2.2139318220361917</v>
          </cell>
          <cell r="BM1112">
            <v>2.4138314992484107</v>
          </cell>
          <cell r="BN1112">
            <v>-8.2814263246817905</v>
          </cell>
          <cell r="BO1112">
            <v>2.5062613414909936</v>
          </cell>
          <cell r="BP1112">
            <v>2.6323155448576179</v>
          </cell>
          <cell r="BQ1112">
            <v>-4.7887193316499825</v>
          </cell>
          <cell r="BR1112">
            <v>1.5928072201918644</v>
          </cell>
          <cell r="BS1112">
            <v>1.6761681114037874</v>
          </cell>
          <cell r="BT1112">
            <v>-4.9733013439868179</v>
          </cell>
          <cell r="BU1112">
            <v>2.0783709433589244</v>
          </cell>
          <cell r="BV1112">
            <v>2.3249362291641309</v>
          </cell>
          <cell r="BW1112">
            <v>10.605249413393697</v>
          </cell>
          <cell r="BX1112">
            <v>1.038185761811462</v>
          </cell>
          <cell r="BY1112">
            <v>1.7593843445120279</v>
          </cell>
          <cell r="BZ1112">
            <v>40.991531210913045</v>
          </cell>
          <cell r="CA1112">
            <v>3.6737486373794348</v>
          </cell>
          <cell r="CB1112">
            <v>3.2123497843885338</v>
          </cell>
          <cell r="CC1112">
            <v>14.363281832919315</v>
          </cell>
        </row>
        <row r="1113">
          <cell r="BK1113" t="str">
            <v>Boralesgamuwa</v>
          </cell>
          <cell r="BL1113">
            <v>1.0360982319577885</v>
          </cell>
          <cell r="BM1113">
            <v>1.1040106135292989</v>
          </cell>
          <cell r="BN1113">
            <v>-6.1514247000224209</v>
          </cell>
          <cell r="BO1113">
            <v>1.0834640273733784</v>
          </cell>
          <cell r="BP1113">
            <v>1.1823464124841261</v>
          </cell>
          <cell r="BQ1113">
            <v>-8.3632329803407117</v>
          </cell>
          <cell r="BR1113">
            <v>0.68672408103425586</v>
          </cell>
          <cell r="BS1113">
            <v>0.94289994419963585</v>
          </cell>
          <cell r="BT1113">
            <v>-27.168933961792774</v>
          </cell>
          <cell r="BU1113">
            <v>1.4034237342486471</v>
          </cell>
          <cell r="BV1113">
            <v>1.578110854183401</v>
          </cell>
          <cell r="BW1113">
            <v>11.069382069813239</v>
          </cell>
          <cell r="BX1113">
            <v>0.66204132573309882</v>
          </cell>
          <cell r="BY1113">
            <v>0.72806719831606148</v>
          </cell>
          <cell r="BZ1113">
            <v>9.0686509069043595</v>
          </cell>
          <cell r="CA1113">
            <v>0.34936416691999717</v>
          </cell>
          <cell r="CB1113">
            <v>0.46080487703610762</v>
          </cell>
          <cell r="CC1113">
            <v>-24.183925923895597</v>
          </cell>
        </row>
        <row r="1114">
          <cell r="BK1114" t="str">
            <v>Pitakotte</v>
          </cell>
          <cell r="BL1114">
            <v>2.1143023243330177</v>
          </cell>
          <cell r="BM1114">
            <v>2.3159398214015479</v>
          </cell>
          <cell r="BN1114">
            <v>-8.7065084854624715</v>
          </cell>
          <cell r="BO1114">
            <v>2.4014320821814992</v>
          </cell>
          <cell r="BP1114">
            <v>2.5218342946520531</v>
          </cell>
          <cell r="BQ1114">
            <v>-4.77439032080283</v>
          </cell>
          <cell r="BR1114">
            <v>1.9551077564152086</v>
          </cell>
          <cell r="BS1114">
            <v>2.1855097752046988</v>
          </cell>
          <cell r="BT1114">
            <v>-10.542255239645877</v>
          </cell>
          <cell r="BU1114">
            <v>2.1326054498892142</v>
          </cell>
          <cell r="BV1114">
            <v>2.418797615977943</v>
          </cell>
          <cell r="BW1114">
            <v>11.832001329843321</v>
          </cell>
          <cell r="BX1114">
            <v>2.3627180137255532</v>
          </cell>
          <cell r="BY1114">
            <v>2.3950495705688897</v>
          </cell>
          <cell r="BZ1114">
            <v>1.3499326795001079</v>
          </cell>
          <cell r="CA1114">
            <v>2.8901669485433521</v>
          </cell>
          <cell r="CB1114">
            <v>2.6580551607446878</v>
          </cell>
          <cell r="CC1114">
            <v>8.7323916834605946</v>
          </cell>
        </row>
        <row r="1115">
          <cell r="BK1115" t="str">
            <v>Panadura</v>
          </cell>
          <cell r="BL1115">
            <v>2.4918248544571875</v>
          </cell>
          <cell r="BM1115">
            <v>2.4892176656620744</v>
          </cell>
          <cell r="BN1115">
            <v>0.1047392854019326</v>
          </cell>
          <cell r="BO1115">
            <v>2.7578601637142035</v>
          </cell>
          <cell r="BP1115">
            <v>2.7127034885981804</v>
          </cell>
          <cell r="BQ1115">
            <v>1.6646373371001291</v>
          </cell>
          <cell r="BR1115">
            <v>1.8123509774459841</v>
          </cell>
          <cell r="BS1115">
            <v>1.8193768531609651</v>
          </cell>
          <cell r="BT1115">
            <v>-0.38616934709125023</v>
          </cell>
          <cell r="BU1115">
            <v>2.5842580930751029</v>
          </cell>
          <cell r="BV1115">
            <v>2.7732430312572403</v>
          </cell>
          <cell r="BW1115">
            <v>6.8145826403271146</v>
          </cell>
          <cell r="BX1115">
            <v>3.4686809875068274</v>
          </cell>
          <cell r="BY1115">
            <v>3.0846884513698622</v>
          </cell>
          <cell r="BZ1115">
            <v>-12.448340965079959</v>
          </cell>
          <cell r="CA1115">
            <v>2.6195302884466614</v>
          </cell>
          <cell r="CB1115">
            <v>2.1816588910710659</v>
          </cell>
          <cell r="CC1115">
            <v>20.070571030498101</v>
          </cell>
        </row>
        <row r="1116">
          <cell r="BK1116" t="str">
            <v>Kurunagala</v>
          </cell>
          <cell r="BL1116">
            <v>1.8892173490925857</v>
          </cell>
          <cell r="BM1116">
            <v>1.6965111038191265</v>
          </cell>
          <cell r="BN1116">
            <v>11.358973415478719</v>
          </cell>
          <cell r="BO1116">
            <v>2.0488651180810349</v>
          </cell>
          <cell r="BP1116">
            <v>1.8790044555070897</v>
          </cell>
          <cell r="BQ1116">
            <v>9.0399286747888308</v>
          </cell>
          <cell r="BR1116">
            <v>2.0411523126205271</v>
          </cell>
          <cell r="BS1116">
            <v>2.2492243259043585</v>
          </cell>
          <cell r="BT1116">
            <v>-9.2508342048172842</v>
          </cell>
          <cell r="BU1116">
            <v>2.2422835330149526</v>
          </cell>
          <cell r="BV1116">
            <v>2.4762802247460383</v>
          </cell>
          <cell r="BW1116">
            <v>9.4495239025334374</v>
          </cell>
          <cell r="BX1116">
            <v>3.6240625712200791</v>
          </cell>
          <cell r="BY1116">
            <v>3.6056533268527375</v>
          </cell>
          <cell r="BZ1116">
            <v>-0.51056612210166219</v>
          </cell>
          <cell r="CA1116">
            <v>1.0877198387240721</v>
          </cell>
          <cell r="CB1116">
            <v>0.2569483479070489</v>
          </cell>
          <cell r="CC1116">
            <v>323.32237104616638</v>
          </cell>
        </row>
        <row r="1117">
          <cell r="BK1117" t="str">
            <v>Matara</v>
          </cell>
          <cell r="BL1117">
            <v>1.7503764433338713</v>
          </cell>
          <cell r="BM1117">
            <v>1.8276219780506384</v>
          </cell>
          <cell r="BN1117">
            <v>-4.2265597396217585</v>
          </cell>
          <cell r="BO1117">
            <v>1.94279130303965</v>
          </cell>
          <cell r="BP1117">
            <v>2.0013928042967257</v>
          </cell>
          <cell r="BQ1117">
            <v>-2.9280359723121858</v>
          </cell>
          <cell r="BR1117">
            <v>1.1630492717261089</v>
          </cell>
          <cell r="BS1117">
            <v>1.2177610691038083</v>
          </cell>
          <cell r="BT1117">
            <v>-4.4928187282225771</v>
          </cell>
          <cell r="BU1117">
            <v>2.1985253586820708</v>
          </cell>
          <cell r="BV1117">
            <v>2.2715638638757398</v>
          </cell>
          <cell r="BW1117">
            <v>3.2153401608111003</v>
          </cell>
          <cell r="BX1117">
            <v>3.291696195596499</v>
          </cell>
          <cell r="BY1117">
            <v>3.0644765826442715</v>
          </cell>
          <cell r="BZ1117">
            <v>-7.4146304213610446</v>
          </cell>
          <cell r="CA1117">
            <v>0.65783081531009613</v>
          </cell>
          <cell r="CB1117">
            <v>0.86721672861252674</v>
          </cell>
          <cell r="CC1117">
            <v>-24.144588820078496</v>
          </cell>
        </row>
        <row r="1118">
          <cell r="BK1118" t="str">
            <v>Wattala</v>
          </cell>
          <cell r="BL1118">
            <v>2.7432484051352328</v>
          </cell>
          <cell r="BM1118">
            <v>2.0276824324238296</v>
          </cell>
          <cell r="BN1118">
            <v>35.289844270931397</v>
          </cell>
          <cell r="BO1118">
            <v>1.9304357118094178</v>
          </cell>
          <cell r="BP1118">
            <v>1.9358446764067172</v>
          </cell>
          <cell r="BQ1118">
            <v>-0.27941108412372623</v>
          </cell>
          <cell r="BR1118">
            <v>5.2725484713118327</v>
          </cell>
          <cell r="BS1118">
            <v>4.1215315394319454</v>
          </cell>
          <cell r="BT1118">
            <v>27.926922816621886</v>
          </cell>
          <cell r="BU1118">
            <v>2.5689543302190621</v>
          </cell>
          <cell r="BV1118">
            <v>2.6881074072667808</v>
          </cell>
          <cell r="BW1118">
            <v>4.4326010458366101</v>
          </cell>
          <cell r="BX1118">
            <v>5.0423569922940272</v>
          </cell>
          <cell r="BY1118">
            <v>5.0036159626015424</v>
          </cell>
          <cell r="BZ1118">
            <v>-0.7742606543357119</v>
          </cell>
          <cell r="CA1118">
            <v>0.53786798640167899</v>
          </cell>
          <cell r="CB1118">
            <v>0.16797575318968794</v>
          </cell>
          <cell r="CC1118">
            <v>220.20572980809163</v>
          </cell>
        </row>
        <row r="1119">
          <cell r="BK1119" t="str">
            <v>Pelawatte</v>
          </cell>
          <cell r="BL1119">
            <v>2.5750563387828294</v>
          </cell>
          <cell r="BM1119">
            <v>2.7999210652317634</v>
          </cell>
          <cell r="BN1119">
            <v>-8.0311094923785262</v>
          </cell>
          <cell r="BO1119">
            <v>2.9907272898048332</v>
          </cell>
          <cell r="BP1119">
            <v>3.0862114748330343</v>
          </cell>
          <cell r="BQ1119">
            <v>-3.0938963777058364</v>
          </cell>
          <cell r="BR1119">
            <v>2.2634159144129784</v>
          </cell>
          <cell r="BS1119">
            <v>2.2508280110114165</v>
          </cell>
          <cell r="BT1119">
            <v>0.55925656425012649</v>
          </cell>
          <cell r="BU1119">
            <v>2.5602866188965652</v>
          </cell>
          <cell r="BV1119">
            <v>2.8523695094691384</v>
          </cell>
          <cell r="BW1119">
            <v>10.240008862909681</v>
          </cell>
          <cell r="BX1119">
            <v>3.6563504893990477</v>
          </cell>
          <cell r="BY1119">
            <v>3.7373785020882946</v>
          </cell>
          <cell r="BZ1119">
            <v>2.1680440620068775</v>
          </cell>
          <cell r="CA1119">
            <v>3.5331813263858751</v>
          </cell>
          <cell r="CB1119">
            <v>3.0714649733883772</v>
          </cell>
          <cell r="CC1119">
            <v>15.032447284858399</v>
          </cell>
        </row>
        <row r="1120">
          <cell r="BK1120" t="str">
            <v>Gampaha</v>
          </cell>
          <cell r="BL1120">
            <v>2.2298925866811947</v>
          </cell>
          <cell r="BM1120">
            <v>1.7915413468595949</v>
          </cell>
          <cell r="BN1120">
            <v>24.4678271361132</v>
          </cell>
          <cell r="BO1120">
            <v>1.9773335904042562</v>
          </cell>
          <cell r="BP1120">
            <v>1.9675509378928411</v>
          </cell>
          <cell r="BQ1120">
            <v>0.49719945354461126</v>
          </cell>
          <cell r="BR1120">
            <v>2.6439532106155816</v>
          </cell>
          <cell r="BS1120">
            <v>2.2594967661063574</v>
          </cell>
          <cell r="BT1120">
            <v>17.01513586017354</v>
          </cell>
          <cell r="BU1120">
            <v>2.3373104721402944</v>
          </cell>
          <cell r="BV1120">
            <v>2.4489343979226428</v>
          </cell>
          <cell r="BW1120">
            <v>4.5580610847328362</v>
          </cell>
          <cell r="BX1120">
            <v>5.7574899448620211</v>
          </cell>
          <cell r="BY1120">
            <v>5.8964504417738022</v>
          </cell>
          <cell r="BZ1120">
            <v>2.3566804857258865</v>
          </cell>
          <cell r="CA1120">
            <v>0.13645275258142103</v>
          </cell>
          <cell r="CB1120">
            <v>-0.15362501572748657</v>
          </cell>
          <cell r="CC1120">
            <v>188.82196166767059</v>
          </cell>
        </row>
        <row r="1121">
          <cell r="BK1121" t="str">
            <v>Ja-ela</v>
          </cell>
          <cell r="BL1121">
            <v>2.1953601933707221</v>
          </cell>
          <cell r="BM1121">
            <v>2.0111554921263677</v>
          </cell>
          <cell r="BN1121">
            <v>9.1591476624016401</v>
          </cell>
          <cell r="BO1121">
            <v>2.5006872404897913</v>
          </cell>
          <cell r="BP1121">
            <v>2.2242370548124675</v>
          </cell>
          <cell r="BQ1121">
            <v>12.4289893057569</v>
          </cell>
          <cell r="BR1121">
            <v>5.7105316950659217</v>
          </cell>
          <cell r="BS1121">
            <v>5.4706127428981777</v>
          </cell>
          <cell r="BT1121">
            <v>4.38559560771691</v>
          </cell>
          <cell r="BU1121">
            <v>2.4911779590179437</v>
          </cell>
          <cell r="BV1121">
            <v>2.4347185824675948</v>
          </cell>
          <cell r="BW1121">
            <v>-2.318928230840017</v>
          </cell>
          <cell r="BX1121">
            <v>7.7030935539296488</v>
          </cell>
          <cell r="BY1121">
            <v>8.5604180493858273</v>
          </cell>
          <cell r="BZ1121">
            <v>10.014983970528025</v>
          </cell>
          <cell r="CA1121">
            <v>1.8872246119533198</v>
          </cell>
          <cell r="CB1121">
            <v>0.83646542673191604</v>
          </cell>
          <cell r="CC1121">
            <v>125.61896184122479</v>
          </cell>
        </row>
        <row r="1122">
          <cell r="BK1122" t="str">
            <v>Piliyandala</v>
          </cell>
          <cell r="BL1122">
            <v>1.6160639638585459</v>
          </cell>
          <cell r="BM1122">
            <v>1.2683909302216505</v>
          </cell>
          <cell r="BN1122">
            <v>27.410558160971693</v>
          </cell>
          <cell r="BO1122">
            <v>1.676596013514186</v>
          </cell>
          <cell r="BP1122">
            <v>1.3769429659673644</v>
          </cell>
          <cell r="BQ1122">
            <v>21.762197487700718</v>
          </cell>
          <cell r="BR1122">
            <v>1.4954436920044527</v>
          </cell>
          <cell r="BS1122">
            <v>1.6619080861487958</v>
          </cell>
          <cell r="BT1122">
            <v>-10.016462133600752</v>
          </cell>
          <cell r="BU1122">
            <v>2.0776995313534035</v>
          </cell>
          <cell r="BV1122">
            <v>2.1672072772097266</v>
          </cell>
          <cell r="BW1122">
            <v>4.1300962209560375</v>
          </cell>
          <cell r="BX1122">
            <v>6.9326581908674161</v>
          </cell>
          <cell r="BY1122">
            <v>6.4338857547211168</v>
          </cell>
          <cell r="BZ1122">
            <v>-7.7522737449962547</v>
          </cell>
          <cell r="CA1122">
            <v>-1.0158477964104848</v>
          </cell>
          <cell r="CB1122">
            <v>-1.7230218680808942</v>
          </cell>
          <cell r="CC1122">
            <v>41.042663750870531</v>
          </cell>
        </row>
        <row r="1123">
          <cell r="BK1123" t="str">
            <v>Chilaw</v>
          </cell>
          <cell r="BL1123">
            <v>1.3680138707069502</v>
          </cell>
          <cell r="BM1123">
            <v>1.177585180333431</v>
          </cell>
          <cell r="BN1123">
            <v>16.17111811135393</v>
          </cell>
          <cell r="BO1123">
            <v>1.4055170751610491</v>
          </cell>
          <cell r="BP1123">
            <v>1.2807541573825547</v>
          </cell>
          <cell r="BQ1123">
            <v>9.741363481768369</v>
          </cell>
          <cell r="BR1123">
            <v>1.7277127409872177</v>
          </cell>
          <cell r="BS1123">
            <v>1.6403423080018322</v>
          </cell>
          <cell r="BT1123">
            <v>5.3263536860068541</v>
          </cell>
          <cell r="BU1123">
            <v>2.0152695168725638</v>
          </cell>
          <cell r="BV1123">
            <v>2.2897455714521584</v>
          </cell>
          <cell r="BW1123">
            <v>11.987185738087121</v>
          </cell>
          <cell r="BX1123">
            <v>5.1029682610570992</v>
          </cell>
          <cell r="BY1123">
            <v>5.4006956154579226</v>
          </cell>
          <cell r="BZ1123">
            <v>5.5127593850811616</v>
          </cell>
          <cell r="CA1123">
            <v>-1.0996709878289661</v>
          </cell>
          <cell r="CB1123">
            <v>-1.9310295308158372</v>
          </cell>
          <cell r="CC1123">
            <v>43.05260638016405</v>
          </cell>
        </row>
        <row r="1124">
          <cell r="BK1124" t="str">
            <v>Ratnapura</v>
          </cell>
          <cell r="BL1124">
            <v>2.5276797453422133</v>
          </cell>
          <cell r="BM1124">
            <v>1.9342029099589788</v>
          </cell>
          <cell r="BN1124">
            <v>30.683276936845321</v>
          </cell>
          <cell r="BO1124">
            <v>2.0663844242710669</v>
          </cell>
          <cell r="BP1124">
            <v>2.0919788570369708</v>
          </cell>
          <cell r="BQ1124">
            <v>-1.2234556137988528</v>
          </cell>
          <cell r="BR1124">
            <v>4.3572809740499752</v>
          </cell>
          <cell r="BS1124">
            <v>2.058693149639355</v>
          </cell>
          <cell r="BT1124">
            <v>111.65276499867356</v>
          </cell>
          <cell r="BU1124">
            <v>2.403992652690937</v>
          </cell>
          <cell r="BV1124">
            <v>2.6251696408511478</v>
          </cell>
          <cell r="BW1124">
            <v>8.4252455429318278</v>
          </cell>
          <cell r="BX1124">
            <v>8.0940520958996061</v>
          </cell>
          <cell r="BY1124">
            <v>7.8141689453559717</v>
          </cell>
          <cell r="BZ1124">
            <v>-3.5817391779067091</v>
          </cell>
          <cell r="CA1124">
            <v>8.0589511925836674E-2</v>
          </cell>
          <cell r="CB1124">
            <v>-0.81226222169979034</v>
          </cell>
          <cell r="CC1124">
            <v>109.92161272220564</v>
          </cell>
        </row>
        <row r="1125">
          <cell r="BK1125" t="str">
            <v>Nawala</v>
          </cell>
          <cell r="BL1125">
            <v>3.9617196606178391</v>
          </cell>
          <cell r="BM1125">
            <v>2.9777234550712723</v>
          </cell>
          <cell r="BN1125">
            <v>33.045251528336259</v>
          </cell>
          <cell r="BO1125">
            <v>3.8452413824466785</v>
          </cell>
          <cell r="BP1125">
            <v>3.1293667427350522</v>
          </cell>
          <cell r="BQ1125">
            <v>22.876022485173952</v>
          </cell>
          <cell r="BR1125">
            <v>5.6651634080844557</v>
          </cell>
          <cell r="BS1125">
            <v>3.1533314952898226</v>
          </cell>
          <cell r="BT1125">
            <v>79.656449585037066</v>
          </cell>
          <cell r="BU1125">
            <v>3.1778628199224079</v>
          </cell>
          <cell r="BV1125">
            <v>3.1344164880832963</v>
          </cell>
          <cell r="BW1125">
            <v>-1.3861058989540718</v>
          </cell>
          <cell r="BX1125">
            <v>8.4242795141684699</v>
          </cell>
          <cell r="BY1125">
            <v>4.6960780247076768</v>
          </cell>
          <cell r="BZ1125">
            <v>-79.389683685949137</v>
          </cell>
          <cell r="CA1125">
            <v>4.5017061563833041</v>
          </cell>
          <cell r="CB1125">
            <v>2.625879131825978</v>
          </cell>
          <cell r="CC1125">
            <v>71.436152632543966</v>
          </cell>
        </row>
        <row r="1126">
          <cell r="BK1126" t="str">
            <v>Collupitiya</v>
          </cell>
          <cell r="BL1126">
            <v>2.2310943435175776</v>
          </cell>
          <cell r="BM1126">
            <v>2.1193351214066674</v>
          </cell>
          <cell r="BN1126">
            <v>5.2733152478845478</v>
          </cell>
          <cell r="BO1126">
            <v>2.5112599512783769</v>
          </cell>
          <cell r="BP1126">
            <v>2.3491612681623417</v>
          </cell>
          <cell r="BQ1126">
            <v>6.9002790618474101</v>
          </cell>
          <cell r="BR1126">
            <v>1.6154982809647198</v>
          </cell>
          <cell r="BS1126">
            <v>1.5521851554997781</v>
          </cell>
          <cell r="BT1126">
            <v>4.0789673345739432</v>
          </cell>
          <cell r="BU1126">
            <v>2.582358985914512</v>
          </cell>
          <cell r="BV1126">
            <v>2.9794470564704629</v>
          </cell>
          <cell r="BW1126">
            <v>13.327575990773022</v>
          </cell>
          <cell r="BX1126">
            <v>3.4439027900046786</v>
          </cell>
          <cell r="BY1126">
            <v>4.4175856153490765</v>
          </cell>
          <cell r="BZ1126">
            <v>22.041062927253709</v>
          </cell>
          <cell r="CA1126">
            <v>1.750752015277468</v>
          </cell>
          <cell r="CB1126">
            <v>0.17126528862208076</v>
          </cell>
          <cell r="CC1126">
            <v>922.24568058313969</v>
          </cell>
        </row>
        <row r="1127">
          <cell r="BK1127" t="str">
            <v>Dehiwala</v>
          </cell>
          <cell r="BL1127">
            <v>2.2341905708820864</v>
          </cell>
          <cell r="BM1127">
            <v>2.5065678662717796</v>
          </cell>
          <cell r="BN1127">
            <v>-10.866543812947778</v>
          </cell>
          <cell r="BO1127">
            <v>2.4488851662977202</v>
          </cell>
          <cell r="BP1127">
            <v>2.7306085852433015</v>
          </cell>
          <cell r="BQ1127">
            <v>-10.317239184995799</v>
          </cell>
          <cell r="BR1127">
            <v>1.7990723251420526</v>
          </cell>
          <cell r="BS1127">
            <v>1.5848330024835815</v>
          </cell>
          <cell r="BT1127">
            <v>13.518100791865015</v>
          </cell>
          <cell r="BU1127">
            <v>2.9211070296364059</v>
          </cell>
          <cell r="BV1127">
            <v>2.9101691735508055</v>
          </cell>
          <cell r="BW1127">
            <v>-0.37584949304698662</v>
          </cell>
          <cell r="BX1127">
            <v>2.216307029954081</v>
          </cell>
          <cell r="BY1127">
            <v>3.2505439276558983</v>
          </cell>
          <cell r="BZ1127">
            <v>31.81734874900301</v>
          </cell>
          <cell r="CA1127">
            <v>1.218114050208267</v>
          </cell>
          <cell r="CB1127">
            <v>1.8326735305400461</v>
          </cell>
          <cell r="CC1127">
            <v>-33.533494650882133</v>
          </cell>
        </row>
        <row r="1128">
          <cell r="BK1128" t="str">
            <v>Thibirigasyaya</v>
          </cell>
          <cell r="BL1128">
            <v>1.5520914977137938</v>
          </cell>
          <cell r="BM1128">
            <v>1.564950430646705</v>
          </cell>
          <cell r="BN1128">
            <v>-0.82168308216620745</v>
          </cell>
          <cell r="BO1128">
            <v>1.7561743155876082</v>
          </cell>
          <cell r="BP1128">
            <v>1.7169853984281909</v>
          </cell>
          <cell r="BQ1128">
            <v>2.2824257675861821</v>
          </cell>
          <cell r="BR1128">
            <v>0.41366580987901613</v>
          </cell>
          <cell r="BS1128">
            <v>0.38498754907641652</v>
          </cell>
          <cell r="BT1128">
            <v>7.4491398154040658</v>
          </cell>
          <cell r="BU1128">
            <v>1.8616817331268563</v>
          </cell>
          <cell r="BV1128">
            <v>1.9475479953919577</v>
          </cell>
          <cell r="BW1128">
            <v>4.408942037283154</v>
          </cell>
          <cell r="BX1128">
            <v>2.2318817503031161</v>
          </cell>
          <cell r="BY1128">
            <v>3.6069530335144164</v>
          </cell>
          <cell r="BZ1128">
            <v>38.122794237537008</v>
          </cell>
          <cell r="CA1128">
            <v>0.91782115837464973</v>
          </cell>
          <cell r="CB1128">
            <v>0.21834445923806264</v>
          </cell>
          <cell r="CC1128">
            <v>320.35468249457256</v>
          </cell>
        </row>
        <row r="1129">
          <cell r="BK1129" t="str">
            <v>Moratuwa</v>
          </cell>
          <cell r="BL1129">
            <v>2.5128164618859028</v>
          </cell>
          <cell r="BM1129">
            <v>2.0117561085116482</v>
          </cell>
          <cell r="BN1129">
            <v>24.906615233043961</v>
          </cell>
          <cell r="BO1129">
            <v>2.8535645154192291</v>
          </cell>
          <cell r="BP1129">
            <v>2.1944790328006558</v>
          </cell>
          <cell r="BQ1129">
            <v>30.033801771048584</v>
          </cell>
          <cell r="BR1129">
            <v>1.8368650994694351</v>
          </cell>
          <cell r="BS1129">
            <v>1.5247479775564583</v>
          </cell>
          <cell r="BT1129">
            <v>20.470079416873322</v>
          </cell>
          <cell r="BU1129">
            <v>2.5629069133781583</v>
          </cell>
          <cell r="BV1129">
            <v>2.5441606155530301</v>
          </cell>
          <cell r="BW1129">
            <v>-0.73683625595522162</v>
          </cell>
          <cell r="BX1129">
            <v>4.0112113193383685</v>
          </cell>
          <cell r="BY1129">
            <v>4.2553027561464871</v>
          </cell>
          <cell r="BZ1129">
            <v>5.7361708624737835</v>
          </cell>
          <cell r="CA1129">
            <v>2.8180269605160611</v>
          </cell>
          <cell r="CB1129">
            <v>0.61977719551606114</v>
          </cell>
          <cell r="CC1129">
            <v>354.68387364101289</v>
          </cell>
        </row>
        <row r="1130">
          <cell r="BK1130" t="str">
            <v>Kegalle</v>
          </cell>
          <cell r="BL1130">
            <v>1.0404868249164716</v>
          </cell>
          <cell r="BM1130">
            <v>1.0185873461824209</v>
          </cell>
          <cell r="BN1130">
            <v>2.1499853513916238</v>
          </cell>
          <cell r="BO1130">
            <v>1.0728974312285711</v>
          </cell>
          <cell r="BP1130">
            <v>1.0274594459366435</v>
          </cell>
          <cell r="BQ1130">
            <v>4.4223628943822471</v>
          </cell>
          <cell r="BR1130">
            <v>0.93470374035465598</v>
          </cell>
          <cell r="BS1130">
            <v>1.9158436077978613</v>
          </cell>
          <cell r="BT1130">
            <v>-51.211897643929419</v>
          </cell>
          <cell r="BU1130">
            <v>1.6338348242512062</v>
          </cell>
          <cell r="BV1130">
            <v>1.5776787508757533</v>
          </cell>
          <cell r="BW1130">
            <v>-3.5594111503549923</v>
          </cell>
          <cell r="BX1130">
            <v>4.8967430416383961E-3</v>
          </cell>
          <cell r="BY1130">
            <v>0</v>
          </cell>
          <cell r="BZ1130">
            <v>0</v>
          </cell>
          <cell r="CA1130">
            <v>7.5250135510152083E-2</v>
          </cell>
          <cell r="CB1130">
            <v>0.54932421728885161</v>
          </cell>
          <cell r="CC1130">
            <v>-86.301325675837944</v>
          </cell>
        </row>
        <row r="1131">
          <cell r="BK1131" t="str">
            <v>Kadawatha</v>
          </cell>
          <cell r="BL1131">
            <v>1.1499902211793478</v>
          </cell>
          <cell r="BM1131">
            <v>1.1072975900966946</v>
          </cell>
          <cell r="BN1131">
            <v>3.8555697641250233</v>
          </cell>
          <cell r="BO1131">
            <v>1.2576933948713356</v>
          </cell>
          <cell r="BP1131">
            <v>1.1377243738591687</v>
          </cell>
          <cell r="BQ1131">
            <v>10.544647171900797</v>
          </cell>
          <cell r="BR1131">
            <v>1.0827563861181875</v>
          </cell>
          <cell r="BS1131">
            <v>0.94187980675630356</v>
          </cell>
          <cell r="BT1131">
            <v>14.956959301106822</v>
          </cell>
          <cell r="BU1131">
            <v>1.8514812137844414</v>
          </cell>
          <cell r="BV1131">
            <v>1.336350110380538</v>
          </cell>
          <cell r="BW1131">
            <v>-38.54761558385438</v>
          </cell>
          <cell r="BX1131">
            <v>0</v>
          </cell>
          <cell r="BY1131">
            <v>0</v>
          </cell>
          <cell r="BZ1131">
            <v>0</v>
          </cell>
          <cell r="CA1131">
            <v>0.23346584664887393</v>
          </cell>
          <cell r="CB1131">
            <v>1.0419676906041972</v>
          </cell>
          <cell r="CC1131">
            <v>-77.593753745521994</v>
          </cell>
        </row>
        <row r="1132">
          <cell r="BK1132" t="str">
            <v>Aluthgama</v>
          </cell>
          <cell r="BL1132">
            <v>1.019958537388217</v>
          </cell>
          <cell r="BM1132">
            <v>0.92237989534915032</v>
          </cell>
          <cell r="BN1132">
            <v>10.579007904560841</v>
          </cell>
          <cell r="BO1132">
            <v>1.172041601300704</v>
          </cell>
          <cell r="BP1132">
            <v>0.93512506486844016</v>
          </cell>
          <cell r="BQ1132">
            <v>25.335278171117672</v>
          </cell>
          <cell r="BR1132">
            <v>0.53602135740614021</v>
          </cell>
          <cell r="BS1132">
            <v>1.7242592470180753</v>
          </cell>
          <cell r="BT1132">
            <v>-68.912948657046059</v>
          </cell>
          <cell r="BU1132">
            <v>1.5205667764414861</v>
          </cell>
          <cell r="BV1132">
            <v>1.4218258972975588</v>
          </cell>
          <cell r="BW1132">
            <v>-6.9446533033054498</v>
          </cell>
          <cell r="BX1132">
            <v>0</v>
          </cell>
          <cell r="BY1132">
            <v>0</v>
          </cell>
          <cell r="BZ1132">
            <v>0</v>
          </cell>
          <cell r="CA1132">
            <v>0.53682784673520434</v>
          </cell>
          <cell r="CB1132">
            <v>0.52167245575684551</v>
          </cell>
          <cell r="CC1132">
            <v>2.9051545296504675</v>
          </cell>
        </row>
        <row r="1133">
          <cell r="BK1133" t="str">
            <v>Park Road</v>
          </cell>
          <cell r="BL1133">
            <v>1.130815315208332</v>
          </cell>
          <cell r="BM1133">
            <v>0.82279891067715183</v>
          </cell>
          <cell r="BN1133">
            <v>37.435198386163037</v>
          </cell>
          <cell r="BO1133">
            <v>1.2655537427972061</v>
          </cell>
          <cell r="BP1133">
            <v>0.83659440865132129</v>
          </cell>
          <cell r="BQ1133">
            <v>51.274468214222544</v>
          </cell>
          <cell r="BR1133">
            <v>0.54645110122421514</v>
          </cell>
          <cell r="BS1133">
            <v>1.5326748862382891</v>
          </cell>
          <cell r="BT1133">
            <v>-64.346574336753577</v>
          </cell>
          <cell r="BU1133">
            <v>1.2164828867332305</v>
          </cell>
          <cell r="BV1133">
            <v>1.2659288727610458</v>
          </cell>
          <cell r="BW1133">
            <v>3.9059055442800283</v>
          </cell>
          <cell r="BX1133">
            <v>0</v>
          </cell>
          <cell r="BY1133">
            <v>0</v>
          </cell>
          <cell r="BZ1133">
            <v>0</v>
          </cell>
          <cell r="CA1133">
            <v>1.5539779100413904</v>
          </cell>
          <cell r="CB1133">
            <v>0.47560161090487391</v>
          </cell>
          <cell r="CC1133">
            <v>226.73941265354648</v>
          </cell>
        </row>
        <row r="1134">
          <cell r="BK1134" t="str">
            <v>Kotahena</v>
          </cell>
          <cell r="BL1134">
            <v>1.4554448630275723</v>
          </cell>
          <cell r="BM1134">
            <v>0.82279891067715183</v>
          </cell>
          <cell r="BN1134">
            <v>76.889498046340606</v>
          </cell>
          <cell r="BO1134">
            <v>1.6345775358046697</v>
          </cell>
          <cell r="BP1134">
            <v>0.83659440865132129</v>
          </cell>
          <cell r="BQ1134">
            <v>95.384707201161163</v>
          </cell>
          <cell r="BR1134">
            <v>2.0003817088242588</v>
          </cell>
          <cell r="BS1134">
            <v>1.5326748862382891</v>
          </cell>
          <cell r="BT1134">
            <v>30.515722987663942</v>
          </cell>
          <cell r="BU1134">
            <v>1.9549573878350428</v>
          </cell>
          <cell r="BV1134">
            <v>1.2659288727610458</v>
          </cell>
          <cell r="BW1134">
            <v>-54.428691050485</v>
          </cell>
          <cell r="BX1134">
            <v>0</v>
          </cell>
          <cell r="BY1134">
            <v>0</v>
          </cell>
          <cell r="BZ1134">
            <v>0</v>
          </cell>
          <cell r="CA1134">
            <v>1.5427231848910816</v>
          </cell>
          <cell r="CB1134">
            <v>0.47560161090487391</v>
          </cell>
          <cell r="CC1134">
            <v>224.37299401823196</v>
          </cell>
        </row>
        <row r="1135">
          <cell r="BK1135" t="str">
            <v>Ambalangoda</v>
          </cell>
          <cell r="BL1135">
            <v>0.6543330191302712</v>
          </cell>
          <cell r="BM1135">
            <v>0.61789105228605468</v>
          </cell>
          <cell r="BN1135">
            <v>5.8977981165756699</v>
          </cell>
          <cell r="BO1135">
            <v>0.70370214862521907</v>
          </cell>
          <cell r="BP1135">
            <v>0.63115951486853639</v>
          </cell>
          <cell r="BQ1135">
            <v>11.49354989471917</v>
          </cell>
          <cell r="BR1135">
            <v>0.4849521302286014</v>
          </cell>
          <cell r="BS1135">
            <v>1.1495061646787168</v>
          </cell>
          <cell r="BT1135">
            <v>-57.812133146398224</v>
          </cell>
          <cell r="BU1135">
            <v>1.0951259525713049</v>
          </cell>
          <cell r="BV1135">
            <v>0.95021528627412932</v>
          </cell>
          <cell r="BW1135">
            <v>-15.250298368213159</v>
          </cell>
          <cell r="BX1135">
            <v>3.59640362228629E-2</v>
          </cell>
          <cell r="BY1135">
            <v>0</v>
          </cell>
          <cell r="BZ1135">
            <v>0</v>
          </cell>
          <cell r="CA1135">
            <v>-5.7668339899080129E-2</v>
          </cell>
          <cell r="CB1135">
            <v>0.36626143920218462</v>
          </cell>
          <cell r="CC1135">
            <v>-115.74513004281781</v>
          </cell>
        </row>
        <row r="1136">
          <cell r="BK1136" t="str">
            <v>Katugastota</v>
          </cell>
          <cell r="BL1136">
            <v>0.87325606717527715</v>
          </cell>
          <cell r="BM1136">
            <v>0.61789105228605468</v>
          </cell>
          <cell r="BN1136">
            <v>41.328485652030515</v>
          </cell>
          <cell r="BO1136">
            <v>0.88192596781763899</v>
          </cell>
          <cell r="BP1136">
            <v>0.63115951486853639</v>
          </cell>
          <cell r="BQ1136">
            <v>39.731073847684051</v>
          </cell>
          <cell r="BR1136">
            <v>0.87981593150541715</v>
          </cell>
          <cell r="BS1136">
            <v>1.1495061646787168</v>
          </cell>
          <cell r="BT1136">
            <v>-23.461399465280568</v>
          </cell>
          <cell r="BU1136">
            <v>1.1540271621901028</v>
          </cell>
          <cell r="BV1136">
            <v>0.95021528627412932</v>
          </cell>
          <cell r="BW1136">
            <v>-21.449020959780206</v>
          </cell>
          <cell r="BX1136">
            <v>2.4331841181239749E-2</v>
          </cell>
          <cell r="BY1136">
            <v>0</v>
          </cell>
          <cell r="BZ1136">
            <v>0</v>
          </cell>
          <cell r="CA1136">
            <v>0.52935596873733437</v>
          </cell>
          <cell r="CB1136">
            <v>0.36626143920218462</v>
          </cell>
          <cell r="CC1136">
            <v>44.529538760731477</v>
          </cell>
        </row>
        <row r="1137">
          <cell r="BK1137" t="str">
            <v>Beruwela</v>
          </cell>
          <cell r="BL1137">
            <v>0.51326028558515091</v>
          </cell>
          <cell r="BM1137">
            <v>0.52054302760850324</v>
          </cell>
          <cell r="BN1137">
            <v>-1.39906628983409</v>
          </cell>
          <cell r="BO1137">
            <v>0.54463292481571057</v>
          </cell>
          <cell r="BP1137">
            <v>0.53521084390392981</v>
          </cell>
          <cell r="BQ1137">
            <v>1.7604428271771007</v>
          </cell>
          <cell r="BR1137">
            <v>0.42667017929991935</v>
          </cell>
          <cell r="BS1137">
            <v>0.95792180389893067</v>
          </cell>
          <cell r="BT1137">
            <v>-55.458767347889193</v>
          </cell>
          <cell r="BU1137">
            <v>0.86577610833435803</v>
          </cell>
          <cell r="BV1137">
            <v>0.79236207686939875</v>
          </cell>
          <cell r="BW1137">
            <v>-9.265212660734111</v>
          </cell>
          <cell r="BX1137">
            <v>1.6306737604911529E-3</v>
          </cell>
          <cell r="BY1137">
            <v>0</v>
          </cell>
          <cell r="BZ1137">
            <v>0</v>
          </cell>
          <cell r="CA1137">
            <v>-6.1451734673588096E-2</v>
          </cell>
          <cell r="CB1137">
            <v>0.33180128199298209</v>
          </cell>
          <cell r="CC1137">
            <v>-118.52064413509042</v>
          </cell>
        </row>
        <row r="1138">
          <cell r="BK1138" t="str">
            <v>Warakapola</v>
          </cell>
          <cell r="BL1138">
            <v>0.37418638319210862</v>
          </cell>
          <cell r="BM1138">
            <v>0.52054302760850324</v>
          </cell>
          <cell r="BN1138">
            <v>-28.116147302710282</v>
          </cell>
          <cell r="BO1138">
            <v>0.34839156964262696</v>
          </cell>
          <cell r="BP1138">
            <v>0.53521084390392981</v>
          </cell>
          <cell r="BQ1138">
            <v>-34.905734139952678</v>
          </cell>
          <cell r="BR1138">
            <v>0.36895947050571515</v>
          </cell>
          <cell r="BS1138">
            <v>0.95792180389893067</v>
          </cell>
          <cell r="BT1138">
            <v>-61.483341437267903</v>
          </cell>
          <cell r="BU1138">
            <v>0.74666858209877773</v>
          </cell>
          <cell r="BV1138">
            <v>0.79236207686939875</v>
          </cell>
          <cell r="BW1138">
            <v>5.7667442832643863</v>
          </cell>
          <cell r="BX1138">
            <v>3.338562187208935E-4</v>
          </cell>
          <cell r="BY1138">
            <v>0</v>
          </cell>
          <cell r="BZ1138">
            <v>0</v>
          </cell>
          <cell r="CA1138">
            <v>-0.45411014935374833</v>
          </cell>
          <cell r="CB1138">
            <v>0.33180128199298209</v>
          </cell>
          <cell r="CC1138">
            <v>-236.86208402394092</v>
          </cell>
        </row>
        <row r="1139">
          <cell r="BK1139" t="str">
            <v>Karagampitiya</v>
          </cell>
          <cell r="BL1139">
            <v>0.37940743743897709</v>
          </cell>
          <cell r="BM1139">
            <v>0</v>
          </cell>
          <cell r="BN1139">
            <v>0</v>
          </cell>
          <cell r="BO1139">
            <v>0.40802691044819112</v>
          </cell>
          <cell r="BP1139">
            <v>0</v>
          </cell>
          <cell r="BQ1139">
            <v>0</v>
          </cell>
          <cell r="BR1139">
            <v>0.25039208620458098</v>
          </cell>
          <cell r="BS1139">
            <v>0</v>
          </cell>
          <cell r="BT1139">
            <v>0</v>
          </cell>
          <cell r="BU1139">
            <v>0.72003782041475106</v>
          </cell>
          <cell r="BV1139">
            <v>0</v>
          </cell>
          <cell r="BW1139">
            <v>0</v>
          </cell>
          <cell r="BX1139">
            <v>0</v>
          </cell>
          <cell r="BY1139">
            <v>0</v>
          </cell>
          <cell r="BZ1139">
            <v>0</v>
          </cell>
          <cell r="CA1139">
            <v>-0.2336811593967914</v>
          </cell>
          <cell r="CB1139">
            <v>0</v>
          </cell>
          <cell r="CC1139">
            <v>0</v>
          </cell>
        </row>
        <row r="1140">
          <cell r="BK1140" t="str">
            <v>Mathale</v>
          </cell>
          <cell r="BL1140">
            <v>0.53192440301417554</v>
          </cell>
          <cell r="BM1140">
            <v>0</v>
          </cell>
          <cell r="BN1140">
            <v>0</v>
          </cell>
          <cell r="BO1140">
            <v>0.41096161093991157</v>
          </cell>
          <cell r="BP1140">
            <v>0</v>
          </cell>
          <cell r="BQ1140">
            <v>0</v>
          </cell>
          <cell r="BR1140">
            <v>0.21088589339729297</v>
          </cell>
          <cell r="BS1140">
            <v>0</v>
          </cell>
          <cell r="BT1140">
            <v>0</v>
          </cell>
          <cell r="BU1140">
            <v>0.61116629129123223</v>
          </cell>
          <cell r="BV1140">
            <v>0</v>
          </cell>
          <cell r="BW1140">
            <v>0</v>
          </cell>
          <cell r="BX1140">
            <v>3.338562187208935E-4</v>
          </cell>
          <cell r="BY1140">
            <v>0</v>
          </cell>
          <cell r="BZ1140">
            <v>0</v>
          </cell>
          <cell r="CA1140">
            <v>1.50517816543161E-2</v>
          </cell>
          <cell r="CB1140">
            <v>0</v>
          </cell>
          <cell r="CC1140">
            <v>0</v>
          </cell>
        </row>
        <row r="1141">
          <cell r="BK1141" t="str">
            <v>Peliyagoda</v>
          </cell>
          <cell r="BL1141">
            <v>0.22820545016727961</v>
          </cell>
          <cell r="BM1141">
            <v>0</v>
          </cell>
          <cell r="BN1141">
            <v>0</v>
          </cell>
          <cell r="BO1141">
            <v>0.23929152482157662</v>
          </cell>
          <cell r="BP1141">
            <v>0</v>
          </cell>
          <cell r="BQ1141">
            <v>0</v>
          </cell>
          <cell r="BR1141">
            <v>0.16560021789962157</v>
          </cell>
          <cell r="BS1141">
            <v>0</v>
          </cell>
          <cell r="BT1141">
            <v>0</v>
          </cell>
          <cell r="BU1141">
            <v>0.54978351446677343</v>
          </cell>
          <cell r="BV1141">
            <v>0</v>
          </cell>
          <cell r="BW1141">
            <v>0</v>
          </cell>
          <cell r="BX1141">
            <v>0</v>
          </cell>
          <cell r="BY1141">
            <v>0</v>
          </cell>
          <cell r="BZ1141">
            <v>0</v>
          </cell>
          <cell r="CA1141">
            <v>-0.42611721877232661</v>
          </cell>
          <cell r="CB1141">
            <v>0</v>
          </cell>
          <cell r="CC1141">
            <v>0</v>
          </cell>
        </row>
        <row r="1142">
          <cell r="BK1142" t="str">
            <v>Kelaniya</v>
          </cell>
          <cell r="BL1142">
            <v>0.22996956335175198</v>
          </cell>
          <cell r="BM1142">
            <v>0</v>
          </cell>
          <cell r="BN1142">
            <v>0</v>
          </cell>
          <cell r="BO1142">
            <v>0.25305199706912695</v>
          </cell>
          <cell r="BP1142">
            <v>0</v>
          </cell>
          <cell r="BQ1142">
            <v>0</v>
          </cell>
          <cell r="BR1142">
            <v>0.18253342760997213</v>
          </cell>
          <cell r="BS1142">
            <v>0</v>
          </cell>
          <cell r="BT1142">
            <v>0</v>
          </cell>
          <cell r="BU1142">
            <v>0.43754061220870749</v>
          </cell>
          <cell r="BV1142">
            <v>0</v>
          </cell>
          <cell r="BW1142">
            <v>0</v>
          </cell>
          <cell r="BX1142">
            <v>0</v>
          </cell>
          <cell r="BY1142">
            <v>0</v>
          </cell>
          <cell r="BZ1142">
            <v>0</v>
          </cell>
          <cell r="CA1142">
            <v>-0.11512646137659195</v>
          </cell>
          <cell r="CB1142">
            <v>0</v>
          </cell>
          <cell r="CC1142">
            <v>0</v>
          </cell>
        </row>
        <row r="1143">
          <cell r="BK1143" t="str">
            <v>Demategoda</v>
          </cell>
          <cell r="BL1143">
            <v>0.19567075925342473</v>
          </cell>
          <cell r="BM1143">
            <v>0</v>
          </cell>
          <cell r="BN1143">
            <v>0</v>
          </cell>
          <cell r="BO1143">
            <v>0.21323777827734805</v>
          </cell>
          <cell r="BP1143">
            <v>0</v>
          </cell>
          <cell r="BQ1143">
            <v>0</v>
          </cell>
          <cell r="BR1143">
            <v>0.22022655568407229</v>
          </cell>
          <cell r="BS1143">
            <v>0</v>
          </cell>
          <cell r="BT1143">
            <v>0</v>
          </cell>
          <cell r="BU1143">
            <v>0.34755571476005975</v>
          </cell>
          <cell r="BV1143">
            <v>0</v>
          </cell>
          <cell r="BW1143">
            <v>0</v>
          </cell>
          <cell r="BX1143">
            <v>0</v>
          </cell>
          <cell r="BY1143">
            <v>0</v>
          </cell>
          <cell r="BZ1143">
            <v>0</v>
          </cell>
          <cell r="CA1143">
            <v>-2.6302406844663666E-2</v>
          </cell>
          <cell r="CB1143">
            <v>0</v>
          </cell>
          <cell r="CC1143">
            <v>0</v>
          </cell>
        </row>
        <row r="1144">
          <cell r="BK1144" t="str">
            <v>Kolannawa</v>
          </cell>
          <cell r="BL1144">
            <v>0.2421544732846232</v>
          </cell>
          <cell r="BM1144">
            <v>0</v>
          </cell>
          <cell r="BN1144">
            <v>0</v>
          </cell>
          <cell r="BO1144">
            <v>0.23434679917668286</v>
          </cell>
          <cell r="BP1144">
            <v>0</v>
          </cell>
          <cell r="BQ1144">
            <v>0</v>
          </cell>
          <cell r="BR1144">
            <v>0.16380562857814485</v>
          </cell>
          <cell r="BS1144">
            <v>0</v>
          </cell>
          <cell r="BT1144">
            <v>0</v>
          </cell>
          <cell r="BU1144">
            <v>0.30259382338309976</v>
          </cell>
          <cell r="BV1144">
            <v>0</v>
          </cell>
          <cell r="BW1144">
            <v>0</v>
          </cell>
          <cell r="BX1144">
            <v>0</v>
          </cell>
          <cell r="BY1144">
            <v>0</v>
          </cell>
          <cell r="BZ1144">
            <v>0</v>
          </cell>
          <cell r="CA1144">
            <v>0.12922287670175703</v>
          </cell>
          <cell r="CB1144">
            <v>0</v>
          </cell>
          <cell r="CC1144">
            <v>0</v>
          </cell>
        </row>
        <row r="1145">
          <cell r="BK1145" t="str">
            <v>Avissawella</v>
          </cell>
          <cell r="BL1145">
            <v>0.13962850484535955</v>
          </cell>
          <cell r="BM1145">
            <v>0</v>
          </cell>
          <cell r="BN1145">
            <v>0</v>
          </cell>
          <cell r="BO1145">
            <v>0.15018929357187072</v>
          </cell>
          <cell r="BP1145">
            <v>0</v>
          </cell>
          <cell r="BQ1145">
            <v>0</v>
          </cell>
          <cell r="BR1145">
            <v>0.10129254443316088</v>
          </cell>
          <cell r="BS1145">
            <v>0</v>
          </cell>
          <cell r="BT1145">
            <v>0</v>
          </cell>
          <cell r="BU1145">
            <v>0.2806323479314739</v>
          </cell>
          <cell r="BV1145">
            <v>0</v>
          </cell>
          <cell r="BW1145">
            <v>0</v>
          </cell>
          <cell r="BX1145">
            <v>-1.6665035876250924E-6</v>
          </cell>
          <cell r="BY1145">
            <v>0</v>
          </cell>
          <cell r="BZ1145">
            <v>0</v>
          </cell>
          <cell r="CA1145">
            <v>-0.1191329797190476</v>
          </cell>
          <cell r="CB1145">
            <v>0</v>
          </cell>
          <cell r="CC1145">
            <v>0</v>
          </cell>
        </row>
        <row r="1146">
          <cell r="BK1146" t="str">
            <v>Homagama</v>
          </cell>
          <cell r="BL1146">
            <v>0.19671903843527125</v>
          </cell>
          <cell r="BM1146">
            <v>0</v>
          </cell>
          <cell r="BN1146">
            <v>0</v>
          </cell>
          <cell r="BO1146">
            <v>0.20714599615204846</v>
          </cell>
          <cell r="BP1146">
            <v>0</v>
          </cell>
          <cell r="BQ1146">
            <v>0</v>
          </cell>
          <cell r="BR1146">
            <v>8.542156092351158E-2</v>
          </cell>
          <cell r="BS1146">
            <v>0</v>
          </cell>
          <cell r="BT1146">
            <v>0</v>
          </cell>
          <cell r="BU1146">
            <v>0.33614970751950002</v>
          </cell>
          <cell r="BV1146">
            <v>0</v>
          </cell>
          <cell r="BW1146">
            <v>0</v>
          </cell>
          <cell r="BX1146">
            <v>0</v>
          </cell>
          <cell r="BY1146">
            <v>0</v>
          </cell>
          <cell r="BZ1146">
            <v>0</v>
          </cell>
          <cell r="CA1146">
            <v>-6.4233197229233457E-2</v>
          </cell>
          <cell r="CB1146">
            <v>0</v>
          </cell>
          <cell r="CC1146">
            <v>0</v>
          </cell>
        </row>
        <row r="1147">
          <cell r="BK1147" t="str">
            <v>Galle</v>
          </cell>
          <cell r="BL1147">
            <v>0.25623186620352689</v>
          </cell>
          <cell r="BM1147">
            <v>0</v>
          </cell>
          <cell r="BN1147">
            <v>0</v>
          </cell>
          <cell r="BO1147">
            <v>0.28285182393839153</v>
          </cell>
          <cell r="BP1147">
            <v>0</v>
          </cell>
          <cell r="BQ1147">
            <v>0</v>
          </cell>
          <cell r="BR1147">
            <v>7.9797942524903062E-2</v>
          </cell>
          <cell r="BS1147">
            <v>0</v>
          </cell>
          <cell r="BT1147">
            <v>0</v>
          </cell>
          <cell r="BU1147">
            <v>0.3084355037057121</v>
          </cell>
          <cell r="BV1147">
            <v>0</v>
          </cell>
          <cell r="BW1147">
            <v>0</v>
          </cell>
          <cell r="BX1147">
            <v>0</v>
          </cell>
          <cell r="BY1147">
            <v>0</v>
          </cell>
          <cell r="BZ1147">
            <v>0</v>
          </cell>
          <cell r="CA1147">
            <v>0.24882123430133271</v>
          </cell>
          <cell r="CB1147">
            <v>0</v>
          </cell>
          <cell r="CC1147">
            <v>0</v>
          </cell>
        </row>
        <row r="1148">
          <cell r="BK1148" t="str">
            <v>Kohuwela</v>
          </cell>
          <cell r="BL1148">
            <v>0.23052929746780207</v>
          </cell>
          <cell r="BM1148">
            <v>0</v>
          </cell>
          <cell r="BN1148">
            <v>0</v>
          </cell>
          <cell r="BO1148">
            <v>0.24736348228235047</v>
          </cell>
          <cell r="BP1148">
            <v>0</v>
          </cell>
          <cell r="BQ1148">
            <v>0</v>
          </cell>
          <cell r="BR1148">
            <v>0.12568525660822477</v>
          </cell>
          <cell r="BS1148">
            <v>0</v>
          </cell>
          <cell r="BT1148">
            <v>0</v>
          </cell>
          <cell r="BU1148">
            <v>0.31500417564253264</v>
          </cell>
          <cell r="BV1148">
            <v>0</v>
          </cell>
          <cell r="BW1148">
            <v>0</v>
          </cell>
          <cell r="BX1148">
            <v>0</v>
          </cell>
          <cell r="BY1148">
            <v>0</v>
          </cell>
          <cell r="BZ1148">
            <v>0</v>
          </cell>
          <cell r="CA1148">
            <v>0.13111160359956661</v>
          </cell>
          <cell r="CB1148">
            <v>0</v>
          </cell>
          <cell r="CC1148">
            <v>0</v>
          </cell>
        </row>
        <row r="1149">
          <cell r="BK1149" t="str">
            <v>Mt lavinia-STC</v>
          </cell>
          <cell r="BL1149">
            <v>8.6561188853951948E-2</v>
          </cell>
          <cell r="BM1149">
            <v>0</v>
          </cell>
          <cell r="BN1149">
            <v>0</v>
          </cell>
          <cell r="BO1149">
            <v>9.9746830711857817E-2</v>
          </cell>
          <cell r="BP1149">
            <v>0</v>
          </cell>
          <cell r="BQ1149">
            <v>0</v>
          </cell>
          <cell r="BR1149">
            <v>5.5536207822148425E-5</v>
          </cell>
          <cell r="BS1149">
            <v>0</v>
          </cell>
          <cell r="BT1149">
            <v>0</v>
          </cell>
          <cell r="BU1149">
            <v>0.19806118705142034</v>
          </cell>
          <cell r="BV1149">
            <v>0</v>
          </cell>
          <cell r="BW1149">
            <v>0</v>
          </cell>
          <cell r="BX1149">
            <v>0</v>
          </cell>
          <cell r="BY1149">
            <v>0</v>
          </cell>
          <cell r="BZ1149">
            <v>0</v>
          </cell>
          <cell r="CA1149">
            <v>-0.12818838258647583</v>
          </cell>
          <cell r="CB1149">
            <v>0</v>
          </cell>
          <cell r="CC1149">
            <v>0</v>
          </cell>
        </row>
        <row r="1150">
          <cell r="BK1150" t="str">
            <v>Mini Mart</v>
          </cell>
          <cell r="BL1150">
            <v>0.28357937455835808</v>
          </cell>
          <cell r="BM1150">
            <v>0.28818078184983592</v>
          </cell>
          <cell r="BN1150">
            <v>-1.5967085875544356</v>
          </cell>
          <cell r="BO1150">
            <v>0.29799731902461218</v>
          </cell>
          <cell r="BP1150">
            <v>0.33541415673488501</v>
          </cell>
          <cell r="BQ1150">
            <v>-11.155413973730242</v>
          </cell>
          <cell r="BR1150">
            <v>1.1492145975078236E-4</v>
          </cell>
          <cell r="BS1150">
            <v>2.0435665149843852E-4</v>
          </cell>
          <cell r="BT1150">
            <v>-43.764267564513084</v>
          </cell>
          <cell r="BU1150">
            <v>0.3661283761875293</v>
          </cell>
          <cell r="BV1150">
            <v>0.39215875972560355</v>
          </cell>
          <cell r="BW1150">
            <v>6.6377156935848891</v>
          </cell>
          <cell r="BX1150">
            <v>-1.6665035876250924E-6</v>
          </cell>
          <cell r="BY1150">
            <v>0</v>
          </cell>
          <cell r="BZ1150">
            <v>0</v>
          </cell>
          <cell r="CA1150">
            <v>0.13930466023118743</v>
          </cell>
          <cell r="CB1150">
            <v>0.22029318477739321</v>
          </cell>
          <cell r="CC1150">
            <v>-36.763971898651739</v>
          </cell>
        </row>
        <row r="1151">
          <cell r="BK1151" t="str">
            <v>Express Maligawatte</v>
          </cell>
          <cell r="BL1151">
            <v>0.1873545048771966</v>
          </cell>
          <cell r="BM1151">
            <v>0.25618726748995435</v>
          </cell>
          <cell r="BN1151">
            <v>-26.868143482367575</v>
          </cell>
          <cell r="BO1151">
            <v>0.19412372055684762</v>
          </cell>
          <cell r="BP1151">
            <v>0.30274484194626528</v>
          </cell>
          <cell r="BQ1151">
            <v>-35.878768632727692</v>
          </cell>
          <cell r="BR1151">
            <v>2.7344159195917019E-3</v>
          </cell>
          <cell r="BS1151">
            <v>0.61306995449531565</v>
          </cell>
          <cell r="BT1151">
            <v>-99.553979786557534</v>
          </cell>
          <cell r="BU1151">
            <v>0.29482943125549299</v>
          </cell>
          <cell r="BV1151">
            <v>0.40001166675286093</v>
          </cell>
          <cell r="BW1151">
            <v>26.294791937244334</v>
          </cell>
          <cell r="BX1151">
            <v>0</v>
          </cell>
          <cell r="BY1151">
            <v>0</v>
          </cell>
          <cell r="BZ1151">
            <v>0</v>
          </cell>
          <cell r="CA1151">
            <v>-3.8784234158986075E-2</v>
          </cell>
          <cell r="CB1151">
            <v>0.30696326757854947</v>
          </cell>
          <cell r="CC1151">
            <v>-112.63481277904415</v>
          </cell>
        </row>
        <row r="1152">
          <cell r="BK1152" t="str">
            <v>Express Peradeniya</v>
          </cell>
          <cell r="BL1152">
            <v>6.6754611474338574E-2</v>
          </cell>
          <cell r="BM1152">
            <v>0.23056854074095895</v>
          </cell>
          <cell r="BN1152">
            <v>-71.047823237370181</v>
          </cell>
          <cell r="BO1152">
            <v>7.6077895320878205E-2</v>
          </cell>
          <cell r="BP1152">
            <v>0.2724703577516388</v>
          </cell>
          <cell r="BQ1152">
            <v>-72.078469031033293</v>
          </cell>
          <cell r="BR1152">
            <v>2.350666222175094E-4</v>
          </cell>
          <cell r="BS1152">
            <v>0.61306995449531565</v>
          </cell>
          <cell r="BT1152">
            <v>-99.961657455157621</v>
          </cell>
          <cell r="BU1152">
            <v>0.16843894400117165</v>
          </cell>
          <cell r="BV1152">
            <v>0.36312156815500507</v>
          </cell>
          <cell r="BW1152">
            <v>53.613621780441747</v>
          </cell>
          <cell r="BX1152">
            <v>0</v>
          </cell>
          <cell r="BY1152">
            <v>0</v>
          </cell>
          <cell r="BZ1152">
            <v>0</v>
          </cell>
          <cell r="CA1152">
            <v>-0.13793644450676934</v>
          </cell>
          <cell r="CB1152">
            <v>0.2900629332278703</v>
          </cell>
          <cell r="CC1152">
            <v>-147.55397146811859</v>
          </cell>
        </row>
        <row r="1153">
          <cell r="BK1153" t="str">
            <v>Express Alexandra Place</v>
          </cell>
          <cell r="BL1153">
            <v>0.15343499720572798</v>
          </cell>
          <cell r="BM1153">
            <v>0</v>
          </cell>
          <cell r="BN1153">
            <v>0</v>
          </cell>
          <cell r="BO1153">
            <v>0.17101077609426196</v>
          </cell>
          <cell r="BP1153">
            <v>0</v>
          </cell>
          <cell r="BQ1153">
            <v>0</v>
          </cell>
          <cell r="BR1153">
            <v>7.2343883708283182E-3</v>
          </cell>
          <cell r="BS1153">
            <v>0</v>
          </cell>
          <cell r="BT1153">
            <v>0</v>
          </cell>
          <cell r="BU1153">
            <v>0.2383213332812438</v>
          </cell>
          <cell r="BV1153">
            <v>0</v>
          </cell>
          <cell r="BW1153">
            <v>0</v>
          </cell>
          <cell r="BX1153">
            <v>0</v>
          </cell>
          <cell r="BY1153">
            <v>0</v>
          </cell>
          <cell r="BZ1153">
            <v>0</v>
          </cell>
          <cell r="CA1153">
            <v>1.6971831093336581E-2</v>
          </cell>
          <cell r="CB1153">
            <v>0</v>
          </cell>
          <cell r="CC1153">
            <v>0</v>
          </cell>
        </row>
        <row r="1154">
          <cell r="BK1154" t="str">
            <v>Express Boralla</v>
          </cell>
          <cell r="BL1154">
            <v>1.6178602416856296E-2</v>
          </cell>
          <cell r="BM1154">
            <v>0</v>
          </cell>
          <cell r="BN1154">
            <v>0</v>
          </cell>
          <cell r="BO1154">
            <v>1.2650679087307973E-2</v>
          </cell>
          <cell r="BP1154">
            <v>0</v>
          </cell>
          <cell r="BQ1154">
            <v>0</v>
          </cell>
          <cell r="BR1154">
            <v>9.1387304356842244E-5</v>
          </cell>
          <cell r="BS1154">
            <v>0</v>
          </cell>
          <cell r="BT1154">
            <v>0</v>
          </cell>
          <cell r="BU1154">
            <v>7.9245951327871086E-2</v>
          </cell>
          <cell r="BV1154">
            <v>0</v>
          </cell>
          <cell r="BW1154">
            <v>0</v>
          </cell>
          <cell r="BX1154">
            <v>0</v>
          </cell>
          <cell r="BY1154">
            <v>0</v>
          </cell>
          <cell r="BZ1154">
            <v>0</v>
          </cell>
          <cell r="CA1154">
            <v>-0.1415457747245632</v>
          </cell>
          <cell r="CB1154">
            <v>0</v>
          </cell>
          <cell r="CC1154">
            <v>0</v>
          </cell>
        </row>
        <row r="1155">
          <cell r="BK1155" t="str">
            <v>Express Havelock Road</v>
          </cell>
          <cell r="BL1155">
            <v>2.4266955726378346E-2</v>
          </cell>
          <cell r="BM1155">
            <v>0</v>
          </cell>
          <cell r="BN1155">
            <v>0</v>
          </cell>
          <cell r="BO1155">
            <v>2.8847879849605441E-2</v>
          </cell>
          <cell r="BP1155">
            <v>0</v>
          </cell>
          <cell r="BQ1155">
            <v>0</v>
          </cell>
          <cell r="BR1155">
            <v>8.253450291192553E-4</v>
          </cell>
          <cell r="BS1155">
            <v>0</v>
          </cell>
          <cell r="BT1155">
            <v>0</v>
          </cell>
          <cell r="BU1155">
            <v>9.320692751952897E-2</v>
          </cell>
          <cell r="BV1155">
            <v>0</v>
          </cell>
          <cell r="BW1155">
            <v>0</v>
          </cell>
          <cell r="BX1155">
            <v>0</v>
          </cell>
          <cell r="BY1155">
            <v>0</v>
          </cell>
          <cell r="BZ1155">
            <v>0</v>
          </cell>
          <cell r="CA1155">
            <v>-0.11998457166620582</v>
          </cell>
          <cell r="CB1155">
            <v>0</v>
          </cell>
          <cell r="CC1155">
            <v>0</v>
          </cell>
        </row>
        <row r="1156">
          <cell r="BK1156" t="str">
            <v>Express Maradana</v>
          </cell>
          <cell r="BL1156">
            <v>1.7534911519070406E-3</v>
          </cell>
          <cell r="BM1156">
            <v>0</v>
          </cell>
          <cell r="BN1156">
            <v>0</v>
          </cell>
          <cell r="BO1156">
            <v>5.344194311281145E-4</v>
          </cell>
          <cell r="BP1156">
            <v>0</v>
          </cell>
          <cell r="BQ1156">
            <v>0</v>
          </cell>
          <cell r="BR1156">
            <v>5.4986344378364775E-7</v>
          </cell>
          <cell r="BS1156">
            <v>0</v>
          </cell>
          <cell r="BT1156">
            <v>0</v>
          </cell>
          <cell r="BU1156">
            <v>1.0925190795451787E-2</v>
          </cell>
          <cell r="BV1156">
            <v>0</v>
          </cell>
          <cell r="BW1156">
            <v>0</v>
          </cell>
          <cell r="BX1156">
            <v>0</v>
          </cell>
          <cell r="BY1156">
            <v>0</v>
          </cell>
          <cell r="BZ1156">
            <v>0</v>
          </cell>
          <cell r="CA1156">
            <v>-2.3524352515839866E-2</v>
          </cell>
          <cell r="CB1156">
            <v>0</v>
          </cell>
          <cell r="CC1156">
            <v>0</v>
          </cell>
        </row>
        <row r="1157">
          <cell r="BK1157" t="str">
            <v xml:space="preserve">Food City </v>
          </cell>
          <cell r="BL1157">
            <v>100</v>
          </cell>
          <cell r="BM1157">
            <v>100</v>
          </cell>
          <cell r="BN1157">
            <v>0</v>
          </cell>
          <cell r="BO1157">
            <v>100</v>
          </cell>
          <cell r="BP1157">
            <v>100</v>
          </cell>
          <cell r="BQ1157">
            <v>0</v>
          </cell>
          <cell r="BR1157">
            <v>100</v>
          </cell>
          <cell r="BS1157">
            <v>100</v>
          </cell>
          <cell r="BT1157">
            <v>0</v>
          </cell>
          <cell r="BU1157">
            <v>100</v>
          </cell>
          <cell r="BV1157">
            <v>100</v>
          </cell>
          <cell r="BW1157">
            <v>0</v>
          </cell>
          <cell r="BX1157">
            <v>100</v>
          </cell>
          <cell r="BY1157">
            <v>100</v>
          </cell>
          <cell r="BZ1157">
            <v>0</v>
          </cell>
          <cell r="CA1157">
            <v>100</v>
          </cell>
          <cell r="CB1157">
            <v>100</v>
          </cell>
          <cell r="CC1157">
            <v>0</v>
          </cell>
        </row>
        <row r="1178">
          <cell r="BJ1178">
            <v>35</v>
          </cell>
          <cell r="CB1178" t="str">
            <v>Appendix IV</v>
          </cell>
        </row>
        <row r="1179">
          <cell r="BJ1179" t="str">
            <v>CARGILLS ( CEYLON ) LTD</v>
          </cell>
        </row>
        <row r="1181">
          <cell r="BJ1181" t="str">
            <v xml:space="preserve"> Contribution % by Profit Centres/Divisions  -Twelve  months ended 31st March 2004 </v>
          </cell>
        </row>
        <row r="1182">
          <cell r="BK1182" t="str">
            <v>YTD V BUD</v>
          </cell>
          <cell r="CC1182">
            <v>38154.357810300928</v>
          </cell>
        </row>
        <row r="1183">
          <cell r="BJ1183" t="str">
            <v>Profit Centre</v>
          </cell>
          <cell r="BL1183" t="str">
            <v>Gross Turnover</v>
          </cell>
          <cell r="BO1183" t="str">
            <v>Achieved Gross Profit</v>
          </cell>
          <cell r="BR1183" t="str">
            <v>Other Income</v>
          </cell>
          <cell r="BU1183" t="str">
            <v>Direct Expenses</v>
          </cell>
          <cell r="BX1183" t="str">
            <v>D&amp;A and Finance</v>
          </cell>
          <cell r="CA1183" t="str">
            <v>Contribution</v>
          </cell>
        </row>
        <row r="1184">
          <cell r="BL1184">
            <v>38047</v>
          </cell>
          <cell r="BM1184" t="str">
            <v>Budget</v>
          </cell>
          <cell r="BN1184" t="str">
            <v>Var %</v>
          </cell>
          <cell r="BO1184">
            <v>38047</v>
          </cell>
          <cell r="BP1184" t="str">
            <v>Budget</v>
          </cell>
          <cell r="BQ1184" t="str">
            <v>Var %</v>
          </cell>
          <cell r="BR1184">
            <v>38047</v>
          </cell>
          <cell r="BS1184" t="str">
            <v>Budget</v>
          </cell>
          <cell r="BT1184" t="str">
            <v>Var %</v>
          </cell>
          <cell r="BU1184">
            <v>38047</v>
          </cell>
          <cell r="BV1184" t="str">
            <v>Budget</v>
          </cell>
          <cell r="BW1184" t="str">
            <v>Var %</v>
          </cell>
          <cell r="BX1184">
            <v>38047</v>
          </cell>
          <cell r="BY1184" t="str">
            <v>Budget</v>
          </cell>
          <cell r="BZ1184" t="str">
            <v>Var %</v>
          </cell>
          <cell r="CA1184">
            <v>38047</v>
          </cell>
          <cell r="CB1184" t="str">
            <v>Budget</v>
          </cell>
          <cell r="CC1184" t="str">
            <v>Var %</v>
          </cell>
        </row>
        <row r="1185">
          <cell r="BK1185" t="str">
            <v>Staples Street</v>
          </cell>
          <cell r="BL1185">
            <v>9.1583968818043928</v>
          </cell>
          <cell r="BM1185">
            <v>10.956962059444034</v>
          </cell>
          <cell r="BN1185">
            <v>-16.414816149604359</v>
          </cell>
          <cell r="BO1185">
            <v>9.5710959108544333</v>
          </cell>
          <cell r="BP1185">
            <v>11.386808089818578</v>
          </cell>
          <cell r="BQ1185">
            <v>-15.945752002158084</v>
          </cell>
          <cell r="BR1185">
            <v>8.8375436887333159</v>
          </cell>
          <cell r="BS1185">
            <v>7.9239686612035021</v>
          </cell>
          <cell r="BT1185">
            <v>11.529260987650838</v>
          </cell>
          <cell r="BU1185">
            <v>7.626924035226275</v>
          </cell>
          <cell r="BV1185">
            <v>8.3782185575318024</v>
          </cell>
          <cell r="BW1185">
            <v>8.9672347068355371</v>
          </cell>
          <cell r="BX1185">
            <v>6.4531426823568676</v>
          </cell>
          <cell r="BY1185">
            <v>6.052231797047698</v>
          </cell>
          <cell r="BZ1185">
            <v>-6.6241825950013267</v>
          </cell>
          <cell r="CA1185">
            <v>14.645200577144251</v>
          </cell>
          <cell r="CB1185">
            <v>18.165298466534839</v>
          </cell>
          <cell r="CC1185">
            <v>-19.378145070809129</v>
          </cell>
        </row>
        <row r="1186">
          <cell r="BK1186" t="str">
            <v>Kandy</v>
          </cell>
          <cell r="BL1186">
            <v>6.9548275831999824</v>
          </cell>
          <cell r="BM1186">
            <v>7.5986154642266044</v>
          </cell>
          <cell r="BN1186">
            <v>-8.4724366439846879</v>
          </cell>
          <cell r="BO1186">
            <v>6.1670878558934588</v>
          </cell>
          <cell r="BP1186">
            <v>6.3874144977975096</v>
          </cell>
          <cell r="BQ1186">
            <v>-3.4493869464714284</v>
          </cell>
          <cell r="BR1186">
            <v>6.0336654357458031</v>
          </cell>
          <cell r="BS1186">
            <v>6.3120517427059433</v>
          </cell>
          <cell r="BT1186">
            <v>-4.4103932969471744</v>
          </cell>
          <cell r="BU1186">
            <v>3.9515748157271102</v>
          </cell>
          <cell r="BV1186">
            <v>4.3335808358347476</v>
          </cell>
          <cell r="BW1186">
            <v>8.8150200625957442</v>
          </cell>
          <cell r="BX1186">
            <v>5.3482133084839827</v>
          </cell>
          <cell r="BY1186">
            <v>4.8208982823729913</v>
          </cell>
          <cell r="BZ1186">
            <v>-10.938107282600267</v>
          </cell>
          <cell r="CA1186">
            <v>11.366682829059773</v>
          </cell>
          <cell r="CB1186">
            <v>11.119396852457111</v>
          </cell>
          <cell r="CC1186">
            <v>2.2239153785397767</v>
          </cell>
        </row>
        <row r="1187">
          <cell r="BK1187" t="str">
            <v>Mount Lavinia</v>
          </cell>
          <cell r="BL1187">
            <v>4.451133489481844</v>
          </cell>
          <cell r="BM1187">
            <v>4.5781471408733747</v>
          </cell>
          <cell r="BN1187">
            <v>-2.7743462034577662</v>
          </cell>
          <cell r="BO1187">
            <v>3.4449733098330659</v>
          </cell>
          <cell r="BP1187">
            <v>3.3201337603396235</v>
          </cell>
          <cell r="BQ1187">
            <v>3.7600759037091431</v>
          </cell>
          <cell r="BR1187">
            <v>2.2287393902564152</v>
          </cell>
          <cell r="BS1187">
            <v>2.6834341305464973</v>
          </cell>
          <cell r="BT1187">
            <v>-16.944509094303008</v>
          </cell>
          <cell r="BU1187">
            <v>2.8015037802162199</v>
          </cell>
          <cell r="BV1187">
            <v>2.9742264009709944</v>
          </cell>
          <cell r="BW1187">
            <v>5.8073124728630559</v>
          </cell>
          <cell r="BX1187">
            <v>1.132645909966052</v>
          </cell>
          <cell r="BY1187">
            <v>1.1330938417808103</v>
          </cell>
          <cell r="BZ1187">
            <v>3.9531749113943061E-2</v>
          </cell>
          <cell r="CA1187">
            <v>5.1970275338457395</v>
          </cell>
          <cell r="CB1187">
            <v>4.519305274726924</v>
          </cell>
          <cell r="CC1187">
            <v>14.996160204286408</v>
          </cell>
        </row>
        <row r="1188">
          <cell r="BK1188" t="str">
            <v>Wellawatte</v>
          </cell>
          <cell r="BL1188">
            <v>1.5144460931535431</v>
          </cell>
          <cell r="BM1188">
            <v>1.7481056662904761</v>
          </cell>
          <cell r="BN1188">
            <v>-13.366444468586646</v>
          </cell>
          <cell r="BO1188">
            <v>1.5532021545356309</v>
          </cell>
          <cell r="BP1188">
            <v>1.8236737171235065</v>
          </cell>
          <cell r="BQ1188">
            <v>-14.831137831743952</v>
          </cell>
          <cell r="BR1188">
            <v>0.9544735264216434</v>
          </cell>
          <cell r="BS1188">
            <v>0.8509546469760596</v>
          </cell>
          <cell r="BT1188">
            <v>12.165028984029529</v>
          </cell>
          <cell r="BU1188">
            <v>2.1649992645195102</v>
          </cell>
          <cell r="BV1188">
            <v>1.6227591095324785</v>
          </cell>
          <cell r="BW1188">
            <v>-33.414704117313669</v>
          </cell>
          <cell r="BX1188">
            <v>0.3615138731769747</v>
          </cell>
          <cell r="BY1188">
            <v>0.36940749787894567</v>
          </cell>
          <cell r="BZ1188">
            <v>2.1368339157419323</v>
          </cell>
          <cell r="CA1188">
            <v>0.33524749842963414</v>
          </cell>
          <cell r="CB1188">
            <v>2.3775357871060243</v>
          </cell>
          <cell r="CC1188">
            <v>-85.899371094737418</v>
          </cell>
        </row>
        <row r="1189">
          <cell r="BK1189" t="str">
            <v>Bambalapitiya</v>
          </cell>
          <cell r="BL1189">
            <v>3.1027035552671429</v>
          </cell>
          <cell r="BM1189">
            <v>4.1578815155714564</v>
          </cell>
          <cell r="BN1189">
            <v>-25.377778475712297</v>
          </cell>
          <cell r="BO1189">
            <v>3.2549863030230144</v>
          </cell>
          <cell r="BP1189">
            <v>4.3266878036783201</v>
          </cell>
          <cell r="BQ1189">
            <v>-24.769559286071022</v>
          </cell>
          <cell r="BR1189">
            <v>4.5765589318685862</v>
          </cell>
          <cell r="BS1189">
            <v>4.4014154503964882</v>
          </cell>
          <cell r="BT1189">
            <v>3.979253570719409</v>
          </cell>
          <cell r="BU1189">
            <v>3.462823254458808</v>
          </cell>
          <cell r="BV1189">
            <v>4.117963296460017</v>
          </cell>
          <cell r="BW1189">
            <v>15.909322032189948</v>
          </cell>
          <cell r="BX1189">
            <v>0.89093182869676935</v>
          </cell>
          <cell r="BY1189">
            <v>0.8219463089921879</v>
          </cell>
          <cell r="BZ1189">
            <v>-8.3929471973864782</v>
          </cell>
          <cell r="CA1189">
            <v>3.8888161013161828</v>
          </cell>
          <cell r="CB1189">
            <v>5.8966731994313166</v>
          </cell>
          <cell r="CC1189">
            <v>-34.050676206861425</v>
          </cell>
        </row>
        <row r="1190">
          <cell r="BK1190" t="str">
            <v>Nuwara Eliya</v>
          </cell>
          <cell r="BL1190">
            <v>1.7162902492918284</v>
          </cell>
          <cell r="BM1190">
            <v>1.7453637765584771</v>
          </cell>
          <cell r="BN1190">
            <v>-1.6657574573924134</v>
          </cell>
          <cell r="BO1190">
            <v>1.5273475896779294</v>
          </cell>
          <cell r="BP1190">
            <v>1.4370604037235022</v>
          </cell>
          <cell r="BQ1190">
            <v>6.282769027696272</v>
          </cell>
          <cell r="BR1190">
            <v>1.8615443125445656</v>
          </cell>
          <cell r="BS1190">
            <v>2.9600674575895631</v>
          </cell>
          <cell r="BT1190">
            <v>-37.111422654521022</v>
          </cell>
          <cell r="BU1190">
            <v>1.5780795441043887</v>
          </cell>
          <cell r="BV1190">
            <v>1.7728337048639513</v>
          </cell>
          <cell r="BW1190">
            <v>10.985472592563793</v>
          </cell>
          <cell r="BX1190">
            <v>2.4575164327385601</v>
          </cell>
          <cell r="BY1190">
            <v>2.0975459834448551</v>
          </cell>
          <cell r="BZ1190">
            <v>-17.16150454554117</v>
          </cell>
          <cell r="CA1190">
            <v>1.2441774361182487</v>
          </cell>
          <cell r="CB1190">
            <v>1.0388503317279327</v>
          </cell>
          <cell r="CC1190">
            <v>19.764839854148462</v>
          </cell>
        </row>
        <row r="1191">
          <cell r="BK1191" t="str">
            <v>Bandarawela</v>
          </cell>
          <cell r="BL1191">
            <v>3.6058234667497322</v>
          </cell>
          <cell r="BM1191">
            <v>4.177748963826331</v>
          </cell>
          <cell r="BN1191">
            <v>-13.689800465004046</v>
          </cell>
          <cell r="BO1191">
            <v>1.9668418025492711</v>
          </cell>
          <cell r="BP1191">
            <v>2.1377380521998934</v>
          </cell>
          <cell r="BQ1191">
            <v>-7.994255866604294</v>
          </cell>
          <cell r="BR1191">
            <v>1.1653651424886686</v>
          </cell>
          <cell r="BS1191">
            <v>1.4785900424948275</v>
          </cell>
          <cell r="BT1191">
            <v>-21.184026065646567</v>
          </cell>
          <cell r="BU1191">
            <v>1.5200538791292513</v>
          </cell>
          <cell r="BV1191">
            <v>1.5798104243591384</v>
          </cell>
          <cell r="BW1191">
            <v>3.7825136680008828</v>
          </cell>
          <cell r="BX1191">
            <v>0.6092946128947313</v>
          </cell>
          <cell r="BY1191">
            <v>0.55069439100506623</v>
          </cell>
          <cell r="BZ1191">
            <v>-10.641151035280103</v>
          </cell>
          <cell r="CA1191">
            <v>3.1240824817473496</v>
          </cell>
          <cell r="CB1191">
            <v>3.5787996273222369</v>
          </cell>
          <cell r="CC1191">
            <v>-12.705856514104982</v>
          </cell>
        </row>
        <row r="1192">
          <cell r="BK1192" t="str">
            <v>Maharagama</v>
          </cell>
          <cell r="BL1192">
            <v>3.1030121809485003</v>
          </cell>
          <cell r="BM1192">
            <v>3.2362377381370453</v>
          </cell>
          <cell r="BN1192">
            <v>-4.1166801690297596</v>
          </cell>
          <cell r="BO1192">
            <v>3.3973218742753262</v>
          </cell>
          <cell r="BP1192">
            <v>3.4162314747175424</v>
          </cell>
          <cell r="BQ1192">
            <v>-0.55352222418651242</v>
          </cell>
          <cell r="BR1192">
            <v>2.4548436221946068</v>
          </cell>
          <cell r="BS1192">
            <v>2.633879263426758</v>
          </cell>
          <cell r="BT1192">
            <v>-6.7974126118150275</v>
          </cell>
          <cell r="BU1192">
            <v>2.885366968963111</v>
          </cell>
          <cell r="BV1192">
            <v>2.9238081921184147</v>
          </cell>
          <cell r="BW1192">
            <v>1.3147655601666384</v>
          </cell>
          <cell r="BX1192">
            <v>1.0006219275664867</v>
          </cell>
          <cell r="BY1192">
            <v>1.0290558094377145</v>
          </cell>
          <cell r="BZ1192">
            <v>2.7631039648631188</v>
          </cell>
          <cell r="CA1192">
            <v>4.9622527678301376</v>
          </cell>
          <cell r="CB1192">
            <v>4.9342446252061816</v>
          </cell>
          <cell r="CC1192">
            <v>0.56762776780216218</v>
          </cell>
        </row>
        <row r="1193">
          <cell r="BK1193" t="str">
            <v>Kiribathgoda</v>
          </cell>
          <cell r="BL1193">
            <v>1.6882716025874391</v>
          </cell>
          <cell r="BM1193">
            <v>2.4918081052398064</v>
          </cell>
          <cell r="BN1193">
            <v>-32.24712613152996</v>
          </cell>
          <cell r="BO1193">
            <v>1.8311208394476852</v>
          </cell>
          <cell r="BP1193">
            <v>2.6789006144691765</v>
          </cell>
          <cell r="BQ1193">
            <v>-31.646555696859195</v>
          </cell>
          <cell r="BR1193">
            <v>0.99367657183910962</v>
          </cell>
          <cell r="BS1193">
            <v>1.5215519441318464</v>
          </cell>
          <cell r="BT1193">
            <v>-34.693220584981553</v>
          </cell>
          <cell r="BU1193">
            <v>1.5843055832904371</v>
          </cell>
          <cell r="BV1193">
            <v>2.1002333428165159</v>
          </cell>
          <cell r="BW1193">
            <v>24.565258964710765</v>
          </cell>
          <cell r="BX1193">
            <v>0.50066700675226217</v>
          </cell>
          <cell r="BY1193">
            <v>0.53201147318908748</v>
          </cell>
          <cell r="BZ1193">
            <v>5.8916899383643297</v>
          </cell>
          <cell r="CA1193">
            <v>2.5178454793898228</v>
          </cell>
          <cell r="CB1193">
            <v>4.174511938432679</v>
          </cell>
          <cell r="CC1193">
            <v>-39.685272996604525</v>
          </cell>
        </row>
        <row r="1194">
          <cell r="BK1194" t="str">
            <v>Nugegoda</v>
          </cell>
          <cell r="BL1194">
            <v>3.3386908992210405</v>
          </cell>
          <cell r="BM1194">
            <v>4.1574923359911784</v>
          </cell>
          <cell r="BN1194">
            <v>-19.694598825398181</v>
          </cell>
          <cell r="BO1194">
            <v>3.6799062647899832</v>
          </cell>
          <cell r="BP1194">
            <v>4.5585474551366296</v>
          </cell>
          <cell r="BQ1194">
            <v>-19.274586894046312</v>
          </cell>
          <cell r="BR1194">
            <v>4.7009444225707773</v>
          </cell>
          <cell r="BS1194">
            <v>4.5018834967998274</v>
          </cell>
          <cell r="BT1194">
            <v>4.421725393659182</v>
          </cell>
          <cell r="BU1194">
            <v>3.6562317673360907</v>
          </cell>
          <cell r="BV1194">
            <v>4.2541542211508885</v>
          </cell>
          <cell r="BW1194">
            <v>14.055025340690166</v>
          </cell>
          <cell r="BX1194">
            <v>1.7608690332733861</v>
          </cell>
          <cell r="BY1194">
            <v>1.7438768163161544</v>
          </cell>
          <cell r="BZ1194">
            <v>-0.97439319097817767</v>
          </cell>
          <cell r="CA1194">
            <v>4.612629683949157</v>
          </cell>
          <cell r="CB1194">
            <v>6.0641801613926241</v>
          </cell>
          <cell r="CC1194">
            <v>-23.936466905859902</v>
          </cell>
        </row>
        <row r="1195">
          <cell r="BK1195" t="str">
            <v>Fort</v>
          </cell>
          <cell r="BL1195">
            <v>2.392146148437539</v>
          </cell>
          <cell r="BM1195">
            <v>3.0185694119960571</v>
          </cell>
          <cell r="BN1195">
            <v>-20.752322642277417</v>
          </cell>
          <cell r="BO1195">
            <v>1.8108672446299541</v>
          </cell>
          <cell r="BP1195">
            <v>2.2948484477058697</v>
          </cell>
          <cell r="BQ1195">
            <v>-21.08989827017751</v>
          </cell>
          <cell r="BR1195">
            <v>1.7981699654545862</v>
          </cell>
          <cell r="BS1195">
            <v>1.9006756751235903</v>
          </cell>
          <cell r="BT1195">
            <v>-5.3931194580231949</v>
          </cell>
          <cell r="BU1195">
            <v>1.1449196698042787</v>
          </cell>
          <cell r="BV1195">
            <v>1.2114681737537678</v>
          </cell>
          <cell r="BW1195">
            <v>5.4932110798492282</v>
          </cell>
          <cell r="BX1195">
            <v>0.4802445389211431</v>
          </cell>
          <cell r="BY1195">
            <v>0.73680711879852334</v>
          </cell>
          <cell r="BZ1195">
            <v>34.820860620313326</v>
          </cell>
          <cell r="CA1195">
            <v>3.6999581310227758</v>
          </cell>
          <cell r="CB1195">
            <v>4.9049432249924898</v>
          </cell>
          <cell r="CC1195">
            <v>-24.566749067142545</v>
          </cell>
        </row>
        <row r="1196">
          <cell r="BK1196" t="str">
            <v>Malabe</v>
          </cell>
          <cell r="BL1196">
            <v>2.3819094034648089</v>
          </cell>
          <cell r="BM1196">
            <v>2.6689731391741298</v>
          </cell>
          <cell r="BN1196">
            <v>-10.755587289205467</v>
          </cell>
          <cell r="BO1196">
            <v>2.5040864088823893</v>
          </cell>
          <cell r="BP1196">
            <v>2.8878233842621803</v>
          </cell>
          <cell r="BQ1196">
            <v>-13.288104025718777</v>
          </cell>
          <cell r="BR1196">
            <v>2.0009744166172334</v>
          </cell>
          <cell r="BS1196">
            <v>1.9402704210679509</v>
          </cell>
          <cell r="BT1196">
            <v>3.128635827776534</v>
          </cell>
          <cell r="BU1196">
            <v>2.3841701587347037</v>
          </cell>
          <cell r="BV1196">
            <v>2.8238889851674847</v>
          </cell>
          <cell r="BW1196">
            <v>15.571392102961909</v>
          </cell>
          <cell r="BX1196">
            <v>0.74195774704868855</v>
          </cell>
          <cell r="BY1196">
            <v>0.75644050636536742</v>
          </cell>
          <cell r="BZ1196">
            <v>1.9145933083709772</v>
          </cell>
          <cell r="CA1196">
            <v>3.1346542023707165</v>
          </cell>
          <cell r="CB1196">
            <v>3.3808202298453112</v>
          </cell>
          <cell r="CC1196">
            <v>-7.2812516117089725</v>
          </cell>
        </row>
        <row r="1197">
          <cell r="BK1197" t="str">
            <v>Negombo</v>
          </cell>
          <cell r="BL1197">
            <v>4.0463593544622656</v>
          </cell>
          <cell r="BM1197">
            <v>3.8397368730074053</v>
          </cell>
          <cell r="BN1197">
            <v>5.3811625194261534</v>
          </cell>
          <cell r="BO1197">
            <v>2.9594161866900315</v>
          </cell>
          <cell r="BP1197">
            <v>4.0103026711993612</v>
          </cell>
          <cell r="BQ1197">
            <v>-26.204667594205333</v>
          </cell>
          <cell r="BR1197">
            <v>7.6376658136605604</v>
          </cell>
          <cell r="BS1197">
            <v>7.9828548468989569</v>
          </cell>
          <cell r="BT1197">
            <v>-4.3241301496605518</v>
          </cell>
          <cell r="BU1197">
            <v>2.7103269993208912</v>
          </cell>
          <cell r="BV1197">
            <v>2.9613061311435489</v>
          </cell>
          <cell r="BW1197">
            <v>8.4752849150972018</v>
          </cell>
          <cell r="BX1197">
            <v>1.3267180692368261</v>
          </cell>
          <cell r="BY1197">
            <v>1.3643725087887555</v>
          </cell>
          <cell r="BZ1197">
            <v>2.7598356980497747</v>
          </cell>
          <cell r="CA1197">
            <v>5.4531412171622922</v>
          </cell>
          <cell r="CB1197">
            <v>8.3503325138927611</v>
          </cell>
          <cell r="CC1197">
            <v>-34.695520111448296</v>
          </cell>
        </row>
        <row r="1198">
          <cell r="BK1198" t="str">
            <v>Rajagiriya</v>
          </cell>
          <cell r="BL1198">
            <v>2.1399331721929569</v>
          </cell>
          <cell r="BM1198">
            <v>2.3347931727662163</v>
          </cell>
          <cell r="BN1198">
            <v>-8.3459212938503349</v>
          </cell>
          <cell r="BO1198">
            <v>2.3341768035352919</v>
          </cell>
          <cell r="BP1198">
            <v>2.5178558269096918</v>
          </cell>
          <cell r="BQ1198">
            <v>-7.2950572233454549</v>
          </cell>
          <cell r="BR1198">
            <v>1.5303719400811706</v>
          </cell>
          <cell r="BS1198">
            <v>1.6057405281407748</v>
          </cell>
          <cell r="BT1198">
            <v>-4.6936965679548877</v>
          </cell>
          <cell r="BU1198">
            <v>1.9419824633482679</v>
          </cell>
          <cell r="BV1198">
            <v>2.1878355565426317</v>
          </cell>
          <cell r="BW1198">
            <v>11.237274778680252</v>
          </cell>
          <cell r="BX1198">
            <v>1.0470729236509364</v>
          </cell>
          <cell r="BY1198">
            <v>1.7371866951040489</v>
          </cell>
          <cell r="BZ1198">
            <v>39.725941569669807</v>
          </cell>
          <cell r="CA1198">
            <v>3.3468236956523651</v>
          </cell>
          <cell r="CB1198">
            <v>3.1459658489408469</v>
          </cell>
          <cell r="CC1198">
            <v>6.3846162468400971</v>
          </cell>
        </row>
        <row r="1199">
          <cell r="BK1199" t="str">
            <v>Boralesgamuwa</v>
          </cell>
          <cell r="BL1199">
            <v>1.0014675945069365</v>
          </cell>
          <cell r="BM1199">
            <v>1.0678609687263763</v>
          </cell>
          <cell r="BN1199">
            <v>-6.2174174507591857</v>
          </cell>
          <cell r="BO1199">
            <v>1.009071383854705</v>
          </cell>
          <cell r="BP1199">
            <v>1.1309350088801575</v>
          </cell>
          <cell r="BQ1199">
            <v>-10.775475519687106</v>
          </cell>
          <cell r="BR1199">
            <v>0.65980568826543862</v>
          </cell>
          <cell r="BS1199">
            <v>0.9032821016473187</v>
          </cell>
          <cell r="BT1199">
            <v>-26.954637198927255</v>
          </cell>
          <cell r="BU1199">
            <v>1.31132716672461</v>
          </cell>
          <cell r="BV1199">
            <v>1.4850502115447775</v>
          </cell>
          <cell r="BW1199">
            <v>11.69812599396605</v>
          </cell>
          <cell r="BX1199">
            <v>0.66770858550744239</v>
          </cell>
          <cell r="BY1199">
            <v>0.71888138257086587</v>
          </cell>
          <cell r="BZ1199">
            <v>7.1183923111792318</v>
          </cell>
          <cell r="CA1199">
            <v>0.31827443509955367</v>
          </cell>
          <cell r="CB1199">
            <v>0.45128223994353228</v>
          </cell>
          <cell r="CC1199">
            <v>-29.473308070049804</v>
          </cell>
        </row>
        <row r="1200">
          <cell r="BK1200" t="str">
            <v>Pitakotte</v>
          </cell>
          <cell r="BL1200">
            <v>2.0436336994892943</v>
          </cell>
          <cell r="BM1200">
            <v>2.2401068530381609</v>
          </cell>
          <cell r="BN1200">
            <v>-8.7707045439550573</v>
          </cell>
          <cell r="BO1200">
            <v>2.2365453150064698</v>
          </cell>
          <cell r="BP1200">
            <v>2.4121785800698206</v>
          </cell>
          <cell r="BQ1200">
            <v>-7.2811054087988394</v>
          </cell>
          <cell r="BR1200">
            <v>1.8784709237395818</v>
          </cell>
          <cell r="BS1200">
            <v>2.0936811748285411</v>
          </cell>
          <cell r="BT1200">
            <v>-10.279036449118555</v>
          </cell>
          <cell r="BU1200">
            <v>1.9926579507662916</v>
          </cell>
          <cell r="BV1200">
            <v>2.2761619703520508</v>
          </cell>
          <cell r="BW1200">
            <v>12.455353497620823</v>
          </cell>
          <cell r="BX1200">
            <v>2.3829435438198812</v>
          </cell>
          <cell r="BY1200">
            <v>2.3648319146894043</v>
          </cell>
          <cell r="BZ1200">
            <v>-0.7658738457466896</v>
          </cell>
          <cell r="CA1200">
            <v>2.6329725254899463</v>
          </cell>
          <cell r="CB1200">
            <v>2.6031258491657328</v>
          </cell>
          <cell r="CC1200">
            <v>1.1465706252265531</v>
          </cell>
        </row>
        <row r="1201">
          <cell r="BK1201" t="str">
            <v>Panadura</v>
          </cell>
          <cell r="BL1201">
            <v>2.4085378837201845</v>
          </cell>
          <cell r="BM1201">
            <v>2.4077108999225829</v>
          </cell>
          <cell r="BN1201">
            <v>3.4347304638118713E-2</v>
          </cell>
          <cell r="BO1201">
            <v>2.5685003854011961</v>
          </cell>
          <cell r="BP1201">
            <v>2.5947483001376352</v>
          </cell>
          <cell r="BQ1201">
            <v>-1.0115784538734212</v>
          </cell>
          <cell r="BR1201">
            <v>1.7413099628766879</v>
          </cell>
          <cell r="BS1201">
            <v>1.7429320658266689</v>
          </cell>
          <cell r="BT1201">
            <v>-9.3067479896965288E-2</v>
          </cell>
          <cell r="BU1201">
            <v>2.4146718917302539</v>
          </cell>
          <cell r="BV1201">
            <v>2.6097058640184865</v>
          </cell>
          <cell r="BW1201">
            <v>7.4734082096100547</v>
          </cell>
          <cell r="BX1201">
            <v>3.4983738714197159</v>
          </cell>
          <cell r="BY1201">
            <v>3.0457698188436986</v>
          </cell>
          <cell r="BZ1201">
            <v>-14.860087252024998</v>
          </cell>
          <cell r="CA1201">
            <v>2.3864196781590725</v>
          </cell>
          <cell r="CB1201">
            <v>2.1365744162428366</v>
          </cell>
          <cell r="CC1201">
            <v>11.693730862676361</v>
          </cell>
        </row>
        <row r="1202">
          <cell r="BK1202" t="str">
            <v>Kurunagala</v>
          </cell>
          <cell r="BL1202">
            <v>1.8260719840448532</v>
          </cell>
          <cell r="BM1202">
            <v>1.6409606652130864</v>
          </cell>
          <cell r="BN1202">
            <v>11.280667645237505</v>
          </cell>
          <cell r="BO1202">
            <v>1.9081862505816152</v>
          </cell>
          <cell r="BP1202">
            <v>1.7973006033908834</v>
          </cell>
          <cell r="BQ1202">
            <v>6.1695660136945936</v>
          </cell>
          <cell r="BR1202">
            <v>1.961142682596561</v>
          </cell>
          <cell r="BS1202">
            <v>2.1547186301975261</v>
          </cell>
          <cell r="BT1202">
            <v>-8.9838155612558896</v>
          </cell>
          <cell r="BU1202">
            <v>2.0951386531281186</v>
          </cell>
          <cell r="BV1202">
            <v>2.3302548498762699</v>
          </cell>
          <cell r="BW1202">
            <v>10.089720305083166</v>
          </cell>
          <cell r="BX1202">
            <v>3.6550855651500069</v>
          </cell>
          <cell r="BY1202">
            <v>3.5601618293946378</v>
          </cell>
          <cell r="BZ1202">
            <v>-2.6662758690244646</v>
          </cell>
          <cell r="CA1202">
            <v>0.99092422748598141</v>
          </cell>
          <cell r="CB1202">
            <v>0.25163845213425773</v>
          </cell>
          <cell r="CC1202">
            <v>293.78887410946618</v>
          </cell>
        </row>
        <row r="1203">
          <cell r="BK1203" t="str">
            <v>Matara</v>
          </cell>
          <cell r="BL1203">
            <v>1.6918717088000941</v>
          </cell>
          <cell r="BM1203">
            <v>1.7677784543282171</v>
          </cell>
          <cell r="BN1203">
            <v>-4.2939060232504511</v>
          </cell>
          <cell r="BO1203">
            <v>1.8093956598187231</v>
          </cell>
          <cell r="BP1203">
            <v>1.9143671981415933</v>
          </cell>
          <cell r="BQ1203">
            <v>-5.4833544173120616</v>
          </cell>
          <cell r="BR1203">
            <v>1.1174597577270382</v>
          </cell>
          <cell r="BS1203">
            <v>1.1665943821198062</v>
          </cell>
          <cell r="BT1203">
            <v>-4.2118001891528003</v>
          </cell>
          <cell r="BU1203">
            <v>2.0542520118602918</v>
          </cell>
          <cell r="BV1203">
            <v>2.137610540884157</v>
          </cell>
          <cell r="BW1203">
            <v>3.8996125547447247</v>
          </cell>
          <cell r="BX1203">
            <v>3.3198740399599256</v>
          </cell>
          <cell r="BY1203">
            <v>3.0258129574888679</v>
          </cell>
          <cell r="BZ1203">
            <v>-9.7184157316551367</v>
          </cell>
          <cell r="CA1203">
            <v>0.59929080014048675</v>
          </cell>
          <cell r="CB1203">
            <v>0.84929549861100417</v>
          </cell>
          <cell r="CC1203">
            <v>-29.436715357539533</v>
          </cell>
        </row>
        <row r="1204">
          <cell r="BK1204" t="str">
            <v>Wattala</v>
          </cell>
          <cell r="BL1204">
            <v>2.6515578317652206</v>
          </cell>
          <cell r="BM1204">
            <v>1.9612881434496303</v>
          </cell>
          <cell r="BN1204">
            <v>35.194710711986609</v>
          </cell>
          <cell r="BO1204">
            <v>1.7978884263286934</v>
          </cell>
          <cell r="BP1204">
            <v>1.8516692681486271</v>
          </cell>
          <cell r="BQ1204">
            <v>-2.9044518232840755</v>
          </cell>
          <cell r="BR1204">
            <v>5.0658737171228667</v>
          </cell>
          <cell r="BS1204">
            <v>3.9483570805637496</v>
          </cell>
          <cell r="BT1204">
            <v>28.303332595226095</v>
          </cell>
          <cell r="BU1204">
            <v>2.4003724043434445</v>
          </cell>
          <cell r="BV1204">
            <v>2.5295906578643215</v>
          </cell>
          <cell r="BW1204">
            <v>5.1082673443288718</v>
          </cell>
          <cell r="BX1204">
            <v>5.085520984992919</v>
          </cell>
          <cell r="BY1204">
            <v>4.9404867701334805</v>
          </cell>
          <cell r="BZ1204">
            <v>-2.9356260143475716</v>
          </cell>
          <cell r="CA1204">
            <v>0.49000339971709361</v>
          </cell>
          <cell r="CB1204">
            <v>0.16450449622672822</v>
          </cell>
          <cell r="CC1204">
            <v>197.86626563795963</v>
          </cell>
        </row>
        <row r="1205">
          <cell r="BK1205" t="str">
            <v>Pelawatte</v>
          </cell>
          <cell r="BL1205">
            <v>2.4889874316721574</v>
          </cell>
          <cell r="BM1205">
            <v>2.7082406495328764</v>
          </cell>
          <cell r="BN1205">
            <v>-8.0957804801628779</v>
          </cell>
          <cell r="BO1205">
            <v>2.7853784240271726</v>
          </cell>
          <cell r="BP1205">
            <v>2.9520152172349925</v>
          </cell>
          <cell r="BQ1205">
            <v>-5.6448487201194162</v>
          </cell>
          <cell r="BR1205">
            <v>2.1746939367424134</v>
          </cell>
          <cell r="BS1205">
            <v>2.1562549332409131</v>
          </cell>
          <cell r="BT1205">
            <v>0.8551402349158197</v>
          </cell>
          <cell r="BU1205">
            <v>2.3922734923376545</v>
          </cell>
          <cell r="BV1205">
            <v>2.6841662816094778</v>
          </cell>
          <cell r="BW1205">
            <v>10.874616497186558</v>
          </cell>
          <cell r="BX1205">
            <v>3.687649876981125</v>
          </cell>
          <cell r="BY1205">
            <v>3.6902250657438995</v>
          </cell>
          <cell r="BZ1205">
            <v>6.978405698557015E-2</v>
          </cell>
          <cell r="CA1205">
            <v>3.218765395070601</v>
          </cell>
          <cell r="CB1205">
            <v>3.0079924544509486</v>
          </cell>
          <cell r="CC1205">
            <v>7.0070967201985521</v>
          </cell>
        </row>
        <row r="1206">
          <cell r="BK1206" t="str">
            <v>Gampaha</v>
          </cell>
          <cell r="BL1206">
            <v>2.1553604628517959</v>
          </cell>
          <cell r="BM1206">
            <v>1.7328792447519998</v>
          </cell>
          <cell r="BN1206">
            <v>24.380303438873451</v>
          </cell>
          <cell r="BO1206">
            <v>1.8415662098618197</v>
          </cell>
          <cell r="BP1206">
            <v>1.8819968614298788</v>
          </cell>
          <cell r="BQ1206">
            <v>-2.1482847499193576</v>
          </cell>
          <cell r="BR1206">
            <v>2.5403148310228101</v>
          </cell>
          <cell r="BS1206">
            <v>2.164559453109637</v>
          </cell>
          <cell r="BT1206">
            <v>17.359439001472445</v>
          </cell>
          <cell r="BU1206">
            <v>2.1839296602949316</v>
          </cell>
          <cell r="BV1206">
            <v>2.3045215968533288</v>
          </cell>
          <cell r="BW1206">
            <v>5.2328403744645939</v>
          </cell>
          <cell r="BX1206">
            <v>5.8067756765791048</v>
          </cell>
          <cell r="BY1206">
            <v>5.8220566118717185</v>
          </cell>
          <cell r="BZ1206">
            <v>0.26246627800654676</v>
          </cell>
          <cell r="CA1206">
            <v>0.12430989453928766</v>
          </cell>
          <cell r="CB1206">
            <v>-0.15045032000264208</v>
          </cell>
          <cell r="CC1206">
            <v>182.62521112424662</v>
          </cell>
        </row>
        <row r="1207">
          <cell r="BK1207" t="str">
            <v>Ja-ela</v>
          </cell>
          <cell r="BL1207">
            <v>2.1219822832598294</v>
          </cell>
          <cell r="BM1207">
            <v>1.9453023601067394</v>
          </cell>
          <cell r="BN1207">
            <v>9.0823887728895532</v>
          </cell>
          <cell r="BO1207">
            <v>2.3289854306157265</v>
          </cell>
          <cell r="BP1207">
            <v>2.1275216186860848</v>
          </cell>
          <cell r="BQ1207">
            <v>9.4694131500323717</v>
          </cell>
          <cell r="BR1207">
            <v>5.4866887582417849</v>
          </cell>
          <cell r="BS1207">
            <v>5.2407539167882558</v>
          </cell>
          <cell r="BT1207">
            <v>4.6927378266264395</v>
          </cell>
          <cell r="BU1207">
            <v>2.3276999348701479</v>
          </cell>
          <cell r="BV1207">
            <v>2.2911440830412695</v>
          </cell>
          <cell r="BW1207">
            <v>-1.595528282112844</v>
          </cell>
          <cell r="BX1207">
            <v>7.7690341992327934</v>
          </cell>
          <cell r="BY1207">
            <v>8.4524137015929615</v>
          </cell>
          <cell r="BZ1207">
            <v>8.085021941500294</v>
          </cell>
          <cell r="CA1207">
            <v>1.7192814952111692</v>
          </cell>
          <cell r="CB1207">
            <v>0.81917967934467639</v>
          </cell>
          <cell r="CC1207">
            <v>109.87843553279448</v>
          </cell>
        </row>
        <row r="1208">
          <cell r="BK1208" t="str">
            <v>Piliyandala</v>
          </cell>
          <cell r="BL1208">
            <v>1.5620485013246306</v>
          </cell>
          <cell r="BM1208">
            <v>1.2268588280508368</v>
          </cell>
          <cell r="BN1208">
            <v>27.320965184423379</v>
          </cell>
          <cell r="BO1208">
            <v>1.5614778310854054</v>
          </cell>
          <cell r="BP1208">
            <v>1.3170700134929185</v>
          </cell>
          <cell r="BQ1208">
            <v>18.556934338236754</v>
          </cell>
          <cell r="BR1208">
            <v>1.4368248933096419</v>
          </cell>
          <cell r="BS1208">
            <v>1.592079666602803</v>
          </cell>
          <cell r="BT1208">
            <v>-9.7516962592987202</v>
          </cell>
          <cell r="BU1208">
            <v>1.9413551112653451</v>
          </cell>
          <cell r="BV1208">
            <v>2.0394078254705779</v>
          </cell>
          <cell r="BW1208">
            <v>4.8079012437155786</v>
          </cell>
          <cell r="BX1208">
            <v>6.9920036929791918</v>
          </cell>
          <cell r="BY1208">
            <v>6.3527112570851845</v>
          </cell>
          <cell r="BZ1208">
            <v>-10.063300691984134</v>
          </cell>
          <cell r="CA1208">
            <v>-0.9254480400782259</v>
          </cell>
          <cell r="CB1208">
            <v>-1.6874152311506609</v>
          </cell>
          <cell r="CC1208">
            <v>45.155879655823895</v>
          </cell>
        </row>
        <row r="1209">
          <cell r="BK1209" t="str">
            <v>Chilaw</v>
          </cell>
          <cell r="BL1209">
            <v>1.3222892560681725</v>
          </cell>
          <cell r="BM1209">
            <v>1.1390264151616416</v>
          </cell>
          <cell r="BN1209">
            <v>16.089428521332728</v>
          </cell>
          <cell r="BO1209">
            <v>1.3090116738831239</v>
          </cell>
          <cell r="BP1209">
            <v>1.2250637368700814</v>
          </cell>
          <cell r="BQ1209">
            <v>6.8525362792568894</v>
          </cell>
          <cell r="BR1209">
            <v>1.6599893984716321</v>
          </cell>
          <cell r="BS1209">
            <v>1.5714200181129683</v>
          </cell>
          <cell r="BT1209">
            <v>5.6362639738433451</v>
          </cell>
          <cell r="BU1209">
            <v>1.8830219279152967</v>
          </cell>
          <cell r="BV1209">
            <v>2.154720079552515</v>
          </cell>
          <cell r="BW1209">
            <v>12.609440744323674</v>
          </cell>
          <cell r="BX1209">
            <v>5.1466511032476792</v>
          </cell>
          <cell r="BY1209">
            <v>5.3325565825029644</v>
          </cell>
          <cell r="BZ1209">
            <v>3.4862354740927284</v>
          </cell>
          <cell r="CA1209">
            <v>-1.0018118501740338</v>
          </cell>
          <cell r="CB1209">
            <v>-1.8911243684501964</v>
          </cell>
          <cell r="CC1209">
            <v>47.025596682727269</v>
          </cell>
        </row>
        <row r="1210">
          <cell r="BK1210" t="str">
            <v>Ratnapura</v>
          </cell>
          <cell r="BL1210">
            <v>2.4431943576127093</v>
          </cell>
          <cell r="BM1210">
            <v>1.8708695078023869</v>
          </cell>
          <cell r="BN1210">
            <v>30.591382639113224</v>
          </cell>
          <cell r="BO1210">
            <v>1.924502648814242</v>
          </cell>
          <cell r="BP1210">
            <v>2.0010143408727705</v>
          </cell>
          <cell r="BQ1210">
            <v>-3.823645363039069</v>
          </cell>
          <cell r="BR1210">
            <v>4.1864831181091677</v>
          </cell>
          <cell r="BS1210">
            <v>1.9721930055173003</v>
          </cell>
          <cell r="BT1210">
            <v>112.27552812515253</v>
          </cell>
          <cell r="BU1210">
            <v>2.2462359707545501</v>
          </cell>
          <cell r="BV1210">
            <v>2.470364309422497</v>
          </cell>
          <cell r="BW1210">
            <v>9.0726836447998203</v>
          </cell>
          <cell r="BX1210">
            <v>8.1633394561769101</v>
          </cell>
          <cell r="BY1210">
            <v>7.7155798092159458</v>
          </cell>
          <cell r="BZ1210">
            <v>-5.8033181955571731</v>
          </cell>
          <cell r="CA1210">
            <v>7.3417894025227984E-2</v>
          </cell>
          <cell r="CB1210">
            <v>-0.79547663902322097</v>
          </cell>
          <cell r="CC1210">
            <v>109.2294217609431</v>
          </cell>
        </row>
        <row r="1211">
          <cell r="BK1211" t="str">
            <v>Nawala</v>
          </cell>
          <cell r="BL1211">
            <v>3.8293027979912866</v>
          </cell>
          <cell r="BM1211">
            <v>2.8802210905984853</v>
          </cell>
          <cell r="BN1211">
            <v>32.951696329519976</v>
          </cell>
          <cell r="BO1211">
            <v>3.5812199990131273</v>
          </cell>
          <cell r="BP1211">
            <v>2.993293985261575</v>
          </cell>
          <cell r="BQ1211">
            <v>19.6414390516398</v>
          </cell>
          <cell r="BR1211">
            <v>5.4430988294130964</v>
          </cell>
          <cell r="BS1211">
            <v>3.0208379136917261</v>
          </cell>
          <cell r="BT1211">
            <v>80.18506735308938</v>
          </cell>
          <cell r="BU1211">
            <v>2.9693226259418641</v>
          </cell>
          <cell r="BV1211">
            <v>2.9495810489854097</v>
          </cell>
          <cell r="BW1211">
            <v>-0.66930105084737579</v>
          </cell>
          <cell r="BX1211">
            <v>8.4963937139362962</v>
          </cell>
          <cell r="BY1211">
            <v>4.6368289505016165</v>
          </cell>
          <cell r="BZ1211">
            <v>-83.237160668114541</v>
          </cell>
          <cell r="CA1211">
            <v>4.1011017144044395</v>
          </cell>
          <cell r="CB1211">
            <v>2.571614745168052</v>
          </cell>
          <cell r="CC1211">
            <v>59.475742706415282</v>
          </cell>
        </row>
        <row r="1212">
          <cell r="BK1212" t="str">
            <v>Collupitiya</v>
          </cell>
          <cell r="BL1212">
            <v>2.1565220520631208</v>
          </cell>
          <cell r="BM1212">
            <v>2.0499397633201237</v>
          </cell>
          <cell r="BN1212">
            <v>5.1992888108270163</v>
          </cell>
          <cell r="BO1212">
            <v>2.3388321995319012</v>
          </cell>
          <cell r="BP1212">
            <v>2.2470138122111223</v>
          </cell>
          <cell r="BQ1212">
            <v>4.086240450405918</v>
          </cell>
          <cell r="BR1212">
            <v>1.5521735506321772</v>
          </cell>
          <cell r="BS1212">
            <v>1.4869669661458353</v>
          </cell>
          <cell r="BT1212">
            <v>4.3852073362029671</v>
          </cell>
          <cell r="BU1212">
            <v>2.4128974092618232</v>
          </cell>
          <cell r="BV1212">
            <v>2.8037501103098776</v>
          </cell>
          <cell r="BW1212">
            <v>13.940354370770097</v>
          </cell>
          <cell r="BX1212">
            <v>3.4733835655845571</v>
          </cell>
          <cell r="BY1212">
            <v>4.3618502002732722</v>
          </cell>
          <cell r="BZ1212">
            <v>20.369031348968662</v>
          </cell>
          <cell r="CA1212">
            <v>1.5949535224928837</v>
          </cell>
          <cell r="CB1212">
            <v>0.16772605266478546</v>
          </cell>
          <cell r="CC1212">
            <v>850.92771644756442</v>
          </cell>
        </row>
        <row r="1213">
          <cell r="BK1213" t="str">
            <v>Dehiwala</v>
          </cell>
          <cell r="BL1213">
            <v>2.1595147908548107</v>
          </cell>
          <cell r="BM1213">
            <v>2.4244929868007588</v>
          </cell>
          <cell r="BN1213">
            <v>-10.929220970673963</v>
          </cell>
          <cell r="BO1213">
            <v>2.2807401826232674</v>
          </cell>
          <cell r="BP1213">
            <v>2.6118748380283421</v>
          </cell>
          <cell r="BQ1213">
            <v>-12.678044544241729</v>
          </cell>
          <cell r="BR1213">
            <v>1.7285518107096085</v>
          </cell>
          <cell r="BS1213">
            <v>1.518243048002879</v>
          </cell>
          <cell r="BT1213">
            <v>13.85211432276097</v>
          </cell>
          <cell r="BU1213">
            <v>2.7294158644988311</v>
          </cell>
          <cell r="BV1213">
            <v>2.7385575198068182</v>
          </cell>
          <cell r="BW1213">
            <v>0.33381279165653299</v>
          </cell>
          <cell r="BX1213">
            <v>2.2352792408875071</v>
          </cell>
          <cell r="BY1213">
            <v>3.2095327439901982</v>
          </cell>
          <cell r="BZ1213">
            <v>30.354994973239208</v>
          </cell>
          <cell r="CA1213">
            <v>1.1097147272852568</v>
          </cell>
          <cell r="CB1213">
            <v>1.7948009171841461</v>
          </cell>
          <cell r="CC1213">
            <v>-38.17059504146664</v>
          </cell>
        </row>
        <row r="1214">
          <cell r="BK1214" t="str">
            <v>Thibirigasyaya</v>
          </cell>
          <cell r="BL1214">
            <v>1.5002142564542356</v>
          </cell>
          <cell r="BM1214">
            <v>1.5137078053414927</v>
          </cell>
          <cell r="BN1214">
            <v>-0.89142361819380533</v>
          </cell>
          <cell r="BO1214">
            <v>1.635592139792734</v>
          </cell>
          <cell r="BP1214">
            <v>1.6423265434863041</v>
          </cell>
          <cell r="BQ1214">
            <v>-0.410052660981443</v>
          </cell>
          <cell r="BR1214">
            <v>0.39745082768619161</v>
          </cell>
          <cell r="BS1214">
            <v>0.36881152085864138</v>
          </cell>
          <cell r="BT1214">
            <v>7.7652961493377912</v>
          </cell>
          <cell r="BU1214">
            <v>1.7395130015748166</v>
          </cell>
          <cell r="BV1214">
            <v>1.8327017743294187</v>
          </cell>
          <cell r="BW1214">
            <v>5.0847756061511804</v>
          </cell>
          <cell r="BX1214">
            <v>2.2509872852190491</v>
          </cell>
          <cell r="BY1214">
            <v>3.5614451380288479</v>
          </cell>
          <cell r="BZ1214">
            <v>36.795677092336106</v>
          </cell>
          <cell r="CA1214">
            <v>0.83614474054233379</v>
          </cell>
          <cell r="CB1214">
            <v>0.21383232156306198</v>
          </cell>
          <cell r="CC1214">
            <v>291.02822923602952</v>
          </cell>
        </row>
        <row r="1215">
          <cell r="BK1215" t="str">
            <v>Moratuwa</v>
          </cell>
          <cell r="BL1215">
            <v>2.4288278658358244</v>
          </cell>
          <cell r="BM1215">
            <v>1.9458833099519302</v>
          </cell>
          <cell r="BN1215">
            <v>24.818782987342885</v>
          </cell>
          <cell r="BO1215">
            <v>2.657633499354251</v>
          </cell>
          <cell r="BP1215">
            <v>2.0990575505138174</v>
          </cell>
          <cell r="BQ1215">
            <v>26.610797245825999</v>
          </cell>
          <cell r="BR1215">
            <v>1.7648631738395921</v>
          </cell>
          <cell r="BS1215">
            <v>1.460682616562009</v>
          </cell>
          <cell r="BT1215">
            <v>20.824548319300821</v>
          </cell>
          <cell r="BU1215">
            <v>2.394721835809893</v>
          </cell>
          <cell r="BV1215">
            <v>2.3941323578855709</v>
          </cell>
          <cell r="BW1215">
            <v>-2.462177675267203E-2</v>
          </cell>
          <cell r="BX1215">
            <v>4.0455484153365751</v>
          </cell>
          <cell r="BY1215">
            <v>4.2016148175216017</v>
          </cell>
          <cell r="BZ1215">
            <v>3.7144385899963397</v>
          </cell>
          <cell r="CA1215">
            <v>2.5672522367153614</v>
          </cell>
          <cell r="CB1215">
            <v>0.60696935947683661</v>
          </cell>
          <cell r="CC1215">
            <v>322.9624109737839</v>
          </cell>
        </row>
        <row r="1216">
          <cell r="BK1216" t="str">
            <v>Kegalle</v>
          </cell>
          <cell r="BL1216">
            <v>1.0057095027527385</v>
          </cell>
          <cell r="BM1216">
            <v>0.9852347947540111</v>
          </cell>
          <cell r="BN1216">
            <v>2.0781551877529303</v>
          </cell>
          <cell r="BO1216">
            <v>0.99923030973956029</v>
          </cell>
          <cell r="BP1216">
            <v>0.98278291822529662</v>
          </cell>
          <cell r="BQ1216">
            <v>1.6735528476587955</v>
          </cell>
          <cell r="BR1216">
            <v>0.89806497509182237</v>
          </cell>
          <cell r="BS1216">
            <v>1.8353455752382917</v>
          </cell>
          <cell r="BT1216">
            <v>-51.068344446509897</v>
          </cell>
          <cell r="BU1216">
            <v>1.5266180403656662</v>
          </cell>
          <cell r="BV1216">
            <v>1.4846435892173722</v>
          </cell>
          <cell r="BW1216">
            <v>-2.827240925239221</v>
          </cell>
          <cell r="BX1216">
            <v>4.9386605380038152E-3</v>
          </cell>
          <cell r="BY1216">
            <v>0</v>
          </cell>
          <cell r="BZ1216">
            <v>0</v>
          </cell>
          <cell r="CA1216">
            <v>6.8553665883378939E-2</v>
          </cell>
          <cell r="CB1216">
            <v>0.53797230799255569</v>
          </cell>
          <cell r="CC1216">
            <v>-87.257027013307237</v>
          </cell>
        </row>
        <row r="1217">
          <cell r="BK1217" t="str">
            <v>Kadawatha</v>
          </cell>
          <cell r="BL1217">
            <v>1.1115528479715635</v>
          </cell>
          <cell r="BM1217">
            <v>1.0710403167674418</v>
          </cell>
          <cell r="BN1217">
            <v>3.7825402620131516</v>
          </cell>
          <cell r="BO1217">
            <v>1.1713378408182149</v>
          </cell>
          <cell r="BP1217">
            <v>1.088253249020507</v>
          </cell>
          <cell r="BQ1217">
            <v>7.6346743621017428</v>
          </cell>
          <cell r="BR1217">
            <v>1.0403142139570214</v>
          </cell>
          <cell r="BS1217">
            <v>0.90230482733581752</v>
          </cell>
          <cell r="BT1217">
            <v>15.29520650229658</v>
          </cell>
          <cell r="BU1217">
            <v>1.7299818686731989</v>
          </cell>
          <cell r="BV1217">
            <v>1.2575460138669505</v>
          </cell>
          <cell r="BW1217">
            <v>-37.568077000499521</v>
          </cell>
          <cell r="BX1217">
            <v>0</v>
          </cell>
          <cell r="BY1217">
            <v>0</v>
          </cell>
          <cell r="BZ1217">
            <v>0</v>
          </cell>
          <cell r="CA1217">
            <v>0.21268984484669595</v>
          </cell>
          <cell r="CB1217">
            <v>1.0204351924161736</v>
          </cell>
          <cell r="CC1217">
            <v>-79.156947307639243</v>
          </cell>
        </row>
        <row r="1218">
          <cell r="BK1218" t="str">
            <v>Aluthgama</v>
          </cell>
          <cell r="BL1218">
            <v>0.98586735449289542</v>
          </cell>
          <cell r="BM1218">
            <v>0.89217755383031661</v>
          </cell>
          <cell r="BN1218">
            <v>10.501250593040327</v>
          </cell>
          <cell r="BO1218">
            <v>1.0915670577701775</v>
          </cell>
          <cell r="BP1218">
            <v>0.89446346889071815</v>
          </cell>
          <cell r="BQ1218">
            <v>22.035957390624372</v>
          </cell>
          <cell r="BR1218">
            <v>0.51501024999105993</v>
          </cell>
          <cell r="BS1218">
            <v>1.6518110177144625</v>
          </cell>
          <cell r="BT1218">
            <v>-68.821478700168953</v>
          </cell>
          <cell r="BU1218">
            <v>1.4207829567839656</v>
          </cell>
          <cell r="BV1218">
            <v>1.337981323659406</v>
          </cell>
          <cell r="BW1218">
            <v>-6.1885492465691101</v>
          </cell>
          <cell r="BX1218">
            <v>0</v>
          </cell>
          <cell r="BY1218">
            <v>0</v>
          </cell>
          <cell r="BZ1218">
            <v>0</v>
          </cell>
          <cell r="CA1218">
            <v>0.48905582152757754</v>
          </cell>
          <cell r="CB1218">
            <v>0.51089197637191108</v>
          </cell>
          <cell r="CC1218">
            <v>-4.2741236610139293</v>
          </cell>
        </row>
        <row r="1219">
          <cell r="BK1219" t="str">
            <v>Park Road</v>
          </cell>
          <cell r="BL1219">
            <v>1.0930188457260388</v>
          </cell>
          <cell r="BM1219">
            <v>0.7958572418193447</v>
          </cell>
          <cell r="BN1219">
            <v>37.338556250035126</v>
          </cell>
          <cell r="BO1219">
            <v>1.1786584827211735</v>
          </cell>
          <cell r="BP1219">
            <v>0.80021717407619297</v>
          </cell>
          <cell r="BQ1219">
            <v>47.292325246814443</v>
          </cell>
          <cell r="BR1219">
            <v>0.52503116594314503</v>
          </cell>
          <cell r="BS1219">
            <v>1.4682764601906333</v>
          </cell>
          <cell r="BT1219">
            <v>-64.241668365712428</v>
          </cell>
          <cell r="BU1219">
            <v>1.1366538973939255</v>
          </cell>
          <cell r="BV1219">
            <v>1.1912774918890148</v>
          </cell>
          <cell r="BW1219">
            <v>4.5852956063555208</v>
          </cell>
          <cell r="BX1219">
            <v>0</v>
          </cell>
          <cell r="BY1219">
            <v>0</v>
          </cell>
          <cell r="BZ1219">
            <v>0</v>
          </cell>
          <cell r="CA1219">
            <v>1.4156902404615175</v>
          </cell>
          <cell r="CB1219">
            <v>0.46577319595748518</v>
          </cell>
          <cell r="CC1219">
            <v>203.94411974508273</v>
          </cell>
        </row>
        <row r="1220">
          <cell r="BK1220" t="str">
            <v>Kotahena</v>
          </cell>
          <cell r="BL1220">
            <v>1.4067979472945225</v>
          </cell>
          <cell r="BM1220">
            <v>0.7958572418193447</v>
          </cell>
          <cell r="BN1220">
            <v>76.76511230563861</v>
          </cell>
          <cell r="BO1220">
            <v>1.5223444197504685</v>
          </cell>
          <cell r="BP1220">
            <v>0.80021717407619297</v>
          </cell>
          <cell r="BQ1220">
            <v>90.241408091238739</v>
          </cell>
          <cell r="BR1220">
            <v>1.9219702157474587</v>
          </cell>
          <cell r="BS1220">
            <v>1.4682764601906333</v>
          </cell>
          <cell r="BT1220">
            <v>30.899750003342032</v>
          </cell>
          <cell r="BU1220">
            <v>1.8266676484772031</v>
          </cell>
          <cell r="BV1220">
            <v>1.1912774918890148</v>
          </cell>
          <cell r="BW1220">
            <v>-53.336872467945895</v>
          </cell>
          <cell r="BX1220">
            <v>0</v>
          </cell>
          <cell r="BY1220">
            <v>0</v>
          </cell>
          <cell r="BZ1220">
            <v>0</v>
          </cell>
          <cell r="CA1220">
            <v>1.4054370673298966</v>
          </cell>
          <cell r="CB1220">
            <v>0.46577319595748518</v>
          </cell>
          <cell r="CC1220">
            <v>201.74279660742479</v>
          </cell>
        </row>
        <row r="1221">
          <cell r="BK1221" t="str">
            <v>Ambalangoda</v>
          </cell>
          <cell r="BL1221">
            <v>0.63246253536851049</v>
          </cell>
          <cell r="BM1221">
            <v>0.5976588717315221</v>
          </cell>
          <cell r="BN1221">
            <v>5.8233325535946792</v>
          </cell>
          <cell r="BO1221">
            <v>0.6553846579071263</v>
          </cell>
          <cell r="BP1221">
            <v>0.60371510753175939</v>
          </cell>
          <cell r="BQ1221">
            <v>8.5585982081206655</v>
          </cell>
          <cell r="BR1221">
            <v>0.46594284793299923</v>
          </cell>
          <cell r="BS1221">
            <v>1.1012073451429749</v>
          </cell>
          <cell r="BT1221">
            <v>-57.688000358142929</v>
          </cell>
          <cell r="BU1221">
            <v>1.0232607426728098</v>
          </cell>
          <cell r="BV1221">
            <v>0.89418142467860073</v>
          </cell>
          <cell r="BW1221">
            <v>-14.435472984758604</v>
          </cell>
          <cell r="BX1221">
            <v>3.627189847841495E-2</v>
          </cell>
          <cell r="BY1221">
            <v>0</v>
          </cell>
          <cell r="BZ1221">
            <v>0</v>
          </cell>
          <cell r="CA1221">
            <v>-5.2536464933771655E-2</v>
          </cell>
          <cell r="CB1221">
            <v>0.35869256365347074</v>
          </cell>
          <cell r="CC1221">
            <v>-114.64665573176663</v>
          </cell>
        </row>
        <row r="1222">
          <cell r="BK1222" t="str">
            <v>Katugastota</v>
          </cell>
          <cell r="BL1222">
            <v>0.84406828040822501</v>
          </cell>
          <cell r="BM1222">
            <v>0.5976588717315221</v>
          </cell>
          <cell r="BN1222">
            <v>41.229105821321085</v>
          </cell>
          <cell r="BO1222">
            <v>0.82137130012574244</v>
          </cell>
          <cell r="BP1222">
            <v>0.60371510753175939</v>
          </cell>
          <cell r="BQ1222">
            <v>36.052798725520205</v>
          </cell>
          <cell r="BR1222">
            <v>0.84532867313979099</v>
          </cell>
          <cell r="BS1222">
            <v>1.1012073451429749</v>
          </cell>
          <cell r="BT1222">
            <v>-23.23619372244216</v>
          </cell>
          <cell r="BU1222">
            <v>1.078296691147361</v>
          </cell>
          <cell r="BV1222">
            <v>0.89418142467860073</v>
          </cell>
          <cell r="BW1222">
            <v>-20.590370297049908</v>
          </cell>
          <cell r="BX1222">
            <v>2.454012857872126E-2</v>
          </cell>
          <cell r="BY1222">
            <v>0</v>
          </cell>
          <cell r="BZ1222">
            <v>0</v>
          </cell>
          <cell r="CA1222">
            <v>0.4822488619877075</v>
          </cell>
          <cell r="CB1222">
            <v>0.35869256365347074</v>
          </cell>
          <cell r="CC1222">
            <v>34.446294920572498</v>
          </cell>
        </row>
        <row r="1223">
          <cell r="BK1223" t="str">
            <v>Beruwela</v>
          </cell>
          <cell r="BL1223">
            <v>0.49610502914345839</v>
          </cell>
          <cell r="BM1223">
            <v>0.50349840383217037</v>
          </cell>
          <cell r="BN1223">
            <v>-1.4684008196332625</v>
          </cell>
          <cell r="BO1223">
            <v>0.50723742113427173</v>
          </cell>
          <cell r="BP1223">
            <v>0.51193852673983054</v>
          </cell>
          <cell r="BQ1223">
            <v>-0.91829494363254505</v>
          </cell>
          <cell r="BR1223">
            <v>0.40994544838348013</v>
          </cell>
          <cell r="BS1223">
            <v>0.91767278761914584</v>
          </cell>
          <cell r="BT1223">
            <v>-55.327710060242474</v>
          </cell>
          <cell r="BU1223">
            <v>0.80896147289953613</v>
          </cell>
          <cell r="BV1223">
            <v>0.74563676357441055</v>
          </cell>
          <cell r="BW1223">
            <v>-8.4927021330817336</v>
          </cell>
          <cell r="BX1223">
            <v>1.6446327860817015E-3</v>
          </cell>
          <cell r="BY1223">
            <v>0</v>
          </cell>
          <cell r="BZ1223">
            <v>0</v>
          </cell>
          <cell r="CA1223">
            <v>-5.5983177414994367E-2</v>
          </cell>
          <cell r="CB1223">
            <v>0.32494453339345969</v>
          </cell>
          <cell r="CC1223">
            <v>-117.22853338394434</v>
          </cell>
        </row>
        <row r="1224">
          <cell r="BK1224" t="str">
            <v>Warakapola</v>
          </cell>
          <cell r="BL1224">
            <v>0.36167954496414861</v>
          </cell>
          <cell r="BM1224">
            <v>0.50349840383217037</v>
          </cell>
          <cell r="BN1224">
            <v>-28.166694827357151</v>
          </cell>
          <cell r="BO1224">
            <v>0.32447036027108284</v>
          </cell>
          <cell r="BP1224">
            <v>0.51193852673983054</v>
          </cell>
          <cell r="BQ1224">
            <v>-36.619272955016307</v>
          </cell>
          <cell r="BR1224">
            <v>0.35449689926765743</v>
          </cell>
          <cell r="BS1224">
            <v>0.91767278761914584</v>
          </cell>
          <cell r="BT1224">
            <v>-61.370010743439266</v>
          </cell>
          <cell r="BU1224">
            <v>0.69767011370237975</v>
          </cell>
          <cell r="BV1224">
            <v>0.74563676357441055</v>
          </cell>
          <cell r="BW1224">
            <v>6.4329781222280085</v>
          </cell>
          <cell r="BX1224">
            <v>3.367141217629373E-4</v>
          </cell>
          <cell r="BY1224">
            <v>0</v>
          </cell>
          <cell r="BZ1224">
            <v>0</v>
          </cell>
          <cell r="CA1224">
            <v>-0.41369912814108178</v>
          </cell>
          <cell r="CB1224">
            <v>0.32494453339345969</v>
          </cell>
          <cell r="CC1224">
            <v>-227.3137676208122</v>
          </cell>
        </row>
        <row r="1225">
          <cell r="BK1225" t="str">
            <v>Karagampitiya</v>
          </cell>
          <cell r="BL1225">
            <v>0.36672609023961106</v>
          </cell>
          <cell r="BM1225">
            <v>0</v>
          </cell>
          <cell r="BN1225">
            <v>0</v>
          </cell>
          <cell r="BO1225">
            <v>0.38001102830710598</v>
          </cell>
          <cell r="BP1225">
            <v>0</v>
          </cell>
          <cell r="BQ1225">
            <v>0</v>
          </cell>
          <cell r="BR1225">
            <v>0.24057715076135711</v>
          </cell>
          <cell r="BS1225">
            <v>0</v>
          </cell>
          <cell r="BT1225">
            <v>0</v>
          </cell>
          <cell r="BU1225">
            <v>0.67278693664429112</v>
          </cell>
          <cell r="BV1225">
            <v>0</v>
          </cell>
          <cell r="BW1225">
            <v>0</v>
          </cell>
          <cell r="BX1225">
            <v>0</v>
          </cell>
          <cell r="BY1225">
            <v>0</v>
          </cell>
          <cell r="BZ1225">
            <v>0</v>
          </cell>
          <cell r="CA1225">
            <v>-0.21288599702743422</v>
          </cell>
          <cell r="CB1225">
            <v>0</v>
          </cell>
          <cell r="CC1225">
            <v>0</v>
          </cell>
        </row>
        <row r="1226">
          <cell r="BK1226" t="str">
            <v>Mathale</v>
          </cell>
          <cell r="BL1226">
            <v>0.51414531548766074</v>
          </cell>
          <cell r="BM1226">
            <v>0</v>
          </cell>
          <cell r="BN1226">
            <v>0</v>
          </cell>
          <cell r="BO1226">
            <v>0.38274422683660264</v>
          </cell>
          <cell r="BP1226">
            <v>0</v>
          </cell>
          <cell r="BQ1226">
            <v>0</v>
          </cell>
          <cell r="BR1226">
            <v>0.20261953218374454</v>
          </cell>
          <cell r="BS1226">
            <v>0</v>
          </cell>
          <cell r="BT1226">
            <v>0</v>
          </cell>
          <cell r="BU1226">
            <v>0.57105985996851238</v>
          </cell>
          <cell r="BV1226">
            <v>0</v>
          </cell>
          <cell r="BW1226">
            <v>0</v>
          </cell>
          <cell r="BX1226">
            <v>3.367141217629373E-4</v>
          </cell>
          <cell r="BY1226">
            <v>0</v>
          </cell>
          <cell r="BZ1226">
            <v>0</v>
          </cell>
          <cell r="CA1226">
            <v>1.3712331592284643E-2</v>
          </cell>
          <cell r="CB1226">
            <v>0</v>
          </cell>
          <cell r="CC1226">
            <v>0</v>
          </cell>
        </row>
        <row r="1227">
          <cell r="BK1227" t="str">
            <v>Peliyagoda</v>
          </cell>
          <cell r="BL1227">
            <v>0.22057789134583625</v>
          </cell>
          <cell r="BM1227">
            <v>0</v>
          </cell>
          <cell r="BN1227">
            <v>0</v>
          </cell>
          <cell r="BO1227">
            <v>0.22286132626090338</v>
          </cell>
          <cell r="BP1227">
            <v>0</v>
          </cell>
          <cell r="BQ1227">
            <v>0</v>
          </cell>
          <cell r="BR1227">
            <v>0.15910897661198514</v>
          </cell>
          <cell r="BS1227">
            <v>0</v>
          </cell>
          <cell r="BT1227">
            <v>0</v>
          </cell>
          <cell r="BU1227">
            <v>0.51370519162809125</v>
          </cell>
          <cell r="BV1227">
            <v>0</v>
          </cell>
          <cell r="BW1227">
            <v>0</v>
          </cell>
          <cell r="BX1227">
            <v>0</v>
          </cell>
          <cell r="BY1227">
            <v>0</v>
          </cell>
          <cell r="BZ1227">
            <v>0</v>
          </cell>
          <cell r="CA1227">
            <v>-0.38819727359735801</v>
          </cell>
          <cell r="CB1227">
            <v>0</v>
          </cell>
          <cell r="CC1227">
            <v>0</v>
          </cell>
        </row>
        <row r="1228">
          <cell r="BK1228" t="str">
            <v>Kelaniya</v>
          </cell>
          <cell r="BL1228">
            <v>0.22228304065774387</v>
          </cell>
          <cell r="BM1228">
            <v>0</v>
          </cell>
          <cell r="BN1228">
            <v>0</v>
          </cell>
          <cell r="BO1228">
            <v>0.23567697903988089</v>
          </cell>
          <cell r="BP1228">
            <v>0</v>
          </cell>
          <cell r="BQ1228">
            <v>0</v>
          </cell>
          <cell r="BR1228">
            <v>0.17537843387443339</v>
          </cell>
          <cell r="BS1228">
            <v>0</v>
          </cell>
          <cell r="BT1228">
            <v>0</v>
          </cell>
          <cell r="BU1228">
            <v>0.40882798069662807</v>
          </cell>
          <cell r="BV1228">
            <v>0</v>
          </cell>
          <cell r="BW1228">
            <v>0</v>
          </cell>
          <cell r="BX1228">
            <v>0</v>
          </cell>
          <cell r="BY1228">
            <v>0</v>
          </cell>
          <cell r="BZ1228">
            <v>0</v>
          </cell>
          <cell r="CA1228">
            <v>-0.10488141867175575</v>
          </cell>
          <cell r="CB1228">
            <v>0</v>
          </cell>
          <cell r="CC1228">
            <v>0</v>
          </cell>
        </row>
        <row r="1229">
          <cell r="BK1229" t="str">
            <v>Demategoda</v>
          </cell>
          <cell r="BL1229">
            <v>0.18913064277177211</v>
          </cell>
          <cell r="BM1229">
            <v>0</v>
          </cell>
          <cell r="BN1229">
            <v>0</v>
          </cell>
          <cell r="BO1229">
            <v>0.19859647812956385</v>
          </cell>
          <cell r="BP1229">
            <v>0</v>
          </cell>
          <cell r="BQ1229">
            <v>0</v>
          </cell>
          <cell r="BR1229">
            <v>0.2115940567114144</v>
          </cell>
          <cell r="BS1229">
            <v>0</v>
          </cell>
          <cell r="BT1229">
            <v>0</v>
          </cell>
          <cell r="BU1229">
            <v>0.32474814241278044</v>
          </cell>
          <cell r="BV1229">
            <v>0</v>
          </cell>
          <cell r="BW1229">
            <v>0</v>
          </cell>
          <cell r="BX1229">
            <v>0</v>
          </cell>
          <cell r="BY1229">
            <v>0</v>
          </cell>
          <cell r="BZ1229">
            <v>0</v>
          </cell>
          <cell r="CA1229">
            <v>-2.3961769617205683E-2</v>
          </cell>
          <cell r="CB1229">
            <v>0</v>
          </cell>
          <cell r="CC1229">
            <v>0</v>
          </cell>
        </row>
        <row r="1230">
          <cell r="BK1230" t="str">
            <v>Kolannawa</v>
          </cell>
          <cell r="BL1230">
            <v>0.23406068110086872</v>
          </cell>
          <cell r="BM1230">
            <v>0</v>
          </cell>
          <cell r="BN1230">
            <v>0</v>
          </cell>
          <cell r="BO1230">
            <v>0.21825611462192446</v>
          </cell>
          <cell r="BP1230">
            <v>0</v>
          </cell>
          <cell r="BQ1230">
            <v>0</v>
          </cell>
          <cell r="BR1230">
            <v>0.15738473207897352</v>
          </cell>
          <cell r="BS1230">
            <v>0</v>
          </cell>
          <cell r="BT1230">
            <v>0</v>
          </cell>
          <cell r="BU1230">
            <v>0.28273677536012476</v>
          </cell>
          <cell r="BV1230">
            <v>0</v>
          </cell>
          <cell r="BW1230">
            <v>0</v>
          </cell>
          <cell r="BX1230">
            <v>0</v>
          </cell>
          <cell r="BY1230">
            <v>0</v>
          </cell>
          <cell r="BZ1230">
            <v>0</v>
          </cell>
          <cell r="CA1230">
            <v>0.11772340147754536</v>
          </cell>
          <cell r="CB1230">
            <v>0</v>
          </cell>
          <cell r="CC1230">
            <v>0</v>
          </cell>
        </row>
        <row r="1231">
          <cell r="BK1231" t="str">
            <v>Avissawella</v>
          </cell>
          <cell r="BL1231">
            <v>0.13496154955100753</v>
          </cell>
          <cell r="BM1231">
            <v>0</v>
          </cell>
          <cell r="BN1231">
            <v>0</v>
          </cell>
          <cell r="BO1231">
            <v>0.1398770189649324</v>
          </cell>
          <cell r="BP1231">
            <v>0</v>
          </cell>
          <cell r="BQ1231">
            <v>0</v>
          </cell>
          <cell r="BR1231">
            <v>9.732205239580842E-2</v>
          </cell>
          <cell r="BS1231">
            <v>0</v>
          </cell>
          <cell r="BT1231">
            <v>0</v>
          </cell>
          <cell r="BU1231">
            <v>0.26221647298937245</v>
          </cell>
          <cell r="BV1231">
            <v>0</v>
          </cell>
          <cell r="BW1231">
            <v>0</v>
          </cell>
          <cell r="BX1231">
            <v>-1.6807693266036808E-6</v>
          </cell>
          <cell r="BY1231">
            <v>0</v>
          </cell>
          <cell r="BZ1231">
            <v>0</v>
          </cell>
          <cell r="CA1231">
            <v>-0.10853139907301736</v>
          </cell>
          <cell r="CB1231">
            <v>0</v>
          </cell>
          <cell r="CC1231">
            <v>0</v>
          </cell>
        </row>
        <row r="1232">
          <cell r="BK1232" t="str">
            <v>Homagama</v>
          </cell>
          <cell r="BL1232">
            <v>0.19014388417903888</v>
          </cell>
          <cell r="BM1232">
            <v>0</v>
          </cell>
          <cell r="BN1232">
            <v>0</v>
          </cell>
          <cell r="BO1232">
            <v>0.19292296902910988</v>
          </cell>
          <cell r="BP1232">
            <v>0</v>
          </cell>
          <cell r="BQ1232">
            <v>0</v>
          </cell>
          <cell r="BR1232">
            <v>8.207318390955648E-2</v>
          </cell>
          <cell r="BS1232">
            <v>0</v>
          </cell>
          <cell r="BT1232">
            <v>0</v>
          </cell>
          <cell r="BU1232">
            <v>0.31409062908063551</v>
          </cell>
          <cell r="BV1232">
            <v>0</v>
          </cell>
          <cell r="BW1232">
            <v>0</v>
          </cell>
          <cell r="BX1232">
            <v>0</v>
          </cell>
          <cell r="BY1232">
            <v>0</v>
          </cell>
          <cell r="BZ1232">
            <v>0</v>
          </cell>
          <cell r="CA1232">
            <v>-5.8517119093825183E-2</v>
          </cell>
          <cell r="CB1232">
            <v>0</v>
          </cell>
          <cell r="CC1232">
            <v>0</v>
          </cell>
        </row>
        <row r="1233">
          <cell r="BK1233" t="str">
            <v>Galle</v>
          </cell>
          <cell r="BL1233">
            <v>0.24766755001404511</v>
          </cell>
          <cell r="BM1233">
            <v>0</v>
          </cell>
          <cell r="BN1233">
            <v>0</v>
          </cell>
          <cell r="BO1233">
            <v>0.2634306946943803</v>
          </cell>
          <cell r="BP1233">
            <v>0</v>
          </cell>
          <cell r="BQ1233">
            <v>0</v>
          </cell>
          <cell r="BR1233">
            <v>7.6670001597312826E-2</v>
          </cell>
          <cell r="BS1233">
            <v>0</v>
          </cell>
          <cell r="BT1233">
            <v>0</v>
          </cell>
          <cell r="BU1233">
            <v>0.28819510837774565</v>
          </cell>
          <cell r="BV1233">
            <v>0</v>
          </cell>
          <cell r="BW1233">
            <v>0</v>
          </cell>
          <cell r="BX1233">
            <v>0</v>
          </cell>
          <cell r="BY1233">
            <v>0</v>
          </cell>
          <cell r="BZ1233">
            <v>0</v>
          </cell>
          <cell r="CA1233">
            <v>0.22667876470046025</v>
          </cell>
          <cell r="CB1233">
            <v>0</v>
          </cell>
          <cell r="CC1233">
            <v>0</v>
          </cell>
        </row>
        <row r="1234">
          <cell r="BK1234" t="str">
            <v>Kohuwela</v>
          </cell>
          <cell r="BL1234">
            <v>0.22282406617199932</v>
          </cell>
          <cell r="BM1234">
            <v>0</v>
          </cell>
          <cell r="BN1234">
            <v>0</v>
          </cell>
          <cell r="BO1234">
            <v>0.23037904819681812</v>
          </cell>
          <cell r="BP1234">
            <v>0</v>
          </cell>
          <cell r="BQ1234">
            <v>0</v>
          </cell>
          <cell r="BR1234">
            <v>0.12075861256578148</v>
          </cell>
          <cell r="BS1234">
            <v>0</v>
          </cell>
          <cell r="BT1234">
            <v>0</v>
          </cell>
          <cell r="BU1234">
            <v>0.29433272579852121</v>
          </cell>
          <cell r="BV1234">
            <v>0</v>
          </cell>
          <cell r="BW1234">
            <v>0</v>
          </cell>
          <cell r="BX1234">
            <v>0</v>
          </cell>
          <cell r="BY1234">
            <v>0</v>
          </cell>
          <cell r="BZ1234">
            <v>0</v>
          </cell>
          <cell r="CA1234">
            <v>0.11944405157099164</v>
          </cell>
          <cell r="CB1234">
            <v>0</v>
          </cell>
          <cell r="CC1234">
            <v>0</v>
          </cell>
        </row>
        <row r="1235">
          <cell r="BK1235" t="str">
            <v>Mt lavinia-STC</v>
          </cell>
          <cell r="BL1235">
            <v>8.3667960146427189E-2</v>
          </cell>
          <cell r="BM1235">
            <v>0</v>
          </cell>
          <cell r="BN1235">
            <v>0</v>
          </cell>
          <cell r="BO1235">
            <v>9.2898028876457789E-2</v>
          </cell>
          <cell r="BP1235">
            <v>0</v>
          </cell>
          <cell r="BQ1235">
            <v>0</v>
          </cell>
          <cell r="BR1235">
            <v>5.3359284809931121E-5</v>
          </cell>
          <cell r="BS1235">
            <v>0</v>
          </cell>
          <cell r="BT1235">
            <v>0</v>
          </cell>
          <cell r="BU1235">
            <v>0.18506386126731733</v>
          </cell>
          <cell r="BV1235">
            <v>0</v>
          </cell>
          <cell r="BW1235">
            <v>0</v>
          </cell>
          <cell r="BX1235">
            <v>0</v>
          </cell>
          <cell r="BY1235">
            <v>0</v>
          </cell>
          <cell r="BZ1235">
            <v>0</v>
          </cell>
          <cell r="CA1235">
            <v>-0.11678096644461786</v>
          </cell>
          <cell r="CB1235">
            <v>0</v>
          </cell>
          <cell r="CC1235">
            <v>0</v>
          </cell>
        </row>
        <row r="1236">
          <cell r="BK1236" t="str">
            <v>Mini Mart</v>
          </cell>
          <cell r="BL1236">
            <v>0.27410099287025003</v>
          </cell>
          <cell r="BM1236">
            <v>0.27874461087898167</v>
          </cell>
          <cell r="BN1236">
            <v>-1.6659041385907518</v>
          </cell>
          <cell r="BO1236">
            <v>0.27753627208292292</v>
          </cell>
          <cell r="BP1236">
            <v>0.32082950336739025</v>
          </cell>
          <cell r="BQ1236">
            <v>-13.494155253823747</v>
          </cell>
          <cell r="BR1236">
            <v>1.1041673787401587E-4</v>
          </cell>
          <cell r="BS1236">
            <v>1.9577019469208445E-4</v>
          </cell>
          <cell r="BT1236">
            <v>-43.598800600017832</v>
          </cell>
          <cell r="BU1236">
            <v>0.34210201415790809</v>
          </cell>
          <cell r="BV1236">
            <v>0.36903329544045071</v>
          </cell>
          <cell r="BW1236">
            <v>7.2977917210422589</v>
          </cell>
          <cell r="BX1236">
            <v>-1.6807693266036808E-6</v>
          </cell>
          <cell r="BY1236">
            <v>0</v>
          </cell>
          <cell r="BZ1236">
            <v>0</v>
          </cell>
          <cell r="CA1236">
            <v>0.12690801244069613</v>
          </cell>
          <cell r="CB1236">
            <v>0.21574077624800528</v>
          </cell>
          <cell r="CC1236">
            <v>-41.175694902103835</v>
          </cell>
        </row>
        <row r="1237">
          <cell r="BK1237" t="str">
            <v>Express Maligawatte</v>
          </cell>
          <cell r="BL1237">
            <v>0.1810923516053721</v>
          </cell>
          <cell r="BM1237">
            <v>0.24779868987185755</v>
          </cell>
          <cell r="BN1237">
            <v>-26.91956858245733</v>
          </cell>
          <cell r="BO1237">
            <v>0.18079482695535529</v>
          </cell>
          <cell r="BP1237">
            <v>0.28958073276982033</v>
          </cell>
          <cell r="BQ1237">
            <v>-37.566693327258044</v>
          </cell>
          <cell r="BR1237">
            <v>2.6272315587258068E-3</v>
          </cell>
          <cell r="BS1237">
            <v>0.58731058407625336</v>
          </cell>
          <cell r="BT1237">
            <v>-99.552667425045982</v>
          </cell>
          <cell r="BU1237">
            <v>0.27548190423206564</v>
          </cell>
          <cell r="BV1237">
            <v>0.3764231192992471</v>
          </cell>
          <cell r="BW1237">
            <v>26.815891450847811</v>
          </cell>
          <cell r="BX1237">
            <v>0</v>
          </cell>
          <cell r="BY1237">
            <v>0</v>
          </cell>
          <cell r="BZ1237">
            <v>0</v>
          </cell>
          <cell r="CA1237">
            <v>-3.5332845742439396E-2</v>
          </cell>
          <cell r="CB1237">
            <v>0.30061980216927914</v>
          </cell>
          <cell r="CC1237">
            <v>-111.75333277697503</v>
          </cell>
        </row>
        <row r="1238">
          <cell r="BK1238" t="str">
            <v>Express Peradeniya</v>
          </cell>
          <cell r="BL1238">
            <v>6.4523399532424475E-2</v>
          </cell>
          <cell r="BM1238">
            <v>0.22301882088467179</v>
          </cell>
          <cell r="BN1238">
            <v>-71.068181924524197</v>
          </cell>
          <cell r="BO1238">
            <v>7.0854246354905989E-2</v>
          </cell>
          <cell r="BP1238">
            <v>0.2606226594928383</v>
          </cell>
          <cell r="BQ1238">
            <v>-72.813474280100721</v>
          </cell>
          <cell r="BR1238">
            <v>2.2585241837866883E-4</v>
          </cell>
          <cell r="BS1238">
            <v>0.58731058407625336</v>
          </cell>
          <cell r="BT1238">
            <v>-99.961544636772743</v>
          </cell>
          <cell r="BU1238">
            <v>0.15738551216777993</v>
          </cell>
          <cell r="BV1238">
            <v>0.34170841685522807</v>
          </cell>
          <cell r="BW1238">
            <v>53.941575798391995</v>
          </cell>
          <cell r="BX1238">
            <v>0</v>
          </cell>
          <cell r="BY1238">
            <v>0</v>
          </cell>
          <cell r="BZ1238">
            <v>0</v>
          </cell>
          <cell r="CA1238">
            <v>-0.12566155350753597</v>
          </cell>
          <cell r="CB1238">
            <v>0.28406871705354703</v>
          </cell>
          <cell r="CC1238">
            <v>-144.23632239795302</v>
          </cell>
        </row>
        <row r="1239">
          <cell r="BK1239" t="str">
            <v>Express Alexandra Place</v>
          </cell>
          <cell r="BL1239">
            <v>0.14830657250948689</v>
          </cell>
          <cell r="BM1239">
            <v>0</v>
          </cell>
          <cell r="BN1239">
            <v>0</v>
          </cell>
          <cell r="BO1239">
            <v>0.15926885999698856</v>
          </cell>
          <cell r="BP1239">
            <v>0</v>
          </cell>
          <cell r="BQ1239">
            <v>0</v>
          </cell>
          <cell r="BR1239">
            <v>6.9508128956318888E-3</v>
          </cell>
          <cell r="BS1239">
            <v>0</v>
          </cell>
          <cell r="BT1239">
            <v>0</v>
          </cell>
          <cell r="BU1239">
            <v>0.22268202476213478</v>
          </cell>
          <cell r="BV1239">
            <v>0</v>
          </cell>
          <cell r="BW1239">
            <v>0</v>
          </cell>
          <cell r="BX1239">
            <v>0</v>
          </cell>
          <cell r="BY1239">
            <v>0</v>
          </cell>
          <cell r="BZ1239">
            <v>0</v>
          </cell>
          <cell r="CA1239">
            <v>1.5461516850621103E-2</v>
          </cell>
          <cell r="CB1239">
            <v>0</v>
          </cell>
          <cell r="CC1239">
            <v>0</v>
          </cell>
        </row>
        <row r="1240">
          <cell r="BK1240" t="str">
            <v>Express Boralla</v>
          </cell>
          <cell r="BL1240">
            <v>1.5637847402053363E-2</v>
          </cell>
          <cell r="BM1240">
            <v>0</v>
          </cell>
          <cell r="BN1240">
            <v>0</v>
          </cell>
          <cell r="BO1240">
            <v>1.1782060069201045E-2</v>
          </cell>
          <cell r="BP1240">
            <v>0</v>
          </cell>
          <cell r="BQ1240">
            <v>0</v>
          </cell>
          <cell r="BR1240">
            <v>8.7805080548619319E-5</v>
          </cell>
          <cell r="BS1240">
            <v>0</v>
          </cell>
          <cell r="BT1240">
            <v>0</v>
          </cell>
          <cell r="BU1240">
            <v>7.4045611666107333E-2</v>
          </cell>
          <cell r="BV1240">
            <v>0</v>
          </cell>
          <cell r="BW1240">
            <v>0</v>
          </cell>
          <cell r="BX1240">
            <v>0</v>
          </cell>
          <cell r="BY1240">
            <v>0</v>
          </cell>
          <cell r="BZ1240">
            <v>0</v>
          </cell>
          <cell r="CA1240">
            <v>-0.12894969134457732</v>
          </cell>
          <cell r="CB1240">
            <v>0</v>
          </cell>
          <cell r="CC1240">
            <v>0</v>
          </cell>
        </row>
        <row r="1241">
          <cell r="BK1241" t="str">
            <v>Express Havelock Road</v>
          </cell>
          <cell r="BL1241">
            <v>2.3455854886829459E-2</v>
          </cell>
          <cell r="BM1241">
            <v>0</v>
          </cell>
          <cell r="BN1241">
            <v>0</v>
          </cell>
          <cell r="BO1241">
            <v>2.6867131077425253E-2</v>
          </cell>
          <cell r="BP1241">
            <v>0</v>
          </cell>
          <cell r="BQ1241">
            <v>0</v>
          </cell>
          <cell r="BR1241">
            <v>7.9299293564065953E-4</v>
          </cell>
          <cell r="BS1241">
            <v>0</v>
          </cell>
          <cell r="BT1241">
            <v>0</v>
          </cell>
          <cell r="BU1241">
            <v>8.7090429782937684E-2</v>
          </cell>
          <cell r="BV1241">
            <v>0</v>
          </cell>
          <cell r="BW1241">
            <v>0</v>
          </cell>
          <cell r="BX1241">
            <v>0</v>
          </cell>
          <cell r="BY1241">
            <v>0</v>
          </cell>
          <cell r="BZ1241">
            <v>0</v>
          </cell>
          <cell r="CA1241">
            <v>-0.10930720830470417</v>
          </cell>
          <cell r="CB1241">
            <v>0</v>
          </cell>
          <cell r="CC1241">
            <v>0</v>
          </cell>
        </row>
        <row r="1242">
          <cell r="BK1242" t="str">
            <v>Express Maradana</v>
          </cell>
          <cell r="BL1242">
            <v>1.6948823110829179E-3</v>
          </cell>
          <cell r="BM1242">
            <v>0</v>
          </cell>
          <cell r="BN1242">
            <v>0</v>
          </cell>
          <cell r="BO1242">
            <v>4.9772520480871575E-4</v>
          </cell>
          <cell r="BP1242">
            <v>0</v>
          </cell>
          <cell r="BQ1242">
            <v>0</v>
          </cell>
          <cell r="BR1242">
            <v>5.2830975059337738E-7</v>
          </cell>
          <cell r="BS1242">
            <v>0</v>
          </cell>
          <cell r="BT1242">
            <v>0</v>
          </cell>
          <cell r="BU1242">
            <v>1.0208249399028139E-2</v>
          </cell>
          <cell r="BV1242">
            <v>0</v>
          </cell>
          <cell r="BW1242">
            <v>0</v>
          </cell>
          <cell r="BX1242">
            <v>0</v>
          </cell>
          <cell r="BY1242">
            <v>0</v>
          </cell>
          <cell r="BZ1242">
            <v>0</v>
          </cell>
          <cell r="CA1242">
            <v>-2.1430932868900184E-2</v>
          </cell>
          <cell r="CB1242">
            <v>0</v>
          </cell>
          <cell r="CC1242">
            <v>0</v>
          </cell>
        </row>
        <row r="1243">
          <cell r="BK1243" t="str">
            <v xml:space="preserve">Food City </v>
          </cell>
          <cell r="BL1243">
            <v>96.657591299483784</v>
          </cell>
          <cell r="BM1243">
            <v>96.725607130953236</v>
          </cell>
          <cell r="BN1243">
            <v>-7.0318329847615435E-2</v>
          </cell>
          <cell r="BO1243">
            <v>93.133815093148769</v>
          </cell>
          <cell r="BP1243">
            <v>95.65174782440009</v>
          </cell>
          <cell r="BQ1243">
            <v>-2.6323959452092875</v>
          </cell>
          <cell r="BR1243">
            <v>96.080173462349507</v>
          </cell>
          <cell r="BS1243">
            <v>95.798298345860445</v>
          </cell>
          <cell r="BT1243">
            <v>0.29423812463913307</v>
          </cell>
          <cell r="BU1243">
            <v>93.437721959765554</v>
          </cell>
          <cell r="BV1243">
            <v>94.103035132675885</v>
          </cell>
          <cell r="BW1243">
            <v>0.70700500995776128</v>
          </cell>
          <cell r="BX1243">
            <v>100.85602809886045</v>
          </cell>
          <cell r="BY1243">
            <v>98.738328581971359</v>
          </cell>
          <cell r="BZ1243">
            <v>-2.1447593323711178</v>
          </cell>
          <cell r="CA1243">
            <v>91.101053066051023</v>
          </cell>
          <cell r="CB1243">
            <v>97.933477363819421</v>
          </cell>
          <cell r="CC1243">
            <v>-6.9765972593684005</v>
          </cell>
        </row>
        <row r="1244">
          <cell r="BJ1244">
            <v>35</v>
          </cell>
          <cell r="CB1244" t="str">
            <v>Appendix IV</v>
          </cell>
        </row>
        <row r="1245">
          <cell r="BJ1245" t="str">
            <v>CARGILLS ( CEYLON ) LTD</v>
          </cell>
        </row>
        <row r="1247">
          <cell r="BJ1247" t="str">
            <v xml:space="preserve"> Contribution % by Profit Centres/Divisions  -Twelve  months ended 31st March 2004 </v>
          </cell>
        </row>
        <row r="1248">
          <cell r="BK1248" t="str">
            <v>YTD V BUD</v>
          </cell>
          <cell r="CC1248">
            <v>38154.357810300928</v>
          </cell>
        </row>
        <row r="1249">
          <cell r="BJ1249" t="str">
            <v>Profit Centre</v>
          </cell>
          <cell r="BL1249" t="str">
            <v>Gross Turnover</v>
          </cell>
          <cell r="BO1249" t="str">
            <v>Achieved Gross Profit</v>
          </cell>
          <cell r="BR1249" t="str">
            <v>Other Income</v>
          </cell>
          <cell r="BU1249" t="str">
            <v>Direct Expenses</v>
          </cell>
          <cell r="BX1249" t="str">
            <v>D&amp;A and Finance</v>
          </cell>
          <cell r="CA1249" t="str">
            <v>Contribution</v>
          </cell>
        </row>
        <row r="1250">
          <cell r="BL1250">
            <v>38047</v>
          </cell>
          <cell r="BM1250" t="str">
            <v>Budget</v>
          </cell>
          <cell r="BN1250" t="str">
            <v>Var %</v>
          </cell>
          <cell r="BO1250">
            <v>38047</v>
          </cell>
          <cell r="BP1250" t="str">
            <v>Budget</v>
          </cell>
          <cell r="BQ1250" t="str">
            <v>Var %</v>
          </cell>
          <cell r="BR1250">
            <v>38047</v>
          </cell>
          <cell r="BS1250" t="str">
            <v>Budget</v>
          </cell>
          <cell r="BT1250" t="str">
            <v>Var %</v>
          </cell>
          <cell r="BU1250">
            <v>38047</v>
          </cell>
          <cell r="BV1250" t="str">
            <v>Budget</v>
          </cell>
          <cell r="BW1250" t="str">
            <v>Var %</v>
          </cell>
          <cell r="BX1250">
            <v>38047</v>
          </cell>
          <cell r="BY1250" t="str">
            <v>Budget</v>
          </cell>
          <cell r="BZ1250" t="str">
            <v>Var %</v>
          </cell>
          <cell r="CA1250">
            <v>38047</v>
          </cell>
          <cell r="CB1250" t="str">
            <v>Budget</v>
          </cell>
          <cell r="CC1250" t="str">
            <v>Var %</v>
          </cell>
        </row>
        <row r="1251">
          <cell r="BK1251" t="str">
            <v>Department Store</v>
          </cell>
          <cell r="BL1251">
            <v>0.14620947671590065</v>
          </cell>
          <cell r="BM1251">
            <v>0.15993468232365241</v>
          </cell>
          <cell r="BN1251">
            <v>-8.581756882460736</v>
          </cell>
          <cell r="BO1251">
            <v>0.21142785366555816</v>
          </cell>
          <cell r="BP1251">
            <v>0.21708133092686088</v>
          </cell>
          <cell r="BQ1251">
            <v>-2.6043129720848683</v>
          </cell>
          <cell r="BR1251">
            <v>2.1132390023735095E-6</v>
          </cell>
          <cell r="BS1251">
            <v>0</v>
          </cell>
          <cell r="BT1251">
            <v>0</v>
          </cell>
          <cell r="BU1251">
            <v>8.596433433532516E-2</v>
          </cell>
          <cell r="BV1251">
            <v>8.0667778698488346E-2</v>
          </cell>
          <cell r="BW1251">
            <v>-6.5658875480304593</v>
          </cell>
          <cell r="BX1251">
            <v>6.835128594854968E-5</v>
          </cell>
          <cell r="BY1251">
            <v>1.3844501212454505E-4</v>
          </cell>
          <cell r="BZ1251">
            <v>50.629289636624172</v>
          </cell>
          <cell r="CA1251">
            <v>0.4908780481431102</v>
          </cell>
          <cell r="CB1251">
            <v>0.4964849359191732</v>
          </cell>
          <cell r="CC1251">
            <v>-1.1293167970308342</v>
          </cell>
        </row>
        <row r="1252">
          <cell r="BK1252" t="str">
            <v>Books and Stationery</v>
          </cell>
          <cell r="BL1252">
            <v>0.42872172000622621</v>
          </cell>
          <cell r="BM1252">
            <v>0.46506785971940739</v>
          </cell>
          <cell r="BN1252">
            <v>-7.815233616683412</v>
          </cell>
          <cell r="BO1252">
            <v>0.75651773987900572</v>
          </cell>
          <cell r="BP1252">
            <v>0.75487655819163491</v>
          </cell>
          <cell r="BQ1252">
            <v>0.21741060436455939</v>
          </cell>
          <cell r="BR1252">
            <v>5.7240385598325227E-2</v>
          </cell>
          <cell r="BS1252">
            <v>8.5314379912551936E-3</v>
          </cell>
          <cell r="BT1252">
            <v>570.93479032488051</v>
          </cell>
          <cell r="BU1252">
            <v>0.72184662327959381</v>
          </cell>
          <cell r="BV1252">
            <v>0.80808512913037522</v>
          </cell>
          <cell r="BW1252">
            <v>10.671958032885396</v>
          </cell>
          <cell r="BX1252">
            <v>-8.2505268550456135E-3</v>
          </cell>
          <cell r="BY1252">
            <v>0.17982329576992784</v>
          </cell>
          <cell r="BZ1252">
            <v>104.58813015283717</v>
          </cell>
          <cell r="CA1252">
            <v>0.8415798065508594</v>
          </cell>
          <cell r="CB1252">
            <v>0.57812895726306601</v>
          </cell>
          <cell r="CC1252">
            <v>45.569564710095527</v>
          </cell>
        </row>
        <row r="1253">
          <cell r="BK1253" t="str">
            <v>Hatton Liquor</v>
          </cell>
          <cell r="BL1253">
            <v>0.45642948337937761</v>
          </cell>
          <cell r="BM1253">
            <v>0.54803519190414873</v>
          </cell>
          <cell r="BN1253">
            <v>-16.715296732402717</v>
          </cell>
          <cell r="BO1253">
            <v>0.14840086969560257</v>
          </cell>
          <cell r="BP1253">
            <v>0.15707396129861581</v>
          </cell>
          <cell r="BQ1253">
            <v>-5.5216609623314286</v>
          </cell>
          <cell r="BR1253">
            <v>5.2830975059337738E-7</v>
          </cell>
          <cell r="BS1253">
            <v>2.7407827256891821E-5</v>
          </cell>
          <cell r="BT1253">
            <v>-98.072412870814006</v>
          </cell>
          <cell r="BU1253">
            <v>0.21297793631116502</v>
          </cell>
          <cell r="BV1253">
            <v>0.23158612890673536</v>
          </cell>
          <cell r="BW1253">
            <v>8.0351067153353792</v>
          </cell>
          <cell r="BX1253">
            <v>0</v>
          </cell>
          <cell r="BY1253">
            <v>0</v>
          </cell>
          <cell r="BZ1253">
            <v>0</v>
          </cell>
          <cell r="CA1253">
            <v>-2.6257340587199804E-7</v>
          </cell>
          <cell r="CB1253">
            <v>-2.9684818704659279E-16</v>
          </cell>
          <cell r="CC1253">
            <v>0</v>
          </cell>
        </row>
        <row r="1254">
          <cell r="BK1254" t="str">
            <v>Retail Division</v>
          </cell>
          <cell r="BL1254">
            <v>97.688951979585298</v>
          </cell>
          <cell r="BM1254">
            <v>97.898644864900447</v>
          </cell>
          <cell r="BN1254">
            <v>-0.21419385896967683</v>
          </cell>
          <cell r="BO1254">
            <v>94.250161556388917</v>
          </cell>
          <cell r="BP1254">
            <v>96.780779674817211</v>
          </cell>
          <cell r="BQ1254">
            <v>-2.61479410160897</v>
          </cell>
          <cell r="BR1254">
            <v>96.137416489496573</v>
          </cell>
          <cell r="BS1254">
            <v>95.806857191678958</v>
          </cell>
          <cell r="BT1254">
            <v>0.3450267627047523</v>
          </cell>
          <cell r="BU1254">
            <v>94.458510853691635</v>
          </cell>
          <cell r="BV1254">
            <v>95.223374169411485</v>
          </cell>
          <cell r="BW1254">
            <v>0.80323063784642357</v>
          </cell>
          <cell r="BX1254">
            <v>100.84784592329135</v>
          </cell>
          <cell r="BY1254">
            <v>98.918290322753407</v>
          </cell>
          <cell r="BZ1254">
            <v>-1.9506560356453082</v>
          </cell>
          <cell r="CA1254">
            <v>92.433510658171585</v>
          </cell>
          <cell r="CB1254">
            <v>99.008091257001666</v>
          </cell>
          <cell r="CC1254">
            <v>-6.6404477809434992</v>
          </cell>
        </row>
        <row r="1255">
          <cell r="BK1255" t="str">
            <v>Commercial Division</v>
          </cell>
          <cell r="BL1255">
            <v>3.634336575121309E-8</v>
          </cell>
          <cell r="BM1255">
            <v>0</v>
          </cell>
          <cell r="BN1255">
            <v>0</v>
          </cell>
          <cell r="BO1255">
            <v>2.2350022944328019</v>
          </cell>
          <cell r="BP1255">
            <v>0.68088871846428867</v>
          </cell>
          <cell r="BQ1255">
            <v>228.24780816955533</v>
          </cell>
          <cell r="BR1255">
            <v>2.2887735940440237</v>
          </cell>
          <cell r="BS1255">
            <v>2.7267972945207686</v>
          </cell>
          <cell r="BT1255">
            <v>-16.063669322135183</v>
          </cell>
          <cell r="BU1255">
            <v>4.0673463186270196</v>
          </cell>
          <cell r="BV1255">
            <v>3.5287160209476651</v>
          </cell>
          <cell r="BW1255">
            <v>-15.264200759762497</v>
          </cell>
          <cell r="BX1255">
            <v>1.1296349909995029</v>
          </cell>
          <cell r="BY1255">
            <v>1.0296354270694557</v>
          </cell>
          <cell r="BZ1255">
            <v>-9.7121331785043221</v>
          </cell>
          <cell r="CA1255">
            <v>-1.560747589294047</v>
          </cell>
          <cell r="CB1255">
            <v>-4.6544934075424527</v>
          </cell>
          <cell r="CC1255">
            <v>66.46793855664491</v>
          </cell>
        </row>
        <row r="1256">
          <cell r="BK1256" t="str">
            <v>Hampers</v>
          </cell>
          <cell r="BL1256">
            <v>0.32351705216333432</v>
          </cell>
          <cell r="BM1256">
            <v>0.34720125153298648</v>
          </cell>
          <cell r="BN1256">
            <v>-6.8214614046119006</v>
          </cell>
          <cell r="BO1256">
            <v>0.76281389609344052</v>
          </cell>
          <cell r="BP1256">
            <v>0.56826868834510569</v>
          </cell>
          <cell r="BQ1256">
            <v>34.234722366084135</v>
          </cell>
          <cell r="BR1256">
            <v>1.0639101757449436E-4</v>
          </cell>
          <cell r="BS1256">
            <v>0</v>
          </cell>
          <cell r="BT1256">
            <v>0</v>
          </cell>
          <cell r="BU1256">
            <v>0.26762510411426765</v>
          </cell>
          <cell r="BV1256">
            <v>0.28144633248661483</v>
          </cell>
          <cell r="BW1256">
            <v>4.9107864544671189</v>
          </cell>
          <cell r="BX1256">
            <v>0</v>
          </cell>
          <cell r="BY1256">
            <v>0</v>
          </cell>
          <cell r="BZ1256">
            <v>0</v>
          </cell>
          <cell r="CA1256">
            <v>1.8671476574103685</v>
          </cell>
          <cell r="CB1256">
            <v>1.1540310816580241</v>
          </cell>
          <cell r="CC1256">
            <v>61.793532868091617</v>
          </cell>
        </row>
        <row r="1257">
          <cell r="BK1257" t="str">
            <v>Wines &amp; Spirits</v>
          </cell>
          <cell r="BL1257">
            <v>1.9875309319080068</v>
          </cell>
          <cell r="BM1257">
            <v>1.7541538835665706</v>
          </cell>
          <cell r="BN1257">
            <v>13.304251726589152</v>
          </cell>
          <cell r="BO1257">
            <v>2.7520222530848271</v>
          </cell>
          <cell r="BP1257">
            <v>1.9700629183733953</v>
          </cell>
          <cell r="BQ1257">
            <v>39.692099547615733</v>
          </cell>
          <cell r="BR1257">
            <v>1.5737035254418188</v>
          </cell>
          <cell r="BS1257">
            <v>1.4663455138002752</v>
          </cell>
          <cell r="BT1257">
            <v>7.3214675962220976</v>
          </cell>
          <cell r="BU1257">
            <v>1.2065177235670743</v>
          </cell>
          <cell r="BV1257">
            <v>0.96646347715423653</v>
          </cell>
          <cell r="BW1257">
            <v>-24.838418842239175</v>
          </cell>
          <cell r="BX1257">
            <v>-1.9774809142908734</v>
          </cell>
          <cell r="BY1257">
            <v>5.2074250177128287E-2</v>
          </cell>
          <cell r="BZ1257">
            <v>3897.4256135509554</v>
          </cell>
          <cell r="CA1257">
            <v>7.2600892737121097</v>
          </cell>
          <cell r="CB1257">
            <v>4.4923710688827603</v>
          </cell>
          <cell r="CC1257">
            <v>61.609296346877088</v>
          </cell>
        </row>
        <row r="1258">
          <cell r="BK1258" t="str">
            <v xml:space="preserve">Total </v>
          </cell>
          <cell r="BL1258">
            <v>100</v>
          </cell>
          <cell r="BM1258">
            <v>100</v>
          </cell>
          <cell r="BN1258">
            <v>0</v>
          </cell>
          <cell r="BO1258">
            <v>100</v>
          </cell>
          <cell r="BP1258">
            <v>100</v>
          </cell>
          <cell r="BQ1258">
            <v>0</v>
          </cell>
          <cell r="BR1258">
            <v>100</v>
          </cell>
          <cell r="BS1258">
            <v>100</v>
          </cell>
          <cell r="BT1258">
            <v>0</v>
          </cell>
          <cell r="BU1258">
            <v>100</v>
          </cell>
          <cell r="BV1258">
            <v>100</v>
          </cell>
          <cell r="BW1258">
            <v>0</v>
          </cell>
          <cell r="BX1258">
            <v>100</v>
          </cell>
          <cell r="BY1258">
            <v>100</v>
          </cell>
          <cell r="BZ1258">
            <v>0</v>
          </cell>
          <cell r="CA1258">
            <v>100</v>
          </cell>
          <cell r="CB1258">
            <v>100</v>
          </cell>
          <cell r="CC1258">
            <v>0</v>
          </cell>
        </row>
        <row r="1270">
          <cell r="CE1270">
            <v>32</v>
          </cell>
          <cell r="CT1270" t="str">
            <v>Appendix I</v>
          </cell>
        </row>
        <row r="1271">
          <cell r="CE1271" t="str">
            <v>CARGILLS ( CEYLON ) LTD</v>
          </cell>
        </row>
        <row r="1273">
          <cell r="CE1273" t="str">
            <v xml:space="preserve"> Margin Analysis by Profit Centres/Divisions  -Twelve  months ended 31st March 2004 </v>
          </cell>
        </row>
        <row r="1274">
          <cell r="CF1274" t="str">
            <v>YTD V BUD</v>
          </cell>
          <cell r="CU1274">
            <v>38154.357810300928</v>
          </cell>
        </row>
        <row r="1275">
          <cell r="CE1275" t="str">
            <v>Profit Centre</v>
          </cell>
          <cell r="CG1275" t="str">
            <v>Achieved Gross Profit</v>
          </cell>
          <cell r="CJ1275" t="str">
            <v>Other Income</v>
          </cell>
          <cell r="CM1275" t="str">
            <v>Direct Expenses</v>
          </cell>
          <cell r="CP1275" t="str">
            <v>D&amp;A and Finance</v>
          </cell>
          <cell r="CS1275" t="str">
            <v>Contribution</v>
          </cell>
        </row>
        <row r="1276">
          <cell r="CG1276">
            <v>38047</v>
          </cell>
          <cell r="CH1276" t="str">
            <v>Budget</v>
          </cell>
          <cell r="CI1276" t="str">
            <v>Var %</v>
          </cell>
          <cell r="CJ1276">
            <v>38047</v>
          </cell>
          <cell r="CK1276" t="str">
            <v>Budget</v>
          </cell>
          <cell r="CL1276" t="str">
            <v>Var %</v>
          </cell>
          <cell r="CM1276">
            <v>38047</v>
          </cell>
          <cell r="CN1276" t="str">
            <v>Budget</v>
          </cell>
          <cell r="CO1276" t="str">
            <v>Var %</v>
          </cell>
          <cell r="CP1276">
            <v>38047</v>
          </cell>
          <cell r="CQ1276" t="str">
            <v>Budget</v>
          </cell>
          <cell r="CR1276" t="str">
            <v>Var %</v>
          </cell>
          <cell r="CS1276">
            <v>38047</v>
          </cell>
          <cell r="CT1276" t="str">
            <v>Budget</v>
          </cell>
          <cell r="CU1276" t="str">
            <v>Var %</v>
          </cell>
        </row>
        <row r="1277">
          <cell r="CF1277" t="str">
            <v>Staples Street</v>
          </cell>
          <cell r="CG1277">
            <v>14.995549156435251</v>
          </cell>
          <cell r="CH1277">
            <v>15.873745278211176</v>
          </cell>
          <cell r="CI1277">
            <v>-5.5323813402837336</v>
          </cell>
          <cell r="CJ1277">
            <v>1.327634801486149</v>
          </cell>
          <cell r="CK1277">
            <v>1.2044573670637224</v>
          </cell>
          <cell r="CL1277">
            <v>10.226799037537857</v>
          </cell>
          <cell r="CM1277">
            <v>8.3263055544155176</v>
          </cell>
          <cell r="CN1277">
            <v>7.9218936359347891</v>
          </cell>
          <cell r="CO1277">
            <v>-5.1049905119435195</v>
          </cell>
          <cell r="CP1277">
            <v>0.91415552664169653</v>
          </cell>
          <cell r="CQ1277">
            <v>0.87548469700240139</v>
          </cell>
          <cell r="CR1277">
            <v>-4.4170765944512063</v>
          </cell>
          <cell r="CS1277">
            <v>7.0827228768641834</v>
          </cell>
          <cell r="CT1277">
            <v>8.2808243123377085</v>
          </cell>
          <cell r="CU1277">
            <v>-14.468383705333032</v>
          </cell>
        </row>
        <row r="1278">
          <cell r="CF1278" t="str">
            <v>Kandy</v>
          </cell>
          <cell r="CG1278">
            <v>12.723715035291342</v>
          </cell>
          <cell r="CH1278">
            <v>12.839798143166693</v>
          </cell>
          <cell r="CI1278">
            <v>-0.90408826198821635</v>
          </cell>
          <cell r="CJ1278">
            <v>1.1936070393212068</v>
          </cell>
          <cell r="CK1278">
            <v>1.3834864948985801</v>
          </cell>
          <cell r="CL1278">
            <v>-13.724706115854993</v>
          </cell>
          <cell r="CM1278">
            <v>5.6807571590147026</v>
          </cell>
          <cell r="CN1278">
            <v>5.9085363862078246</v>
          </cell>
          <cell r="CO1278">
            <v>3.8550871536447233</v>
          </cell>
          <cell r="CP1278">
            <v>0.99767854729925531</v>
          </cell>
          <cell r="CQ1278">
            <v>1.0055800885043111</v>
          </cell>
          <cell r="CR1278">
            <v>0.78576945738936466</v>
          </cell>
          <cell r="CS1278">
            <v>7.2388863682985898</v>
          </cell>
          <cell r="CT1278">
            <v>7.3091681633531387</v>
          </cell>
          <cell r="CU1278">
            <v>-0.96155668447921672</v>
          </cell>
        </row>
        <row r="1279">
          <cell r="CF1279" t="str">
            <v>Mount Lavinia</v>
          </cell>
          <cell r="CG1279">
            <v>11.105430766679653</v>
          </cell>
          <cell r="CH1279">
            <v>11.077286737664423</v>
          </cell>
          <cell r="CI1279">
            <v>0.25406969848976196</v>
          </cell>
          <cell r="CJ1279">
            <v>0.68889841259187878</v>
          </cell>
          <cell r="CK1279">
            <v>0.97620276504133063</v>
          </cell>
          <cell r="CL1279">
            <v>-29.430807075954956</v>
          </cell>
          <cell r="CM1279">
            <v>6.2927862089599591</v>
          </cell>
          <cell r="CN1279">
            <v>6.7305686318553288</v>
          </cell>
          <cell r="CO1279">
            <v>6.5043898493713437</v>
          </cell>
          <cell r="CP1279">
            <v>0.33013519308476491</v>
          </cell>
          <cell r="CQ1279">
            <v>0.39228282725630248</v>
          </cell>
          <cell r="CR1279">
            <v>15.842557933572937</v>
          </cell>
          <cell r="CS1279">
            <v>5.1714077772268094</v>
          </cell>
          <cell r="CT1279">
            <v>4.9306380435941231</v>
          </cell>
          <cell r="CU1279">
            <v>4.8831354381304477</v>
          </cell>
        </row>
        <row r="1280">
          <cell r="CF1280" t="str">
            <v>Wellawatte</v>
          </cell>
          <cell r="CG1280">
            <v>14.716154257556525</v>
          </cell>
          <cell r="CH1280">
            <v>15.934814867559613</v>
          </cell>
          <cell r="CI1280">
            <v>-7.6477864357499339</v>
          </cell>
          <cell r="CJ1280">
            <v>0.86711476672774679</v>
          </cell>
          <cell r="CK1280">
            <v>0.81073248433982414</v>
          </cell>
          <cell r="CL1280">
            <v>6.9544866496665039</v>
          </cell>
          <cell r="CM1280">
            <v>14.293096221149796</v>
          </cell>
          <cell r="CN1280">
            <v>9.6173153058906315</v>
          </cell>
          <cell r="CO1280">
            <v>-48.618359350194496</v>
          </cell>
          <cell r="CP1280">
            <v>0.30969873417711558</v>
          </cell>
          <cell r="CQ1280">
            <v>0.33493550666337513</v>
          </cell>
          <cell r="CR1280">
            <v>7.5348155045334195</v>
          </cell>
          <cell r="CS1280">
            <v>0.98047406895735967</v>
          </cell>
          <cell r="CT1280">
            <v>6.7932965393454268</v>
          </cell>
          <cell r="CU1280">
            <v>-85.567035631690018</v>
          </cell>
        </row>
        <row r="1281">
          <cell r="CF1281" t="str">
            <v>Bambalapitiya</v>
          </cell>
          <cell r="CG1281">
            <v>15.053207510857849</v>
          </cell>
          <cell r="CH1281">
            <v>15.89465162651385</v>
          </cell>
          <cell r="CI1281">
            <v>-5.2938820895727554</v>
          </cell>
          <cell r="CJ1281">
            <v>2.0293889438235806</v>
          </cell>
          <cell r="CK1281">
            <v>1.763027534950639</v>
          </cell>
          <cell r="CL1281">
            <v>15.108182010350685</v>
          </cell>
          <cell r="CM1281">
            <v>11.158669775002036</v>
          </cell>
          <cell r="CN1281">
            <v>10.26072011871455</v>
          </cell>
          <cell r="CO1281">
            <v>-8.7513317379129454</v>
          </cell>
          <cell r="CP1281">
            <v>0.37253962451529998</v>
          </cell>
          <cell r="CQ1281">
            <v>0.31332460755672831</v>
          </cell>
          <cell r="CR1281">
            <v>-18.89893596941652</v>
          </cell>
          <cell r="CS1281">
            <v>5.5513870551640938</v>
          </cell>
          <cell r="CT1281">
            <v>7.0836344351932121</v>
          </cell>
          <cell r="CU1281">
            <v>-21.630808224892888</v>
          </cell>
        </row>
        <row r="1282">
          <cell r="CF1282" t="str">
            <v>Nuwara Eliya</v>
          </cell>
          <cell r="CG1282">
            <v>12.769306610292114</v>
          </cell>
          <cell r="CH1282">
            <v>12.576408296779675</v>
          </cell>
          <cell r="CI1282">
            <v>1.5338108382011768</v>
          </cell>
          <cell r="CJ1282">
            <v>1.4922760117448381</v>
          </cell>
          <cell r="CK1282">
            <v>2.8245839756441193</v>
          </cell>
          <cell r="CL1282">
            <v>-47.16829010528749</v>
          </cell>
          <cell r="CM1282">
            <v>9.1930693980462976</v>
          </cell>
          <cell r="CN1282">
            <v>10.523241107357965</v>
          </cell>
          <cell r="CO1282">
            <v>12.64032341121213</v>
          </cell>
          <cell r="CP1282">
            <v>1.85769313738401</v>
          </cell>
          <cell r="CQ1282">
            <v>1.9047969906507103</v>
          </cell>
          <cell r="CR1282">
            <v>2.4729067453329421</v>
          </cell>
          <cell r="CS1282">
            <v>3.2108200866066463</v>
          </cell>
          <cell r="CT1282">
            <v>2.9729541744151207</v>
          </cell>
          <cell r="CU1282">
            <v>8.0009949106706912</v>
          </cell>
        </row>
        <row r="1283">
          <cell r="CF1283" t="str">
            <v>Bandarawela</v>
          </cell>
          <cell r="CG1283">
            <v>7.8268162079347601</v>
          </cell>
          <cell r="CH1283">
            <v>7.8159129053816816</v>
          </cell>
          <cell r="CI1283">
            <v>0.13950133125934602</v>
          </cell>
          <cell r="CJ1283">
            <v>0.44465591831363055</v>
          </cell>
          <cell r="CK1283">
            <v>0.5894463433174586</v>
          </cell>
          <cell r="CL1283">
            <v>-24.563800699641995</v>
          </cell>
          <cell r="CM1283">
            <v>4.2147993524369181</v>
          </cell>
          <cell r="CN1283">
            <v>3.9176904190323691</v>
          </cell>
          <cell r="CO1283">
            <v>-7.5837777268253861</v>
          </cell>
          <cell r="CP1283">
            <v>0.21922554523603244</v>
          </cell>
          <cell r="CQ1283">
            <v>0.20892551293785955</v>
          </cell>
          <cell r="CR1283">
            <v>-4.9300021588251006</v>
          </cell>
          <cell r="CS1283">
            <v>3.8374472285754404</v>
          </cell>
          <cell r="CT1283">
            <v>4.2787433167289119</v>
          </cell>
          <cell r="CU1283">
            <v>-10.313684544433977</v>
          </cell>
        </row>
        <row r="1284">
          <cell r="CF1284" t="str">
            <v>Maharagama</v>
          </cell>
          <cell r="CG1284">
            <v>15.709898583129171</v>
          </cell>
          <cell r="CH1284">
            <v>16.124061105087918</v>
          </cell>
          <cell r="CI1284">
            <v>-2.5685993079501492</v>
          </cell>
          <cell r="CJ1284">
            <v>1.0884459452286477</v>
          </cell>
          <cell r="CK1284">
            <v>1.3554836581683838</v>
          </cell>
          <cell r="CL1284">
            <v>-19.700548312074417</v>
          </cell>
          <cell r="CM1284">
            <v>9.2969385152871169</v>
          </cell>
          <cell r="CN1284">
            <v>9.3600019701143271</v>
          </cell>
          <cell r="CO1284">
            <v>0.67375471745162385</v>
          </cell>
          <cell r="CP1284">
            <v>0.41836449134006237</v>
          </cell>
          <cell r="CQ1284">
            <v>0.50398971638280821</v>
          </cell>
          <cell r="CR1284">
            <v>16.989478606287417</v>
          </cell>
          <cell r="CS1284">
            <v>7.0830415217306406</v>
          </cell>
          <cell r="CT1284">
            <v>7.6155530767591628</v>
          </cell>
          <cell r="CU1284">
            <v>-6.9924212944378183</v>
          </cell>
        </row>
        <row r="1285">
          <cell r="CF1285" t="str">
            <v>Kiribathgoda</v>
          </cell>
          <cell r="CG1285">
            <v>15.563055139180735</v>
          </cell>
          <cell r="CH1285">
            <v>16.421376985942278</v>
          </cell>
          <cell r="CI1285">
            <v>-5.2268567215545918</v>
          </cell>
          <cell r="CJ1285">
            <v>0.80978410740771989</v>
          </cell>
          <cell r="CK1285">
            <v>1.0169767635503102</v>
          </cell>
          <cell r="CL1285">
            <v>-20.373391366315165</v>
          </cell>
          <cell r="CM1285">
            <v>9.3825096687098668</v>
          </cell>
          <cell r="CN1285">
            <v>8.7321348582719622</v>
          </cell>
          <cell r="CO1285">
            <v>-7.4480619114786535</v>
          </cell>
          <cell r="CP1285">
            <v>0.38474673123415543</v>
          </cell>
          <cell r="CQ1285">
            <v>0.3383993874849397</v>
          </cell>
          <cell r="CR1285">
            <v>-13.696048356848282</v>
          </cell>
          <cell r="CS1285">
            <v>6.6055828466444328</v>
          </cell>
          <cell r="CT1285">
            <v>8.3678195037356851</v>
          </cell>
          <cell r="CU1285">
            <v>-21.059687727543938</v>
          </cell>
        </row>
        <row r="1286">
          <cell r="CF1286" t="str">
            <v>Nugegoda</v>
          </cell>
          <cell r="CG1286">
            <v>15.815419265026648</v>
          </cell>
          <cell r="CH1286">
            <v>16.747985897848398</v>
          </cell>
          <cell r="CI1286">
            <v>-5.5682315384655077</v>
          </cell>
          <cell r="CJ1286">
            <v>1.9372042699545917</v>
          </cell>
          <cell r="CK1286">
            <v>1.8034397399152513</v>
          </cell>
          <cell r="CL1286">
            <v>7.4171887797940164</v>
          </cell>
          <cell r="CM1286">
            <v>10.949136948811677</v>
          </cell>
          <cell r="CN1286">
            <v>10.601059011112092</v>
          </cell>
          <cell r="CO1286">
            <v>-3.2834260929472068</v>
          </cell>
          <cell r="CP1286">
            <v>0.68425680320150761</v>
          </cell>
          <cell r="CQ1286">
            <v>0.66482525823106176</v>
          </cell>
          <cell r="CR1286">
            <v>-2.9228048618592606</v>
          </cell>
          <cell r="CS1286">
            <v>6.1192297829680538</v>
          </cell>
          <cell r="CT1286">
            <v>7.2855413684204979</v>
          </cell>
          <cell r="CU1286">
            <v>-16.008578175231747</v>
          </cell>
        </row>
        <row r="1287">
          <cell r="CF1287" t="str">
            <v>Fort</v>
          </cell>
          <cell r="CG1287">
            <v>10.862231895422132</v>
          </cell>
          <cell r="CH1287">
            <v>11.612357740531563</v>
          </cell>
          <cell r="CI1287">
            <v>-6.4597204277577882</v>
          </cell>
          <cell r="CJ1287">
            <v>1.0342119325321228</v>
          </cell>
          <cell r="CK1287">
            <v>1.0486865322921914</v>
          </cell>
          <cell r="CL1287">
            <v>-1.3802599074511233</v>
          </cell>
          <cell r="CM1287">
            <v>4.7853057398561685</v>
          </cell>
          <cell r="CN1287">
            <v>4.1579409943773316</v>
          </cell>
          <cell r="CO1287">
            <v>-15.08835133368186</v>
          </cell>
          <cell r="CP1287">
            <v>0.26046118192680762</v>
          </cell>
          <cell r="CQ1287">
            <v>0.38687958248571769</v>
          </cell>
          <cell r="CR1287">
            <v>32.676420850815255</v>
          </cell>
          <cell r="CS1287">
            <v>6.8506769061712784</v>
          </cell>
          <cell r="CT1287">
            <v>8.1162236959607075</v>
          </cell>
          <cell r="CU1287">
            <v>-15.592803219793804</v>
          </cell>
        </row>
        <row r="1288">
          <cell r="CF1288" t="str">
            <v>Malabe</v>
          </cell>
          <cell r="CG1288">
            <v>15.084962626277479</v>
          </cell>
          <cell r="CH1288">
            <v>16.526998564808189</v>
          </cell>
          <cell r="CI1288">
            <v>-8.7253346872148523</v>
          </cell>
          <cell r="CJ1288">
            <v>1.1558003224300981</v>
          </cell>
          <cell r="CK1288">
            <v>1.2107567554677778</v>
          </cell>
          <cell r="CL1288">
            <v>-4.5390151894256592</v>
          </cell>
          <cell r="CM1288">
            <v>10.00770263309369</v>
          </cell>
          <cell r="CN1288">
            <v>10.961522909470757</v>
          </cell>
          <cell r="CO1288">
            <v>8.7015306564105845</v>
          </cell>
          <cell r="CP1288">
            <v>0.40413104721144938</v>
          </cell>
          <cell r="CQ1288">
            <v>0.44921447063540082</v>
          </cell>
          <cell r="CR1288">
            <v>10.036057689811784</v>
          </cell>
          <cell r="CS1288">
            <v>5.828929268402435</v>
          </cell>
          <cell r="CT1288">
            <v>6.3270179401698101</v>
          </cell>
          <cell r="CU1288">
            <v>-7.8724080835150438</v>
          </cell>
        </row>
        <row r="1289">
          <cell r="CF1289" t="str">
            <v>Negombo</v>
          </cell>
          <cell r="CG1289">
            <v>10.494500238408371</v>
          </cell>
          <cell r="CH1289">
            <v>15.953032531655841</v>
          </cell>
          <cell r="CI1289">
            <v>-34.216267549232555</v>
          </cell>
          <cell r="CJ1289">
            <v>2.5969447885553341</v>
          </cell>
          <cell r="CK1289">
            <v>3.4625464572756957</v>
          </cell>
          <cell r="CL1289">
            <v>-24.998990754377061</v>
          </cell>
          <cell r="CM1289">
            <v>6.6969896120229606</v>
          </cell>
          <cell r="CN1289">
            <v>7.9900467602298892</v>
          </cell>
          <cell r="CO1289">
            <v>16.183348946630254</v>
          </cell>
          <cell r="CP1289">
            <v>0.42538529796707159</v>
          </cell>
          <cell r="CQ1289">
            <v>0.56318964343747702</v>
          </cell>
          <cell r="CR1289">
            <v>24.468551060226286</v>
          </cell>
          <cell r="CS1289">
            <v>5.9690701169736728</v>
          </cell>
          <cell r="CT1289">
            <v>10.862342585264171</v>
          </cell>
          <cell r="CU1289">
            <v>-45.048040327219105</v>
          </cell>
        </row>
        <row r="1290">
          <cell r="CF1290" t="str">
            <v>Rajagiriya</v>
          </cell>
          <cell r="CG1290">
            <v>15.651418505075226</v>
          </cell>
          <cell r="CH1290">
            <v>16.472139347261276</v>
          </cell>
          <cell r="CI1290">
            <v>-4.9824787471975016</v>
          </cell>
          <cell r="CJ1290">
            <v>0.98392794956397422</v>
          </cell>
          <cell r="CK1290">
            <v>1.145422724715988</v>
          </cell>
          <cell r="CL1290">
            <v>-14.09914188598424</v>
          </cell>
          <cell r="CM1290">
            <v>9.0733460787541826</v>
          </cell>
          <cell r="CN1290">
            <v>9.7080888174028139</v>
          </cell>
          <cell r="CO1290">
            <v>6.5382873044052232</v>
          </cell>
          <cell r="CP1290">
            <v>0.63481181276761034</v>
          </cell>
          <cell r="CQ1290">
            <v>1.1792917055182881</v>
          </cell>
          <cell r="CR1290">
            <v>46.170077361087159</v>
          </cell>
          <cell r="CS1290">
            <v>6.9271885631174088</v>
          </cell>
          <cell r="CT1290">
            <v>6.7301815490561605</v>
          </cell>
          <cell r="CU1290">
            <v>2.9272169350153199</v>
          </cell>
        </row>
        <row r="1291">
          <cell r="CF1291" t="str">
            <v>Boralesgamuwa</v>
          </cell>
          <cell r="CG1291">
            <v>14.457897974049494</v>
          </cell>
          <cell r="CH1291">
            <v>16.176721132189996</v>
          </cell>
          <cell r="CI1291">
            <v>-10.625287684042609</v>
          </cell>
          <cell r="CJ1291">
            <v>0.90645378886269956</v>
          </cell>
          <cell r="CK1291">
            <v>1.4087941280850289</v>
          </cell>
          <cell r="CL1291">
            <v>-35.657469690419532</v>
          </cell>
          <cell r="CM1291">
            <v>13.091714960101008</v>
          </cell>
          <cell r="CN1291">
            <v>14.407675038439328</v>
          </cell>
          <cell r="CO1291">
            <v>9.1337434723324193</v>
          </cell>
          <cell r="CP1291">
            <v>0.86500444846303992</v>
          </cell>
          <cell r="CQ1291">
            <v>1.0670031160334801</v>
          </cell>
          <cell r="CR1291">
            <v>18.931403717109848</v>
          </cell>
          <cell r="CS1291">
            <v>1.4076323543481462</v>
          </cell>
          <cell r="CT1291">
            <v>2.1108371058022195</v>
          </cell>
          <cell r="CU1291">
            <v>-33.314022646329299</v>
          </cell>
        </row>
        <row r="1292">
          <cell r="CF1292" t="str">
            <v>Pitakotte</v>
          </cell>
          <cell r="CG1292">
            <v>15.703440479145195</v>
          </cell>
          <cell r="CH1292">
            <v>16.44781776712874</v>
          </cell>
          <cell r="CI1292">
            <v>-4.525690267989205</v>
          </cell>
          <cell r="CJ1292">
            <v>1.2646429747159693</v>
          </cell>
          <cell r="CK1292">
            <v>1.5566130044637057</v>
          </cell>
          <cell r="CL1292">
            <v>-18.756751286960224</v>
          </cell>
          <cell r="CM1292">
            <v>9.7488207291571083</v>
          </cell>
          <cell r="CN1292">
            <v>10.52693418681843</v>
          </cell>
          <cell r="CO1292">
            <v>7.3916436053685626</v>
          </cell>
          <cell r="CP1292">
            <v>1.5127911635163356</v>
          </cell>
          <cell r="CQ1292">
            <v>1.6732263964892371</v>
          </cell>
          <cell r="CR1292">
            <v>9.5883756860115668</v>
          </cell>
          <cell r="CS1292">
            <v>5.7064715611877208</v>
          </cell>
          <cell r="CT1292">
            <v>5.8042701882847805</v>
          </cell>
          <cell r="CU1292">
            <v>-1.6849427046737833</v>
          </cell>
        </row>
        <row r="1293">
          <cell r="CF1293" t="str">
            <v>Panadura</v>
          </cell>
          <cell r="CG1293">
            <v>15.301933842068314</v>
          </cell>
          <cell r="CH1293">
            <v>16.461085128208659</v>
          </cell>
          <cell r="CI1293">
            <v>-7.0417671563702484</v>
          </cell>
          <cell r="CJ1293">
            <v>0.99469312757585349</v>
          </cell>
          <cell r="CK1293">
            <v>1.2056325426139574</v>
          </cell>
          <cell r="CL1293">
            <v>-17.496161357818167</v>
          </cell>
          <cell r="CM1293">
            <v>10.023676187340785</v>
          </cell>
          <cell r="CN1293">
            <v>11.22935216627585</v>
          </cell>
          <cell r="CO1293">
            <v>10.73682578551565</v>
          </cell>
          <cell r="CP1293">
            <v>1.8844343860211787</v>
          </cell>
          <cell r="CQ1293">
            <v>2.0050070506754154</v>
          </cell>
          <cell r="CR1293">
            <v>6.0135780875992442</v>
          </cell>
          <cell r="CS1293">
            <v>4.3885163962822027</v>
          </cell>
          <cell r="CT1293">
            <v>4.4323584538713501</v>
          </cell>
          <cell r="CU1293">
            <v>-0.98913610091382542</v>
          </cell>
        </row>
        <row r="1294">
          <cell r="CF1294" t="str">
            <v>Kurunagala</v>
          </cell>
          <cell r="CG1294">
            <v>14.994190877332441</v>
          </cell>
          <cell r="CH1294">
            <v>16.729775489060284</v>
          </cell>
          <cell r="CI1294">
            <v>-10.374225361617995</v>
          </cell>
          <cell r="CJ1294">
            <v>1.4776031646166838</v>
          </cell>
          <cell r="CK1294">
            <v>2.1869116427311828</v>
          </cell>
          <cell r="CL1294">
            <v>-32.43425405283682</v>
          </cell>
          <cell r="CM1294">
            <v>11.471422070521484</v>
          </cell>
          <cell r="CN1294">
            <v>14.712034312621952</v>
          </cell>
          <cell r="CO1294">
            <v>22.026948641087909</v>
          </cell>
          <cell r="CP1294">
            <v>2.5968564074229969</v>
          </cell>
          <cell r="CQ1294">
            <v>3.4387035171656359</v>
          </cell>
          <cell r="CR1294">
            <v>24.481526410760026</v>
          </cell>
          <cell r="CS1294">
            <v>2.4035155640046448</v>
          </cell>
          <cell r="CT1294">
            <v>0.76594930200387756</v>
          </cell>
          <cell r="CU1294">
            <v>213.79564648946925</v>
          </cell>
        </row>
        <row r="1295">
          <cell r="CF1295" t="str">
            <v>Matara</v>
          </cell>
          <cell r="CG1295">
            <v>15.345685111939437</v>
          </cell>
          <cell r="CH1295">
            <v>16.541122251078892</v>
          </cell>
          <cell r="CI1295">
            <v>-7.2270618703726903</v>
          </cell>
          <cell r="CJ1295">
            <v>0.90872186550749845</v>
          </cell>
          <cell r="CK1295">
            <v>1.0990839988346575</v>
          </cell>
          <cell r="CL1295">
            <v>-17.320071398455184</v>
          </cell>
          <cell r="CM1295">
            <v>12.139720172747893</v>
          </cell>
          <cell r="CN1295">
            <v>12.527610018487776</v>
          </cell>
          <cell r="CO1295">
            <v>3.0962796987410184</v>
          </cell>
          <cell r="CP1295">
            <v>2.5457893154967275</v>
          </cell>
          <cell r="CQ1295">
            <v>2.7129226164080911</v>
          </cell>
          <cell r="CR1295">
            <v>6.1606364995640028</v>
          </cell>
          <cell r="CS1295">
            <v>1.5688974892023158</v>
          </cell>
          <cell r="CT1295">
            <v>2.3996736150176807</v>
          </cell>
          <cell r="CU1295">
            <v>-34.620380064029824</v>
          </cell>
        </row>
        <row r="1296">
          <cell r="CF1296" t="str">
            <v>Wattala</v>
          </cell>
          <cell r="CG1296">
            <v>9.7293045805807683</v>
          </cell>
          <cell r="CH1296">
            <v>14.420807494316069</v>
          </cell>
          <cell r="CI1296">
            <v>-32.532872487095098</v>
          </cell>
          <cell r="CJ1296">
            <v>2.6285713494658034</v>
          </cell>
          <cell r="CK1296">
            <v>3.3528479619350784</v>
          </cell>
          <cell r="CL1296">
            <v>-21.601832850519788</v>
          </cell>
          <cell r="CM1296">
            <v>9.0510696103095469</v>
          </cell>
          <cell r="CN1296">
            <v>13.362149462705089</v>
          </cell>
          <cell r="CO1296">
            <v>32.2633709825514</v>
          </cell>
          <cell r="CP1296">
            <v>2.4882993629646539</v>
          </cell>
          <cell r="CQ1296">
            <v>3.9925604643649528</v>
          </cell>
          <cell r="CR1296">
            <v>37.676601640134791</v>
          </cell>
          <cell r="CS1296">
            <v>0.81850695677237084</v>
          </cell>
          <cell r="CT1296">
            <v>0.418945529181105</v>
          </cell>
          <cell r="CU1296">
            <v>95.373121267643441</v>
          </cell>
        </row>
        <row r="1297">
          <cell r="CF1297" t="str">
            <v>Pelawatte</v>
          </cell>
          <cell r="CG1297">
            <v>16.057638256027492</v>
          </cell>
          <cell r="CH1297">
            <v>16.649412107171848</v>
          </cell>
          <cell r="CI1297">
            <v>-3.5543228033225636</v>
          </cell>
          <cell r="CJ1297">
            <v>1.2021037563224182</v>
          </cell>
          <cell r="CK1297">
            <v>1.3260249465674345</v>
          </cell>
          <cell r="CL1297">
            <v>-9.3453136432915809</v>
          </cell>
          <cell r="CM1297">
            <v>9.6097150028286862</v>
          </cell>
          <cell r="CN1297">
            <v>10.268089455330045</v>
          </cell>
          <cell r="CO1297">
            <v>6.4118495983652029</v>
          </cell>
          <cell r="CP1297">
            <v>1.9221853286638477</v>
          </cell>
          <cell r="CQ1297">
            <v>2.159676816376884</v>
          </cell>
          <cell r="CR1297">
            <v>10.996621620055942</v>
          </cell>
          <cell r="CS1297">
            <v>5.7278416808573773</v>
          </cell>
          <cell r="CT1297">
            <v>5.5476707820323536</v>
          </cell>
          <cell r="CU1297">
            <v>3.2476854864667946</v>
          </cell>
        </row>
        <row r="1298">
          <cell r="CF1298" t="str">
            <v>Gampaha</v>
          </cell>
          <cell r="CG1298">
            <v>12.259918751160205</v>
          </cell>
          <cell r="CH1298">
            <v>16.588921741874643</v>
          </cell>
          <cell r="CI1298">
            <v>-26.095746655956166</v>
          </cell>
          <cell r="CJ1298">
            <v>1.621564193440276</v>
          </cell>
          <cell r="CK1298">
            <v>2.0803674963254437</v>
          </cell>
          <cell r="CL1298">
            <v>-22.053954587136776</v>
          </cell>
          <cell r="CM1298">
            <v>10.130738795731039</v>
          </cell>
          <cell r="CN1298">
            <v>13.77780271863393</v>
          </cell>
          <cell r="CO1298">
            <v>26.470577329216528</v>
          </cell>
          <cell r="CP1298">
            <v>3.4952916405483911</v>
          </cell>
          <cell r="CQ1298">
            <v>5.3251431652654748</v>
          </cell>
          <cell r="CR1298">
            <v>34.362485062424796</v>
          </cell>
          <cell r="CS1298">
            <v>0.2554525083210521</v>
          </cell>
          <cell r="CT1298">
            <v>-0.43365664569931622</v>
          </cell>
          <cell r="CU1298">
            <v>158.90662828632742</v>
          </cell>
        </row>
        <row r="1299">
          <cell r="CF1299" t="str">
            <v>Ja-ela</v>
          </cell>
          <cell r="CG1299">
            <v>15.748717204894906</v>
          </cell>
          <cell r="CH1299">
            <v>16.705305865573749</v>
          </cell>
          <cell r="CI1299">
            <v>-5.7262564862710992</v>
          </cell>
          <cell r="CJ1299">
            <v>3.5574195337060042</v>
          </cell>
          <cell r="CK1299">
            <v>4.4868907462254954</v>
          </cell>
          <cell r="CL1299">
            <v>-20.715262864409834</v>
          </cell>
          <cell r="CM1299">
            <v>10.967499525166195</v>
          </cell>
          <cell r="CN1299">
            <v>12.202049073801662</v>
          </cell>
          <cell r="CO1299">
            <v>10.117559281793904</v>
          </cell>
          <cell r="CP1299">
            <v>4.7499994681184514</v>
          </cell>
          <cell r="CQ1299">
            <v>6.8867892968801083</v>
          </cell>
          <cell r="CR1299">
            <v>31.027373376003787</v>
          </cell>
          <cell r="CS1299">
            <v>3.5886377453162623</v>
          </cell>
          <cell r="CT1299">
            <v>2.1033582411174732</v>
          </cell>
          <cell r="CU1299">
            <v>70.61467110850738</v>
          </cell>
        </row>
        <row r="1300">
          <cell r="CF1300" t="str">
            <v>Piliyandala</v>
          </cell>
          <cell r="CG1300">
            <v>14.343709291808269</v>
          </cell>
          <cell r="CH1300">
            <v>16.397658343603819</v>
          </cell>
          <cell r="CI1300">
            <v>-12.525868076747235</v>
          </cell>
          <cell r="CJ1300">
            <v>1.2655399034415138</v>
          </cell>
          <cell r="CK1300">
            <v>2.1612700954108455</v>
          </cell>
          <cell r="CL1300">
            <v>-41.444620636323492</v>
          </cell>
          <cell r="CM1300">
            <v>12.426043007319857</v>
          </cell>
          <cell r="CN1300">
            <v>17.221737632339536</v>
          </cell>
          <cell r="CO1300">
            <v>27.846752327791645</v>
          </cell>
          <cell r="CP1300">
            <v>5.8073154308525323</v>
          </cell>
          <cell r="CQ1300">
            <v>8.2070615058769327</v>
          </cell>
          <cell r="CR1300">
            <v>29.240015726773638</v>
          </cell>
          <cell r="CS1300">
            <v>-2.6241092429226049</v>
          </cell>
          <cell r="CT1300">
            <v>-6.8698706992018046</v>
          </cell>
          <cell r="CU1300">
            <v>61.802639993974054</v>
          </cell>
        </row>
        <row r="1301">
          <cell r="CF1301" t="str">
            <v>Chilaw</v>
          </cell>
          <cell r="CG1301">
            <v>14.204868474690116</v>
          </cell>
          <cell r="CH1301">
            <v>16.42829346376757</v>
          </cell>
          <cell r="CI1301">
            <v>-13.534120229719507</v>
          </cell>
          <cell r="CJ1301">
            <v>1.7272108578198795</v>
          </cell>
          <cell r="CK1301">
            <v>2.2977211732562131</v>
          </cell>
          <cell r="CL1301">
            <v>-24.829397146906015</v>
          </cell>
          <cell r="CM1301">
            <v>14.238075504360136</v>
          </cell>
          <cell r="CN1301">
            <v>19.598577127739986</v>
          </cell>
          <cell r="CO1301">
            <v>27.351483673743605</v>
          </cell>
          <cell r="CP1301">
            <v>5.0497111910557679</v>
          </cell>
          <cell r="CQ1301">
            <v>7.4203576923710397</v>
          </cell>
          <cell r="CR1301">
            <v>31.947873668577493</v>
          </cell>
          <cell r="CS1301">
            <v>-3.3557073629059091</v>
          </cell>
          <cell r="CT1301">
            <v>-8.2929201830872401</v>
          </cell>
          <cell r="CU1301">
            <v>59.53527480284194</v>
          </cell>
        </row>
        <row r="1302">
          <cell r="CF1302" t="str">
            <v>Ratnapura</v>
          </cell>
          <cell r="CG1302">
            <v>11.302659980652434</v>
          </cell>
          <cell r="CH1302">
            <v>16.337073691683361</v>
          </cell>
          <cell r="CI1302">
            <v>-30.815884203263238</v>
          </cell>
          <cell r="CJ1302">
            <v>2.3575333321318812</v>
          </cell>
          <cell r="CK1302">
            <v>1.7556775603810879</v>
          </cell>
          <cell r="CL1302">
            <v>34.280541332438872</v>
          </cell>
          <cell r="CM1302">
            <v>9.1922059132558651</v>
          </cell>
          <cell r="CN1302">
            <v>13.679965023053093</v>
          </cell>
          <cell r="CO1302">
            <v>32.805340527074314</v>
          </cell>
          <cell r="CP1302">
            <v>4.3348903919162423</v>
          </cell>
          <cell r="CQ1302">
            <v>6.5365446988340059</v>
          </cell>
          <cell r="CR1302">
            <v>33.682234396874797</v>
          </cell>
          <cell r="CS1302">
            <v>0.13309700761220802</v>
          </cell>
          <cell r="CT1302">
            <v>-2.123758469822651</v>
          </cell>
          <cell r="CU1302">
            <v>106.26705011438153</v>
          </cell>
        </row>
        <row r="1303">
          <cell r="CF1303" t="str">
            <v>Nawala</v>
          </cell>
          <cell r="CG1303">
            <v>13.419349328330277</v>
          </cell>
          <cell r="CH1303">
            <v>15.874173050495695</v>
          </cell>
          <cell r="CI1303">
            <v>-15.464262071206051</v>
          </cell>
          <cell r="CJ1303">
            <v>1.9556585226491026</v>
          </cell>
          <cell r="CK1303">
            <v>1.7467889583914518</v>
          </cell>
          <cell r="CL1303">
            <v>11.957343974167918</v>
          </cell>
          <cell r="CM1303">
            <v>7.7528264447323716</v>
          </cell>
          <cell r="CN1303">
            <v>10.609672726326203</v>
          </cell>
          <cell r="CO1303">
            <v>26.926808727144095</v>
          </cell>
          <cell r="CP1303">
            <v>2.8786124623817018</v>
          </cell>
          <cell r="CQ1303">
            <v>2.551634193437502</v>
          </cell>
          <cell r="CR1303">
            <v>-12.814464933302306</v>
          </cell>
          <cell r="CS1303">
            <v>4.7435689438653057</v>
          </cell>
          <cell r="CT1303">
            <v>4.4596550891234417</v>
          </cell>
          <cell r="CU1303">
            <v>6.3662738276396196</v>
          </cell>
        </row>
        <row r="1304">
          <cell r="CF1304" t="str">
            <v>Collupitiya</v>
          </cell>
          <cell r="CG1304">
            <v>15.561996998805153</v>
          </cell>
          <cell r="CH1304">
            <v>16.742958699336999</v>
          </cell>
          <cell r="CI1304">
            <v>-7.053482731093462</v>
          </cell>
          <cell r="CJ1304">
            <v>0.99026832869293491</v>
          </cell>
          <cell r="CK1304">
            <v>1.2080893665651931</v>
          </cell>
          <cell r="CL1304">
            <v>-18.030209014384511</v>
          </cell>
          <cell r="CM1304">
            <v>11.186837692960147</v>
          </cell>
          <cell r="CN1304">
            <v>14.169864049324376</v>
          </cell>
          <cell r="CO1304">
            <v>21.051905268678009</v>
          </cell>
          <cell r="CP1304">
            <v>2.0896190697401513</v>
          </cell>
          <cell r="CQ1304">
            <v>3.3725066209707633</v>
          </cell>
          <cell r="CR1304">
            <v>38.039585845537573</v>
          </cell>
          <cell r="CS1304">
            <v>3.2758085647977886</v>
          </cell>
          <cell r="CT1304">
            <v>0.40867739560705268</v>
          </cell>
          <cell r="CU1304">
            <v>701.56343365452744</v>
          </cell>
        </row>
        <row r="1305">
          <cell r="CF1305" t="str">
            <v>Dehiwala</v>
          </cell>
          <cell r="CG1305">
            <v>15.154436686366033</v>
          </cell>
          <cell r="CH1305">
            <v>16.455041918347852</v>
          </cell>
          <cell r="CI1305">
            <v>-7.9039922136667826</v>
          </cell>
          <cell r="CJ1305">
            <v>1.1012672715756961</v>
          </cell>
          <cell r="CK1305">
            <v>1.0429397251581205</v>
          </cell>
          <cell r="CL1305">
            <v>5.592609525802902</v>
          </cell>
          <cell r="CM1305">
            <v>12.636765081840052</v>
          </cell>
          <cell r="CN1305">
            <v>11.702224201166119</v>
          </cell>
          <cell r="CO1305">
            <v>-7.9860107327357976</v>
          </cell>
          <cell r="CP1305">
            <v>1.342900647591124</v>
          </cell>
          <cell r="CQ1305">
            <v>2.0981862794447821</v>
          </cell>
          <cell r="CR1305">
            <v>35.997072293005381</v>
          </cell>
          <cell r="CS1305">
            <v>2.2760382285105516</v>
          </cell>
          <cell r="CT1305">
            <v>3.6975711628950707</v>
          </cell>
          <cell r="CU1305">
            <v>-38.44504599801963</v>
          </cell>
        </row>
        <row r="1306">
          <cell r="CF1306" t="str">
            <v>Thibirigasyaya</v>
          </cell>
          <cell r="CG1306">
            <v>15.643786958964567</v>
          </cell>
          <cell r="CH1306">
            <v>16.572385431483529</v>
          </cell>
          <cell r="CI1306">
            <v>-5.6032879295387916</v>
          </cell>
          <cell r="CJ1306">
            <v>0.36449924386846538</v>
          </cell>
          <cell r="CK1306">
            <v>0.40578993380847689</v>
          </cell>
          <cell r="CL1306">
            <v>-10.175385464218962</v>
          </cell>
          <cell r="CM1306">
            <v>11.593025051404323</v>
          </cell>
          <cell r="CN1306">
            <v>12.543456540682477</v>
          </cell>
          <cell r="CO1306">
            <v>7.5771099154016923</v>
          </cell>
          <cell r="CP1306">
            <v>1.9466507213332258</v>
          </cell>
          <cell r="CQ1306">
            <v>3.7291287041555599</v>
          </cell>
          <cell r="CR1306">
            <v>47.798778863170561</v>
          </cell>
          <cell r="CS1306">
            <v>2.4686104300954836</v>
          </cell>
          <cell r="CT1306">
            <v>0.7055901204539694</v>
          </cell>
          <cell r="CU1306">
            <v>249.86465350552317</v>
          </cell>
        </row>
        <row r="1307">
          <cell r="CF1307" t="str">
            <v>Moratuwa</v>
          </cell>
          <cell r="CG1307">
            <v>15.700682051088579</v>
          </cell>
          <cell r="CH1307">
            <v>16.476885223241766</v>
          </cell>
          <cell r="CI1307">
            <v>-4.7108610737804941</v>
          </cell>
          <cell r="CJ1307">
            <v>0.99972561193373732</v>
          </cell>
          <cell r="CK1307">
            <v>1.2501954345025674</v>
          </cell>
          <cell r="CL1307">
            <v>-20.03445346674842</v>
          </cell>
          <cell r="CM1307">
            <v>9.8578162990636429</v>
          </cell>
          <cell r="CN1307">
            <v>12.746731645380152</v>
          </cell>
          <cell r="CO1307">
            <v>22.663969295717852</v>
          </cell>
          <cell r="CP1307">
            <v>2.1609710434658651</v>
          </cell>
          <cell r="CQ1307">
            <v>3.4223356957123641</v>
          </cell>
          <cell r="CR1307">
            <v>36.856835927193984</v>
          </cell>
          <cell r="CS1307">
            <v>4.6816203204928071</v>
          </cell>
          <cell r="CT1307">
            <v>1.5580133166518189</v>
          </cell>
          <cell r="CU1307">
            <v>200.4865408052892</v>
          </cell>
        </row>
        <row r="1308">
          <cell r="CF1308" t="str">
            <v>Kegalle</v>
          </cell>
          <cell r="CG1308">
            <v>14.256509629937868</v>
          </cell>
          <cell r="CH1308">
            <v>15.236507224668713</v>
          </cell>
          <cell r="CI1308">
            <v>-6.4319045059367479</v>
          </cell>
          <cell r="CJ1308">
            <v>1.2285751297271899</v>
          </cell>
          <cell r="CK1308">
            <v>3.1025368533554918</v>
          </cell>
          <cell r="CL1308">
            <v>-60.400949680953929</v>
          </cell>
          <cell r="CM1308">
            <v>15.176800311527316</v>
          </cell>
          <cell r="CN1308">
            <v>15.611690962708751</v>
          </cell>
          <cell r="CO1308">
            <v>2.7856729435667629</v>
          </cell>
          <cell r="CP1308">
            <v>6.3709603661905156E-3</v>
          </cell>
          <cell r="CQ1308">
            <v>0</v>
          </cell>
          <cell r="CR1308">
            <v>0</v>
          </cell>
          <cell r="CS1308">
            <v>0.30191348777155341</v>
          </cell>
          <cell r="CT1308">
            <v>2.7273531153154527</v>
          </cell>
          <cell r="CU1308">
            <v>-88.930165071909542</v>
          </cell>
        </row>
        <row r="1309">
          <cell r="CF1309" t="str">
            <v>Kadawatha</v>
          </cell>
          <cell r="CG1309">
            <v>15.12071140007334</v>
          </cell>
          <cell r="CH1309">
            <v>15.519999999999994</v>
          </cell>
          <cell r="CI1309">
            <v>-2.5727358242696816</v>
          </cell>
          <cell r="CJ1309">
            <v>1.287659187318702</v>
          </cell>
          <cell r="CK1309">
            <v>1.4030924981846662</v>
          </cell>
          <cell r="CL1309">
            <v>-8.2270635054576129</v>
          </cell>
          <cell r="CM1309">
            <v>15.560868016753293</v>
          </cell>
          <cell r="CN1309">
            <v>12.164255828955287</v>
          </cell>
          <cell r="CO1309">
            <v>-27.922893398154713</v>
          </cell>
          <cell r="CP1309">
            <v>0</v>
          </cell>
          <cell r="CQ1309">
            <v>0</v>
          </cell>
          <cell r="CR1309">
            <v>0</v>
          </cell>
          <cell r="CS1309">
            <v>0.84750257063874912</v>
          </cell>
          <cell r="CT1309">
            <v>4.7588366692293746</v>
          </cell>
          <cell r="CU1309">
            <v>-82.190971669217006</v>
          </cell>
        </row>
        <row r="1310">
          <cell r="CF1310" t="str">
            <v>Aluthgama</v>
          </cell>
          <cell r="CG1310">
            <v>15.887373341775252</v>
          </cell>
          <cell r="CH1310">
            <v>15.313655716607583</v>
          </cell>
          <cell r="CI1310">
            <v>3.7464445837415234</v>
          </cell>
          <cell r="CJ1310">
            <v>0.71872690236086734</v>
          </cell>
          <cell r="CK1310">
            <v>3.083528073675827</v>
          </cell>
          <cell r="CL1310">
            <v>-76.691410449716315</v>
          </cell>
          <cell r="CM1310">
            <v>14.408926844338726</v>
          </cell>
          <cell r="CN1310">
            <v>15.536966814569064</v>
          </cell>
          <cell r="CO1310">
            <v>7.2603615859729551</v>
          </cell>
          <cell r="CP1310">
            <v>0</v>
          </cell>
          <cell r="CQ1310">
            <v>0</v>
          </cell>
          <cell r="CR1310">
            <v>0</v>
          </cell>
          <cell r="CS1310">
            <v>2.1971733997973923</v>
          </cell>
          <cell r="CT1310">
            <v>2.8602169757143452</v>
          </cell>
          <cell r="CU1310">
            <v>-23.181583129767848</v>
          </cell>
        </row>
        <row r="1311">
          <cell r="CF1311" t="str">
            <v>Park Road</v>
          </cell>
          <cell r="CG1311">
            <v>15.473212947383775</v>
          </cell>
          <cell r="CH1311">
            <v>15.358197885462218</v>
          </cell>
          <cell r="CI1311">
            <v>0.74888383897194344</v>
          </cell>
          <cell r="CJ1311">
            <v>0.6608820375469906</v>
          </cell>
          <cell r="CK1311">
            <v>3.0726387591269182</v>
          </cell>
          <cell r="CL1311">
            <v>-78.491385113726224</v>
          </cell>
          <cell r="CM1311">
            <v>10.397357544376247</v>
          </cell>
          <cell r="CN1311">
            <v>15.507623314313676</v>
          </cell>
          <cell r="CO1311">
            <v>32.953249291402429</v>
          </cell>
          <cell r="CP1311">
            <v>0</v>
          </cell>
          <cell r="CQ1311">
            <v>0</v>
          </cell>
          <cell r="CR1311">
            <v>0</v>
          </cell>
          <cell r="CS1311">
            <v>5.7367374405545171</v>
          </cell>
          <cell r="CT1311">
            <v>2.9232133302754608</v>
          </cell>
          <cell r="CU1311">
            <v>96.247649158535125</v>
          </cell>
        </row>
        <row r="1312">
          <cell r="CF1312" t="str">
            <v>Kotahena</v>
          </cell>
          <cell r="CG1312">
            <v>15.527493642594919</v>
          </cell>
          <cell r="CH1312">
            <v>15.358197885462218</v>
          </cell>
          <cell r="CI1312">
            <v>1.1023152481513054</v>
          </cell>
          <cell r="CJ1312">
            <v>1.8796692706522997</v>
          </cell>
          <cell r="CK1312">
            <v>3.0726387591269182</v>
          </cell>
          <cell r="CL1312">
            <v>-38.825569225508225</v>
          </cell>
          <cell r="CM1312">
            <v>12.982256772490041</v>
          </cell>
          <cell r="CN1312">
            <v>15.507623314313676</v>
          </cell>
          <cell r="CO1312">
            <v>16.284678126613372</v>
          </cell>
          <cell r="CP1312">
            <v>0</v>
          </cell>
          <cell r="CQ1312">
            <v>0</v>
          </cell>
          <cell r="CR1312">
            <v>0</v>
          </cell>
          <cell r="CS1312">
            <v>4.4249061407571766</v>
          </cell>
          <cell r="CT1312">
            <v>2.9232133302754608</v>
          </cell>
          <cell r="CU1312">
            <v>51.371304137430428</v>
          </cell>
        </row>
        <row r="1313">
          <cell r="CF1313" t="str">
            <v>Ambalangoda</v>
          </cell>
          <cell r="CG1313">
            <v>14.868995580692946</v>
          </cell>
          <cell r="CH1313">
            <v>15.429300481392255</v>
          </cell>
          <cell r="CI1313">
            <v>-3.6314342401655688</v>
          </cell>
          <cell r="CJ1313">
            <v>1.0135947662673888</v>
          </cell>
          <cell r="CK1313">
            <v>3.0687009642238698</v>
          </cell>
          <cell r="CL1313">
            <v>-66.969907524901316</v>
          </cell>
          <cell r="CM1313">
            <v>16.176102550184545</v>
          </cell>
          <cell r="CN1313">
            <v>15.500287467841911</v>
          </cell>
          <cell r="CO1313">
            <v>-4.3600164432094051</v>
          </cell>
          <cell r="CP1313">
            <v>7.4405281468499354E-2</v>
          </cell>
          <cell r="CQ1313">
            <v>0</v>
          </cell>
          <cell r="CR1313">
            <v>0</v>
          </cell>
          <cell r="CS1313">
            <v>-0.36791748469271324</v>
          </cell>
          <cell r="CT1313">
            <v>2.9977139777742146</v>
          </cell>
          <cell r="CU1313">
            <v>-112.27326847793164</v>
          </cell>
        </row>
        <row r="1314">
          <cell r="CF1314" t="str">
            <v>Katugastota</v>
          </cell>
          <cell r="CG1314">
            <v>13.96310842258173</v>
          </cell>
          <cell r="CH1314">
            <v>15.429300481392255</v>
          </cell>
          <cell r="CI1314">
            <v>-9.5026476448414101</v>
          </cell>
          <cell r="CJ1314">
            <v>1.3778899562133176</v>
          </cell>
          <cell r="CK1314">
            <v>3.0687009642238698</v>
          </cell>
          <cell r="CL1314">
            <v>-55.098591479674816</v>
          </cell>
          <cell r="CM1314">
            <v>12.772710710120251</v>
          </cell>
          <cell r="CN1314">
            <v>15.500287467841911</v>
          </cell>
          <cell r="CO1314">
            <v>17.596943046253184</v>
          </cell>
          <cell r="CP1314">
            <v>3.7719639660394072E-2</v>
          </cell>
          <cell r="CQ1314">
            <v>0</v>
          </cell>
          <cell r="CR1314">
            <v>0</v>
          </cell>
          <cell r="CS1314">
            <v>2.530568029014403</v>
          </cell>
          <cell r="CT1314">
            <v>2.9977139777742146</v>
          </cell>
          <cell r="CU1314">
            <v>-15.583406296376037</v>
          </cell>
        </row>
        <row r="1315">
          <cell r="CF1315" t="str">
            <v>Beruwela</v>
          </cell>
          <cell r="CG1315">
            <v>14.670936004541243</v>
          </cell>
          <cell r="CH1315">
            <v>15.530565865444935</v>
          </cell>
          <cell r="CI1315">
            <v>-5.5350839650752413</v>
          </cell>
          <cell r="CJ1315">
            <v>1.1368913270814773</v>
          </cell>
          <cell r="CK1315">
            <v>3.0354885305171129</v>
          </cell>
          <cell r="CL1315">
            <v>-62.546676897250499</v>
          </cell>
          <cell r="CM1315">
            <v>16.303340254922251</v>
          </cell>
          <cell r="CN1315">
            <v>15.342519859451878</v>
          </cell>
          <cell r="CO1315">
            <v>-6.2624679926906008</v>
          </cell>
          <cell r="CP1315">
            <v>4.3009420947367864E-3</v>
          </cell>
          <cell r="CQ1315">
            <v>0</v>
          </cell>
          <cell r="CR1315">
            <v>0</v>
          </cell>
          <cell r="CS1315">
            <v>-0.49981386539426664</v>
          </cell>
          <cell r="CT1315">
            <v>3.2235345365101695</v>
          </cell>
          <cell r="CU1315">
            <v>-115.50515000640786</v>
          </cell>
        </row>
        <row r="1316">
          <cell r="CF1316" t="str">
            <v>Warakapola</v>
          </cell>
          <cell r="CG1316">
            <v>12.872747475691423</v>
          </cell>
          <cell r="CH1316">
            <v>15.530565865444935</v>
          </cell>
          <cell r="CI1316">
            <v>-17.113467807809126</v>
          </cell>
          <cell r="CJ1316">
            <v>1.3485125960448101</v>
          </cell>
          <cell r="CK1316">
            <v>3.0354885305171129</v>
          </cell>
          <cell r="CL1316">
            <v>-55.575104880561575</v>
          </cell>
          <cell r="CM1316">
            <v>19.286283889191179</v>
          </cell>
          <cell r="CN1316">
            <v>15.342519859451878</v>
          </cell>
          <cell r="CO1316">
            <v>-25.704799901625769</v>
          </cell>
          <cell r="CP1316">
            <v>1.2078295895137882E-3</v>
          </cell>
          <cell r="CQ1316">
            <v>0</v>
          </cell>
          <cell r="CR1316">
            <v>0</v>
          </cell>
          <cell r="CS1316">
            <v>-5.0662316470444599</v>
          </cell>
          <cell r="CT1316">
            <v>3.2235345365101695</v>
          </cell>
          <cell r="CU1316">
            <v>-257.163870579442</v>
          </cell>
        </row>
        <row r="1317">
          <cell r="CF1317" t="str">
            <v>Karagampitiya</v>
          </cell>
          <cell r="CG1317">
            <v>14.868753394498423</v>
          </cell>
          <cell r="CH1317">
            <v>0</v>
          </cell>
          <cell r="CI1317">
            <v>0</v>
          </cell>
          <cell r="CJ1317">
            <v>0.90256623585350648</v>
          </cell>
          <cell r="CK1317">
            <v>0</v>
          </cell>
          <cell r="CL1317">
            <v>0</v>
          </cell>
          <cell r="CM1317">
            <v>18.342483004268413</v>
          </cell>
          <cell r="CN1317">
            <v>0</v>
          </cell>
          <cell r="CO1317">
            <v>0</v>
          </cell>
          <cell r="CP1317">
            <v>0</v>
          </cell>
          <cell r="CQ1317">
            <v>0</v>
          </cell>
          <cell r="CR1317">
            <v>0</v>
          </cell>
          <cell r="CS1317">
            <v>-2.5711633739164808</v>
          </cell>
          <cell r="CT1317">
            <v>0</v>
          </cell>
          <cell r="CU1317">
            <v>0</v>
          </cell>
        </row>
        <row r="1318">
          <cell r="CF1318" t="str">
            <v>Mathale</v>
          </cell>
          <cell r="CG1318">
            <v>10.681762853212243</v>
          </cell>
          <cell r="CH1318">
            <v>0</v>
          </cell>
          <cell r="CI1318">
            <v>0</v>
          </cell>
          <cell r="CJ1318">
            <v>0.54220302889861327</v>
          </cell>
          <cell r="CK1318">
            <v>0</v>
          </cell>
          <cell r="CL1318">
            <v>0</v>
          </cell>
          <cell r="CM1318">
            <v>11.104989052344015</v>
          </cell>
          <cell r="CN1318">
            <v>0</v>
          </cell>
          <cell r="CO1318">
            <v>0</v>
          </cell>
          <cell r="CP1318">
            <v>8.4965717506389575E-4</v>
          </cell>
          <cell r="CQ1318">
            <v>0</v>
          </cell>
          <cell r="CR1318">
            <v>0</v>
          </cell>
          <cell r="CS1318">
            <v>0.11812717259177603</v>
          </cell>
          <cell r="CT1318">
            <v>0</v>
          </cell>
          <cell r="CU1318">
            <v>0</v>
          </cell>
        </row>
        <row r="1319">
          <cell r="CF1319" t="str">
            <v>Peliyagoda</v>
          </cell>
          <cell r="CG1319">
            <v>14.497492623204922</v>
          </cell>
          <cell r="CH1319">
            <v>0</v>
          </cell>
          <cell r="CI1319">
            <v>0</v>
          </cell>
          <cell r="CJ1319">
            <v>0.99242847327234762</v>
          </cell>
          <cell r="CK1319">
            <v>0</v>
          </cell>
          <cell r="CL1319">
            <v>0</v>
          </cell>
          <cell r="CM1319">
            <v>23.284898950900772</v>
          </cell>
          <cell r="CN1319">
            <v>0</v>
          </cell>
          <cell r="CO1319">
            <v>0</v>
          </cell>
          <cell r="CP1319">
            <v>0</v>
          </cell>
          <cell r="CQ1319">
            <v>0</v>
          </cell>
          <cell r="CR1319">
            <v>0</v>
          </cell>
          <cell r="CS1319">
            <v>-7.7949778544235002</v>
          </cell>
          <cell r="CT1319">
            <v>0</v>
          </cell>
          <cell r="CU1319">
            <v>0</v>
          </cell>
        </row>
        <row r="1320">
          <cell r="CF1320" t="str">
            <v>Kelaniya</v>
          </cell>
          <cell r="CG1320">
            <v>15.213565201663418</v>
          </cell>
          <cell r="CH1320">
            <v>0</v>
          </cell>
          <cell r="CI1320">
            <v>0</v>
          </cell>
          <cell r="CJ1320">
            <v>1.0855163590454628</v>
          </cell>
          <cell r="CK1320">
            <v>0</v>
          </cell>
          <cell r="CL1320">
            <v>0</v>
          </cell>
          <cell r="CM1320">
            <v>18.388938750697118</v>
          </cell>
          <cell r="CN1320">
            <v>0</v>
          </cell>
          <cell r="CO1320">
            <v>0</v>
          </cell>
          <cell r="CP1320">
            <v>0</v>
          </cell>
          <cell r="CQ1320">
            <v>0</v>
          </cell>
          <cell r="CR1320">
            <v>0</v>
          </cell>
          <cell r="CS1320">
            <v>-2.0898571899882383</v>
          </cell>
          <cell r="CT1320">
            <v>0</v>
          </cell>
          <cell r="CU1320">
            <v>0</v>
          </cell>
        </row>
        <row r="1321">
          <cell r="CF1321" t="str">
            <v>Demategoda</v>
          </cell>
          <cell r="CG1321">
            <v>15.06710484809205</v>
          </cell>
          <cell r="CH1321">
            <v>0</v>
          </cell>
          <cell r="CI1321">
            <v>0</v>
          </cell>
          <cell r="CJ1321">
            <v>1.5392461666363311</v>
          </cell>
          <cell r="CK1321">
            <v>0</v>
          </cell>
          <cell r="CL1321">
            <v>0</v>
          </cell>
          <cell r="CM1321">
            <v>17.167504126061953</v>
          </cell>
          <cell r="CN1321">
            <v>0</v>
          </cell>
          <cell r="CO1321">
            <v>0</v>
          </cell>
          <cell r="CP1321">
            <v>0</v>
          </cell>
          <cell r="CQ1321">
            <v>0</v>
          </cell>
          <cell r="CR1321">
            <v>0</v>
          </cell>
          <cell r="CS1321">
            <v>-0.56115311133357126</v>
          </cell>
          <cell r="CT1321">
            <v>0</v>
          </cell>
          <cell r="CU1321">
            <v>0</v>
          </cell>
        </row>
        <row r="1322">
          <cell r="CF1322" t="str">
            <v>Kolannawa</v>
          </cell>
          <cell r="CG1322">
            <v>13.380061869563379</v>
          </cell>
          <cell r="CH1322">
            <v>0</v>
          </cell>
          <cell r="CI1322">
            <v>0</v>
          </cell>
          <cell r="CJ1322">
            <v>0.9251254934040849</v>
          </cell>
          <cell r="CK1322">
            <v>0</v>
          </cell>
          <cell r="CL1322">
            <v>0</v>
          </cell>
          <cell r="CM1322">
            <v>12.077477010706463</v>
          </cell>
          <cell r="CN1322">
            <v>0</v>
          </cell>
          <cell r="CO1322">
            <v>0</v>
          </cell>
          <cell r="CP1322">
            <v>0</v>
          </cell>
          <cell r="CQ1322">
            <v>0</v>
          </cell>
          <cell r="CR1322">
            <v>0</v>
          </cell>
          <cell r="CS1322">
            <v>2.2277103522609991</v>
          </cell>
          <cell r="CT1322">
            <v>0</v>
          </cell>
          <cell r="CU1322">
            <v>0</v>
          </cell>
        </row>
        <row r="1323">
          <cell r="CF1323" t="str">
            <v>Avissawella</v>
          </cell>
          <cell r="CG1323">
            <v>14.871558321971316</v>
          </cell>
          <cell r="CH1323">
            <v>0</v>
          </cell>
          <cell r="CI1323">
            <v>0</v>
          </cell>
          <cell r="CJ1323">
            <v>0.99212802472509676</v>
          </cell>
          <cell r="CK1323">
            <v>0</v>
          </cell>
          <cell r="CL1323">
            <v>0</v>
          </cell>
          <cell r="CM1323">
            <v>19.425504156350428</v>
          </cell>
          <cell r="CN1323">
            <v>0</v>
          </cell>
          <cell r="CO1323">
            <v>0</v>
          </cell>
          <cell r="CP1323">
            <v>-1.6157208866727233E-5</v>
          </cell>
          <cell r="CQ1323">
            <v>0</v>
          </cell>
          <cell r="CR1323">
            <v>0</v>
          </cell>
          <cell r="CS1323">
            <v>-3.5618016524451472</v>
          </cell>
          <cell r="CT1323">
            <v>0</v>
          </cell>
          <cell r="CU1323">
            <v>0</v>
          </cell>
        </row>
        <row r="1324">
          <cell r="CF1324" t="str">
            <v>Homagama</v>
          </cell>
          <cell r="CG1324">
            <v>14.558671344578133</v>
          </cell>
          <cell r="CH1324">
            <v>0</v>
          </cell>
          <cell r="CI1324">
            <v>0</v>
          </cell>
          <cell r="CJ1324">
            <v>0.59386186050744716</v>
          </cell>
          <cell r="CK1324">
            <v>0</v>
          </cell>
          <cell r="CL1324">
            <v>0</v>
          </cell>
          <cell r="CM1324">
            <v>16.51562455274146</v>
          </cell>
          <cell r="CN1324">
            <v>0</v>
          </cell>
          <cell r="CO1324">
            <v>0</v>
          </cell>
          <cell r="CP1324">
            <v>0</v>
          </cell>
          <cell r="CQ1324">
            <v>0</v>
          </cell>
          <cell r="CR1324">
            <v>0</v>
          </cell>
          <cell r="CS1324">
            <v>-1.3630913476558817</v>
          </cell>
          <cell r="CT1324">
            <v>0</v>
          </cell>
          <cell r="CU1324">
            <v>0</v>
          </cell>
        </row>
        <row r="1325">
          <cell r="CF1325" t="str">
            <v>Galle</v>
          </cell>
          <cell r="CG1325">
            <v>15.262210373512008</v>
          </cell>
          <cell r="CH1325">
            <v>0</v>
          </cell>
          <cell r="CI1325">
            <v>0</v>
          </cell>
          <cell r="CJ1325">
            <v>0.42591494414890824</v>
          </cell>
          <cell r="CK1325">
            <v>0</v>
          </cell>
          <cell r="CL1325">
            <v>0</v>
          </cell>
          <cell r="CM1325">
            <v>11.634289881438484</v>
          </cell>
          <cell r="CN1325">
            <v>0</v>
          </cell>
          <cell r="CO1325">
            <v>0</v>
          </cell>
          <cell r="CP1325">
            <v>0</v>
          </cell>
          <cell r="CQ1325">
            <v>0</v>
          </cell>
          <cell r="CR1325">
            <v>0</v>
          </cell>
          <cell r="CS1325">
            <v>4.0538354362224336</v>
          </cell>
          <cell r="CT1325">
            <v>0</v>
          </cell>
          <cell r="CU1325">
            <v>0</v>
          </cell>
        </row>
        <row r="1326">
          <cell r="CF1326" t="str">
            <v>Kohuwela</v>
          </cell>
          <cell r="CG1326">
            <v>14.835461162521471</v>
          </cell>
          <cell r="CH1326">
            <v>0</v>
          </cell>
          <cell r="CI1326">
            <v>0</v>
          </cell>
          <cell r="CJ1326">
            <v>0.74562855858823196</v>
          </cell>
          <cell r="CK1326">
            <v>0</v>
          </cell>
          <cell r="CL1326">
            <v>0</v>
          </cell>
          <cell r="CM1326">
            <v>13.206837698275889</v>
          </cell>
          <cell r="CN1326">
            <v>0</v>
          </cell>
          <cell r="CO1326">
            <v>0</v>
          </cell>
          <cell r="CP1326">
            <v>0</v>
          </cell>
          <cell r="CQ1326">
            <v>0</v>
          </cell>
          <cell r="CR1326">
            <v>0</v>
          </cell>
          <cell r="CS1326">
            <v>2.3742520228338124</v>
          </cell>
          <cell r="CT1326">
            <v>0</v>
          </cell>
          <cell r="CU1326">
            <v>0</v>
          </cell>
        </row>
        <row r="1327">
          <cell r="CF1327" t="str">
            <v>Mt lavinia-STC</v>
          </cell>
          <cell r="CG1327">
            <v>15.931896805676907</v>
          </cell>
          <cell r="CH1327">
            <v>0</v>
          </cell>
          <cell r="CI1327">
            <v>0</v>
          </cell>
          <cell r="CJ1327">
            <v>8.7743980717313306E-4</v>
          </cell>
          <cell r="CK1327">
            <v>0</v>
          </cell>
          <cell r="CL1327">
            <v>0</v>
          </cell>
          <cell r="CM1327">
            <v>22.114891950976208</v>
          </cell>
          <cell r="CN1327">
            <v>0</v>
          </cell>
          <cell r="CO1327">
            <v>0</v>
          </cell>
          <cell r="CP1327">
            <v>0</v>
          </cell>
          <cell r="CQ1327">
            <v>0</v>
          </cell>
          <cell r="CR1327">
            <v>0</v>
          </cell>
          <cell r="CS1327">
            <v>-6.1821177054921241</v>
          </cell>
          <cell r="CT1327">
            <v>0</v>
          </cell>
          <cell r="CU1327">
            <v>0</v>
          </cell>
        </row>
        <row r="1328">
          <cell r="CF1328" t="str">
            <v>Mini Mart</v>
          </cell>
          <cell r="CG1328">
            <v>14.528785374165171</v>
          </cell>
          <cell r="CH1328">
            <v>17.580668417532898</v>
          </cell>
          <cell r="CI1328">
            <v>-17.359311778635998</v>
          </cell>
          <cell r="CJ1328">
            <v>5.5423100532868983E-4</v>
          </cell>
          <cell r="CK1328">
            <v>1.1697119693111662E-3</v>
          </cell>
          <cell r="CL1328">
            <v>-52.618164140436051</v>
          </cell>
          <cell r="CM1328">
            <v>12.478644312562572</v>
          </cell>
          <cell r="CN1328">
            <v>13.715970780416766</v>
          </cell>
          <cell r="CO1328">
            <v>9.0210637486980509</v>
          </cell>
          <cell r="CP1328">
            <v>-7.9554689760099014E-6</v>
          </cell>
          <cell r="CQ1328">
            <v>0</v>
          </cell>
          <cell r="CR1328">
            <v>0</v>
          </cell>
          <cell r="CS1328">
            <v>2.0507032480769043</v>
          </cell>
          <cell r="CT1328">
            <v>3.8658673490854416</v>
          </cell>
          <cell r="CU1328">
            <v>-46.953605416335755</v>
          </cell>
        </row>
        <row r="1329">
          <cell r="CF1329" t="str">
            <v>Express Maligawatte</v>
          </cell>
          <cell r="CG1329">
            <v>14.3253769308379</v>
          </cell>
          <cell r="CH1329">
            <v>17.850000000000005</v>
          </cell>
          <cell r="CI1329">
            <v>-19.745787502308708</v>
          </cell>
          <cell r="CJ1329">
            <v>1.9960194005106308E-2</v>
          </cell>
          <cell r="CK1329">
            <v>3.9473684210526319</v>
          </cell>
          <cell r="CL1329">
            <v>-99.494341751870635</v>
          </cell>
          <cell r="CM1329">
            <v>15.209514504976932</v>
          </cell>
          <cell r="CN1329">
            <v>15.737826849855526</v>
          </cell>
          <cell r="CO1329">
            <v>3.3569586825352866</v>
          </cell>
          <cell r="CP1329">
            <v>0</v>
          </cell>
          <cell r="CQ1329">
            <v>0</v>
          </cell>
          <cell r="CR1329">
            <v>0</v>
          </cell>
          <cell r="CS1329">
            <v>-0.86417738013392331</v>
          </cell>
          <cell r="CT1329">
            <v>6.0595415711971086</v>
          </cell>
          <cell r="CU1329">
            <v>-114.26143166079802</v>
          </cell>
        </row>
        <row r="1330">
          <cell r="CF1330" t="str">
            <v>Express Peradeniya</v>
          </cell>
          <cell r="CG1330">
            <v>15.756828514696512</v>
          </cell>
          <cell r="CH1330">
            <v>17.850000000000005</v>
          </cell>
          <cell r="CI1330">
            <v>-11.726450898058783</v>
          </cell>
          <cell r="CJ1330">
            <v>4.815861833453461E-3</v>
          </cell>
          <cell r="CK1330">
            <v>4.3859649122807012</v>
          </cell>
          <cell r="CL1330">
            <v>-99.890198350197267</v>
          </cell>
          <cell r="CM1330">
            <v>24.387646664396655</v>
          </cell>
          <cell r="CN1330">
            <v>15.873826912937464</v>
          </cell>
          <cell r="CO1330">
            <v>-53.634323960785224</v>
          </cell>
          <cell r="CP1330">
            <v>0</v>
          </cell>
          <cell r="CQ1330">
            <v>0</v>
          </cell>
          <cell r="CR1330">
            <v>0</v>
          </cell>
          <cell r="CS1330">
            <v>-8.6260022878666938</v>
          </cell>
          <cell r="CT1330">
            <v>6.3621379993432425</v>
          </cell>
          <cell r="CU1330">
            <v>-235.58338861491447</v>
          </cell>
        </row>
        <row r="1331">
          <cell r="CF1331" t="str">
            <v>Express Alexandra Place</v>
          </cell>
          <cell r="CG1331">
            <v>15.409574251315123</v>
          </cell>
          <cell r="CH1331">
            <v>0</v>
          </cell>
          <cell r="CI1331">
            <v>0</v>
          </cell>
          <cell r="CJ1331">
            <v>6.4482477355937595E-2</v>
          </cell>
          <cell r="CK1331">
            <v>0</v>
          </cell>
          <cell r="CL1331">
            <v>0</v>
          </cell>
          <cell r="CM1331">
            <v>15.012296966786748</v>
          </cell>
          <cell r="CN1331">
            <v>0</v>
          </cell>
          <cell r="CO1331">
            <v>0</v>
          </cell>
          <cell r="CP1331">
            <v>0</v>
          </cell>
          <cell r="CQ1331">
            <v>0</v>
          </cell>
          <cell r="CR1331">
            <v>0</v>
          </cell>
          <cell r="CS1331">
            <v>0.46175976188431089</v>
          </cell>
          <cell r="CT1331">
            <v>0</v>
          </cell>
          <cell r="CU1331">
            <v>0</v>
          </cell>
        </row>
        <row r="1332">
          <cell r="CF1332" t="str">
            <v>Express Boralla</v>
          </cell>
          <cell r="CG1332">
            <v>10.810964173941723</v>
          </cell>
          <cell r="CH1332">
            <v>0</v>
          </cell>
          <cell r="CI1332">
            <v>0</v>
          </cell>
          <cell r="CJ1332">
            <v>7.7251903443673244E-3</v>
          </cell>
          <cell r="CK1332">
            <v>0</v>
          </cell>
          <cell r="CL1332">
            <v>0</v>
          </cell>
          <cell r="CM1332">
            <v>47.341796863470456</v>
          </cell>
          <cell r="CN1332">
            <v>0</v>
          </cell>
          <cell r="CO1332">
            <v>0</v>
          </cell>
          <cell r="CP1332">
            <v>0</v>
          </cell>
          <cell r="CQ1332">
            <v>0</v>
          </cell>
          <cell r="CR1332">
            <v>0</v>
          </cell>
          <cell r="CS1332">
            <v>-36.52310749918437</v>
          </cell>
          <cell r="CT1332">
            <v>0</v>
          </cell>
          <cell r="CU1332">
            <v>0</v>
          </cell>
        </row>
        <row r="1333">
          <cell r="CF1333" t="str">
            <v>Express Havelock Road</v>
          </cell>
          <cell r="CG1333">
            <v>16.435775269556302</v>
          </cell>
          <cell r="CH1333">
            <v>0</v>
          </cell>
          <cell r="CI1333">
            <v>0</v>
          </cell>
          <cell r="CJ1333">
            <v>4.651409403389653E-2</v>
          </cell>
          <cell r="CK1333">
            <v>0</v>
          </cell>
          <cell r="CL1333">
            <v>0</v>
          </cell>
          <cell r="CM1333">
            <v>37.122870558589646</v>
          </cell>
          <cell r="CN1333">
            <v>0</v>
          </cell>
          <cell r="CO1333">
            <v>0</v>
          </cell>
          <cell r="CP1333">
            <v>0</v>
          </cell>
          <cell r="CQ1333">
            <v>0</v>
          </cell>
          <cell r="CR1333">
            <v>0</v>
          </cell>
          <cell r="CS1333">
            <v>-20.640581194999449</v>
          </cell>
          <cell r="CT1333">
            <v>0</v>
          </cell>
          <cell r="CU1333">
            <v>0</v>
          </cell>
        </row>
        <row r="1334">
          <cell r="CF1334" t="str">
            <v>Express Maradana</v>
          </cell>
          <cell r="CG1334">
            <v>4.2137644348932541</v>
          </cell>
          <cell r="CH1334">
            <v>0</v>
          </cell>
          <cell r="CI1334">
            <v>0</v>
          </cell>
          <cell r="CJ1334">
            <v>4.2886005138601142E-4</v>
          </cell>
          <cell r="CK1334">
            <v>0</v>
          </cell>
          <cell r="CL1334">
            <v>0</v>
          </cell>
          <cell r="CM1334">
            <v>60.21907886865003</v>
          </cell>
          <cell r="CN1334">
            <v>0</v>
          </cell>
          <cell r="CO1334">
            <v>0</v>
          </cell>
          <cell r="CP1334">
            <v>0</v>
          </cell>
          <cell r="CQ1334">
            <v>0</v>
          </cell>
          <cell r="CR1334">
            <v>0</v>
          </cell>
          <cell r="CS1334">
            <v>-56.004885573705387</v>
          </cell>
          <cell r="CT1334">
            <v>0</v>
          </cell>
          <cell r="CU1334">
            <v>0</v>
          </cell>
        </row>
        <row r="1335">
          <cell r="CF1335" t="str">
            <v xml:space="preserve">Food City </v>
          </cell>
          <cell r="CG1335">
            <v>13.825842067921744</v>
          </cell>
          <cell r="CH1335">
            <v>15.104940171061102</v>
          </cell>
          <cell r="CI1335">
            <v>-8.4680779179114278</v>
          </cell>
          <cell r="CJ1335">
            <v>1.3676164764422067</v>
          </cell>
          <cell r="CK1335">
            <v>1.6495108301271943</v>
          </cell>
          <cell r="CL1335">
            <v>-17.089572771295515</v>
          </cell>
          <cell r="CM1335">
            <v>9.6651512956761572</v>
          </cell>
          <cell r="CN1335">
            <v>10.079283160972173</v>
          </cell>
          <cell r="CO1335">
            <v>4.1087432378085058</v>
          </cell>
          <cell r="CP1335">
            <v>1.3537366095624843</v>
          </cell>
          <cell r="CQ1335">
            <v>1.6179588470601878</v>
          </cell>
          <cell r="CR1335">
            <v>16.330590730276743</v>
          </cell>
          <cell r="CS1335">
            <v>4.1745706391253083</v>
          </cell>
          <cell r="CT1335">
            <v>5.0572089931559354</v>
          </cell>
          <cell r="CU1335">
            <v>-17.453072539124378</v>
          </cell>
        </row>
        <row r="1336">
          <cell r="CE1336">
            <v>32</v>
          </cell>
          <cell r="CT1336" t="str">
            <v>Appendix I</v>
          </cell>
        </row>
        <row r="1337">
          <cell r="CE1337" t="str">
            <v>CARGILLS ( CEYLON ) LTD</v>
          </cell>
        </row>
        <row r="1339">
          <cell r="CE1339" t="str">
            <v xml:space="preserve"> Margin Analysis by Profit Centres/Divisions  -Twelve  months ended 31st March 2004 </v>
          </cell>
        </row>
        <row r="1340">
          <cell r="CF1340" t="str">
            <v>YTD V BUD</v>
          </cell>
          <cell r="CU1340">
            <v>38154.357810300928</v>
          </cell>
        </row>
        <row r="1341">
          <cell r="CE1341" t="str">
            <v>Profit Centre</v>
          </cell>
          <cell r="CG1341" t="str">
            <v>Achieved Gross Profit</v>
          </cell>
          <cell r="CJ1341" t="str">
            <v>Other Income</v>
          </cell>
          <cell r="CM1341" t="str">
            <v>Direct Expenses</v>
          </cell>
          <cell r="CP1341" t="str">
            <v>D&amp;A and Finance</v>
          </cell>
          <cell r="CS1341" t="str">
            <v>Contribution</v>
          </cell>
        </row>
        <row r="1342">
          <cell r="CG1342">
            <v>38047</v>
          </cell>
          <cell r="CH1342" t="str">
            <v>Budget</v>
          </cell>
          <cell r="CI1342" t="str">
            <v>Var %</v>
          </cell>
          <cell r="CJ1342">
            <v>38047</v>
          </cell>
          <cell r="CK1342" t="str">
            <v>Budget</v>
          </cell>
          <cell r="CL1342" t="str">
            <v>Var %</v>
          </cell>
          <cell r="CM1342">
            <v>38047</v>
          </cell>
          <cell r="CN1342" t="str">
            <v>Budget</v>
          </cell>
          <cell r="CO1342" t="str">
            <v>Var %</v>
          </cell>
          <cell r="CP1342">
            <v>38047</v>
          </cell>
          <cell r="CQ1342" t="str">
            <v>Budget</v>
          </cell>
          <cell r="CR1342" t="str">
            <v>Var %</v>
          </cell>
          <cell r="CS1342">
            <v>38047</v>
          </cell>
          <cell r="CT1342" t="str">
            <v>Budget</v>
          </cell>
          <cell r="CU1342" t="str">
            <v>Var %</v>
          </cell>
        </row>
        <row r="1343">
          <cell r="CF1343" t="str">
            <v>Department Store</v>
          </cell>
          <cell r="CG1343">
            <v>20.749462192821522</v>
          </cell>
          <cell r="CH1343">
            <v>20.732295351153166</v>
          </cell>
          <cell r="CI1343">
            <v>8.2802417086929384E-2</v>
          </cell>
          <cell r="CJ1343">
            <v>1.9885641651987752E-5</v>
          </cell>
          <cell r="CK1343">
            <v>0</v>
          </cell>
          <cell r="CL1343">
            <v>0</v>
          </cell>
          <cell r="CM1343">
            <v>5.8784816278545353</v>
          </cell>
          <cell r="CN1343">
            <v>5.2254647887444072</v>
          </cell>
          <cell r="CO1343">
            <v>-12.496818283355751</v>
          </cell>
          <cell r="CP1343">
            <v>6.0651207038562628E-4</v>
          </cell>
          <cell r="CQ1343">
            <v>1.3720117344881424E-3</v>
          </cell>
          <cell r="CR1343">
            <v>55.793958962610603</v>
          </cell>
          <cell r="CS1343">
            <v>14.870393938538253</v>
          </cell>
          <cell r="CT1343">
            <v>15.50545855067427</v>
          </cell>
          <cell r="CU1343">
            <v>-4.0957486685126128</v>
          </cell>
        </row>
        <row r="1344">
          <cell r="CF1344" t="str">
            <v>Books and Stationery</v>
          </cell>
          <cell r="CG1344">
            <v>25.320005544189065</v>
          </cell>
          <cell r="CH1344">
            <v>24.792891264935047</v>
          </cell>
          <cell r="CI1344">
            <v>2.1260702256195656</v>
          </cell>
          <cell r="CJ1344">
            <v>0.18369341095659178</v>
          </cell>
          <cell r="CK1344">
            <v>3.0552359279836006E-2</v>
          </cell>
          <cell r="CL1344">
            <v>501.24132893994221</v>
          </cell>
          <cell r="CM1344">
            <v>16.834174561212247</v>
          </cell>
          <cell r="CN1344">
            <v>18.00148227573667</v>
          </cell>
          <cell r="CO1344">
            <v>6.4845088679046201</v>
          </cell>
          <cell r="CP1344">
            <v>-2.4967466578970931E-2</v>
          </cell>
          <cell r="CQ1344">
            <v>0.612848024181192</v>
          </cell>
          <cell r="CR1344">
            <v>104.07400621260537</v>
          </cell>
          <cell r="CS1344">
            <v>8.6944918605123789</v>
          </cell>
          <cell r="CT1344">
            <v>6.2091133242970207</v>
          </cell>
          <cell r="CU1344">
            <v>40.027913913082692</v>
          </cell>
        </row>
        <row r="1345">
          <cell r="CF1345" t="str">
            <v>Hatton Liquor</v>
          </cell>
          <cell r="CG1345">
            <v>4.6653359462769552</v>
          </cell>
          <cell r="CH1345">
            <v>4.3778745513659487</v>
          </cell>
          <cell r="CI1345">
            <v>6.5662318903431158</v>
          </cell>
          <cell r="CJ1345">
            <v>1.5925073674964599E-6</v>
          </cell>
          <cell r="CK1345">
            <v>8.3292328222676714E-5</v>
          </cell>
          <cell r="CL1345">
            <v>-98.088050362526801</v>
          </cell>
          <cell r="CM1345">
            <v>4.6653400867961103</v>
          </cell>
          <cell r="CN1345">
            <v>4.3779578436941744</v>
          </cell>
          <cell r="CO1345">
            <v>-6.5642990033782347</v>
          </cell>
          <cell r="CP1345">
            <v>0</v>
          </cell>
          <cell r="CQ1345">
            <v>0</v>
          </cell>
          <cell r="CR1345">
            <v>0</v>
          </cell>
          <cell r="CS1345">
            <v>-2.5480117873547324E-6</v>
          </cell>
          <cell r="CT1345">
            <v>-2.7054975434591503E-15</v>
          </cell>
          <cell r="CU1345">
            <v>0</v>
          </cell>
        </row>
        <row r="1346">
          <cell r="CF1346" t="str">
            <v>Retail Division</v>
          </cell>
          <cell r="CG1346">
            <v>13.843847904802775</v>
          </cell>
          <cell r="CH1346">
            <v>15.100106135587305</v>
          </cell>
          <cell r="CI1346">
            <v>-8.3195324556284582</v>
          </cell>
          <cell r="CJ1346">
            <v>1.3539839331214014</v>
          </cell>
          <cell r="CK1346">
            <v>1.629891724250115</v>
          </cell>
          <cell r="CL1346">
            <v>-16.927982823868497</v>
          </cell>
          <cell r="CM1346">
            <v>9.6675856318283486</v>
          </cell>
          <cell r="CN1346">
            <v>10.077072092294912</v>
          </cell>
          <cell r="CO1346">
            <v>4.0635460053884458</v>
          </cell>
          <cell r="CP1346">
            <v>1.3393357372098549</v>
          </cell>
          <cell r="CQ1346">
            <v>1.6014857750314513</v>
          </cell>
          <cell r="CR1346">
            <v>16.369176792497463</v>
          </cell>
          <cell r="CS1346">
            <v>4.1909104688859733</v>
          </cell>
          <cell r="CT1346">
            <v>5.0514399925110567</v>
          </cell>
          <cell r="CU1346">
            <v>-17.03533101255978</v>
          </cell>
        </row>
        <row r="1347">
          <cell r="CF1347" t="str">
            <v>Commercial Division</v>
          </cell>
          <cell r="CG1347">
            <v>0</v>
          </cell>
          <cell r="CH1347">
            <v>0</v>
          </cell>
          <cell r="CI1347">
            <v>0</v>
          </cell>
          <cell r="CJ1347">
            <v>0</v>
          </cell>
          <cell r="CK1347">
            <v>0</v>
          </cell>
          <cell r="CL1347">
            <v>0</v>
          </cell>
          <cell r="CM1347">
            <v>0</v>
          </cell>
          <cell r="CN1347">
            <v>0</v>
          </cell>
          <cell r="CO1347">
            <v>0</v>
          </cell>
          <cell r="CP1347">
            <v>0</v>
          </cell>
          <cell r="CQ1347">
            <v>0</v>
          </cell>
          <cell r="CR1347">
            <v>0</v>
          </cell>
          <cell r="CS1347">
            <v>0</v>
          </cell>
          <cell r="CT1347">
            <v>0</v>
          </cell>
          <cell r="CU1347">
            <v>0</v>
          </cell>
        </row>
        <row r="1348">
          <cell r="CF1348" t="str">
            <v>Hampers</v>
          </cell>
          <cell r="CG1348">
            <v>33.833083895205782</v>
          </cell>
          <cell r="CH1348">
            <v>25.000000000000007</v>
          </cell>
          <cell r="CI1348">
            <v>35.332335580823084</v>
          </cell>
          <cell r="CJ1348">
            <v>4.5245386269680956E-4</v>
          </cell>
          <cell r="CK1348">
            <v>0</v>
          </cell>
          <cell r="CL1348">
            <v>0</v>
          </cell>
          <cell r="CM1348">
            <v>8.270886402223109</v>
          </cell>
          <cell r="CN1348">
            <v>8.3981144951535622</v>
          </cell>
          <cell r="CO1348">
            <v>1.5149602092692929</v>
          </cell>
          <cell r="CP1348">
            <v>0</v>
          </cell>
          <cell r="CQ1348">
            <v>0</v>
          </cell>
          <cell r="CR1348">
            <v>0</v>
          </cell>
          <cell r="CS1348">
            <v>25.562649946845369</v>
          </cell>
          <cell r="CT1348">
            <v>16.601885504846443</v>
          </cell>
          <cell r="CU1348">
            <v>53.974378027020407</v>
          </cell>
        </row>
        <row r="1349">
          <cell r="CF1349" t="str">
            <v>Wines &amp; Spirits</v>
          </cell>
          <cell r="CG1349">
            <v>19.868185742381709</v>
          </cell>
          <cell r="CH1349">
            <v>17.154575311188552</v>
          </cell>
          <cell r="CI1349">
            <v>15.818581235428701</v>
          </cell>
          <cell r="CJ1349">
            <v>1.0893703123780039</v>
          </cell>
          <cell r="CK1349">
            <v>1.3922187115579587</v>
          </cell>
          <cell r="CL1349">
            <v>-21.752932686923391</v>
          </cell>
          <cell r="CM1349">
            <v>6.0693501475734264</v>
          </cell>
          <cell r="CN1349">
            <v>5.7080167227768603</v>
          </cell>
          <cell r="CO1349">
            <v>-6.3302797161530213</v>
          </cell>
          <cell r="CP1349">
            <v>-1.2908229719473143</v>
          </cell>
          <cell r="CQ1349">
            <v>4.7052044609665437E-2</v>
          </cell>
          <cell r="CR1349">
            <v>2843.3940069039068</v>
          </cell>
          <cell r="CS1349">
            <v>16.1790288791336</v>
          </cell>
          <cell r="CT1349">
            <v>12.791725255359983</v>
          </cell>
          <cell r="CU1349">
            <v>26.480428215531525</v>
          </cell>
        </row>
        <row r="1350">
          <cell r="CF1350" t="str">
            <v xml:space="preserve">Total </v>
          </cell>
          <cell r="CG1350">
            <v>14.348951459100034</v>
          </cell>
          <cell r="CH1350">
            <v>15.274519723411787</v>
          </cell>
          <cell r="CI1350">
            <v>-6.0595572304188554</v>
          </cell>
          <cell r="CJ1350">
            <v>1.3758355097703046</v>
          </cell>
          <cell r="CK1350">
            <v>1.6654777722367538</v>
          </cell>
          <cell r="CL1350">
            <v>-17.390941343963821</v>
          </cell>
          <cell r="CM1350">
            <v>9.9982129721378996</v>
          </cell>
          <cell r="CN1350">
            <v>10.360184257768946</v>
          </cell>
          <cell r="CO1350">
            <v>3.4938691882782842</v>
          </cell>
          <cell r="CP1350">
            <v>1.2973832343068239</v>
          </cell>
          <cell r="CQ1350">
            <v>1.5849777289360434</v>
          </cell>
          <cell r="CR1350">
            <v>18.145018026358933</v>
          </cell>
          <cell r="CS1350">
            <v>4.4291907624256135</v>
          </cell>
          <cell r="CT1350">
            <v>4.9948355089435497</v>
          </cell>
          <cell r="CU1350">
            <v>-11.324592081263049</v>
          </cell>
        </row>
        <row r="1364">
          <cell r="CE1364">
            <v>33</v>
          </cell>
          <cell r="CT1364" t="str">
            <v>Appendix II</v>
          </cell>
        </row>
        <row r="1365">
          <cell r="CE1365" t="str">
            <v>CARGILLS ( CEYLON ) LTD</v>
          </cell>
        </row>
        <row r="1367">
          <cell r="CE1367" t="str">
            <v xml:space="preserve"> Composition of Direct Expenses by Profit Centres/Divisions  -Twelve  months ended 31st March 2004 </v>
          </cell>
        </row>
        <row r="1368">
          <cell r="CF1368" t="str">
            <v>YTD V BUD</v>
          </cell>
          <cell r="CU1368">
            <v>38154.357810300928</v>
          </cell>
        </row>
        <row r="1369">
          <cell r="CE1369" t="str">
            <v>Profit Centre</v>
          </cell>
          <cell r="CG1369" t="str">
            <v>Staff Related</v>
          </cell>
          <cell r="CJ1369" t="str">
            <v>Administration</v>
          </cell>
          <cell r="CM1369" t="str">
            <v>Establishment</v>
          </cell>
          <cell r="CP1369" t="str">
            <v>Selling &amp; Distribution</v>
          </cell>
          <cell r="CS1369" t="str">
            <v>D&amp;A and Finance</v>
          </cell>
        </row>
        <row r="1370">
          <cell r="CG1370">
            <v>38047</v>
          </cell>
          <cell r="CH1370" t="str">
            <v>Budget</v>
          </cell>
          <cell r="CI1370" t="str">
            <v>Var %</v>
          </cell>
          <cell r="CJ1370">
            <v>38047</v>
          </cell>
          <cell r="CK1370" t="str">
            <v>Budget</v>
          </cell>
          <cell r="CL1370" t="str">
            <v>Var %</v>
          </cell>
          <cell r="CM1370">
            <v>38047</v>
          </cell>
          <cell r="CN1370" t="str">
            <v>Budget</v>
          </cell>
          <cell r="CO1370" t="str">
            <v>Var %</v>
          </cell>
          <cell r="CP1370">
            <v>38047</v>
          </cell>
          <cell r="CQ1370" t="str">
            <v>Budget</v>
          </cell>
          <cell r="CR1370" t="str">
            <v>Var %</v>
          </cell>
          <cell r="CS1370">
            <v>38047</v>
          </cell>
          <cell r="CT1370" t="str">
            <v>Budget</v>
          </cell>
          <cell r="CU1370" t="str">
            <v>Var %</v>
          </cell>
        </row>
        <row r="1371">
          <cell r="CF1371" t="str">
            <v>Staples Street</v>
          </cell>
          <cell r="CG1371">
            <v>22.836438702002255</v>
          </cell>
          <cell r="CH1371">
            <v>22.098492057072804</v>
          </cell>
          <cell r="CI1371">
            <v>-3.3393529432849482</v>
          </cell>
          <cell r="CJ1371">
            <v>3.2789870389805063</v>
          </cell>
          <cell r="CK1371">
            <v>3.3863360616393585</v>
          </cell>
          <cell r="CL1371">
            <v>3.1700640664377402</v>
          </cell>
          <cell r="CM1371">
            <v>37.05976910533947</v>
          </cell>
          <cell r="CN1371">
            <v>39.20782349543488</v>
          </cell>
          <cell r="CO1371">
            <v>5.4786371662418762</v>
          </cell>
          <cell r="CP1371">
            <v>26.93184073747889</v>
          </cell>
          <cell r="CQ1371">
            <v>25.355693883004015</v>
          </cell>
          <cell r="CR1371">
            <v>-6.2161456189979072</v>
          </cell>
          <cell r="CS1371">
            <v>9.8929644161988772</v>
          </cell>
          <cell r="CT1371">
            <v>9.951654502848946</v>
          </cell>
          <cell r="CU1371">
            <v>0.58975205211622939</v>
          </cell>
        </row>
        <row r="1372">
          <cell r="CF1372" t="str">
            <v>Kandy</v>
          </cell>
          <cell r="CG1372">
            <v>25.404927175792597</v>
          </cell>
          <cell r="CH1372">
            <v>26.577892239953204</v>
          </cell>
          <cell r="CI1372">
            <v>4.4133110841549268</v>
          </cell>
          <cell r="CJ1372">
            <v>2.967093855444972</v>
          </cell>
          <cell r="CK1372">
            <v>3.6674354403581155</v>
          </cell>
          <cell r="CL1372">
            <v>19.096221223317759</v>
          </cell>
          <cell r="CM1372">
            <v>32.405870169686075</v>
          </cell>
          <cell r="CN1372">
            <v>33.758516409416771</v>
          </cell>
          <cell r="CO1372">
            <v>4.0068296347092485</v>
          </cell>
          <cell r="CP1372">
            <v>24.28330289942495</v>
          </cell>
          <cell r="CQ1372">
            <v>21.452286246199204</v>
          </cell>
          <cell r="CR1372">
            <v>-13.196806255218272</v>
          </cell>
          <cell r="CS1372">
            <v>14.938805899651403</v>
          </cell>
          <cell r="CT1372">
            <v>14.5438696640727</v>
          </cell>
          <cell r="CU1372">
            <v>-2.7154825001925191</v>
          </cell>
        </row>
        <row r="1373">
          <cell r="CF1373" t="str">
            <v>Mount Lavinia</v>
          </cell>
          <cell r="CG1373">
            <v>32.789823892639461</v>
          </cell>
          <cell r="CH1373">
            <v>35.898276488283834</v>
          </cell>
          <cell r="CI1373">
            <v>8.659058037671759</v>
          </cell>
          <cell r="CJ1373">
            <v>4.1101083226451074</v>
          </cell>
          <cell r="CK1373">
            <v>4.5835120882155005</v>
          </cell>
          <cell r="CL1373">
            <v>10.328406611767079</v>
          </cell>
          <cell r="CM1373">
            <v>33.455190418182191</v>
          </cell>
          <cell r="CN1373">
            <v>35.797626422813167</v>
          </cell>
          <cell r="CO1373">
            <v>6.5435511756114213</v>
          </cell>
          <cell r="CP1373">
            <v>24.660140676424863</v>
          </cell>
          <cell r="CQ1373">
            <v>18.213200359744445</v>
          </cell>
          <cell r="CR1373">
            <v>-35.397075688738965</v>
          </cell>
          <cell r="CS1373">
            <v>4.9847366901083987</v>
          </cell>
          <cell r="CT1373">
            <v>5.5073846409430587</v>
          </cell>
          <cell r="CU1373">
            <v>9.4899482224136822</v>
          </cell>
        </row>
        <row r="1374">
          <cell r="CF1374" t="str">
            <v>Wellawatte</v>
          </cell>
          <cell r="CG1374">
            <v>29.402321445936686</v>
          </cell>
          <cell r="CH1374">
            <v>34.84907609964386</v>
          </cell>
          <cell r="CI1374">
            <v>15.629552525677537</v>
          </cell>
          <cell r="CJ1374">
            <v>4.7620928573326244</v>
          </cell>
          <cell r="CK1374">
            <v>4.9724494084964892</v>
          </cell>
          <cell r="CL1374">
            <v>4.2304412550568289</v>
          </cell>
          <cell r="CM1374">
            <v>47.295569262715773</v>
          </cell>
          <cell r="CN1374">
            <v>37.350429059578794</v>
          </cell>
          <cell r="CO1374">
            <v>-26.62657552681172</v>
          </cell>
          <cell r="CP1374">
            <v>16.419198226784378</v>
          </cell>
          <cell r="CQ1374">
            <v>19.462620736182188</v>
          </cell>
          <cell r="CR1374">
            <v>15.637269772923768</v>
          </cell>
          <cell r="CS1374">
            <v>2.1208182072305375</v>
          </cell>
          <cell r="CT1374">
            <v>3.3654246960986898</v>
          </cell>
          <cell r="CU1374">
            <v>36.982152365820006</v>
          </cell>
        </row>
        <row r="1375">
          <cell r="CF1375" t="str">
            <v>Bambalapitiya</v>
          </cell>
          <cell r="CG1375">
            <v>25.478680895767425</v>
          </cell>
          <cell r="CH1375">
            <v>25.130286919002902</v>
          </cell>
          <cell r="CI1375">
            <v>-1.3863509711903699</v>
          </cell>
          <cell r="CJ1375">
            <v>3.4162786015289539</v>
          </cell>
          <cell r="CK1375">
            <v>4.24279065073077</v>
          </cell>
          <cell r="CL1375">
            <v>19.480387255483823</v>
          </cell>
          <cell r="CM1375">
            <v>50.520115823213466</v>
          </cell>
          <cell r="CN1375">
            <v>49.890738092256065</v>
          </cell>
          <cell r="CO1375">
            <v>-1.261512166433737</v>
          </cell>
          <cell r="CP1375">
            <v>17.354217373707527</v>
          </cell>
          <cell r="CQ1375">
            <v>17.773036217610596</v>
          </cell>
          <cell r="CR1375">
            <v>2.3564845014386302</v>
          </cell>
          <cell r="CS1375">
            <v>3.2307073057826305</v>
          </cell>
          <cell r="CT1375">
            <v>2.9631481203996746</v>
          </cell>
          <cell r="CU1375">
            <v>-9.0295582438473279</v>
          </cell>
        </row>
        <row r="1376">
          <cell r="CF1376" t="str">
            <v>Nuwara Eliya</v>
          </cell>
          <cell r="CG1376">
            <v>24.790840746333455</v>
          </cell>
          <cell r="CH1376">
            <v>30.565281430659191</v>
          </cell>
          <cell r="CI1376">
            <v>18.892156113221827</v>
          </cell>
          <cell r="CJ1376">
            <v>4.9276311248418798</v>
          </cell>
          <cell r="CK1376">
            <v>5.3083007816313099</v>
          </cell>
          <cell r="CL1376">
            <v>7.1712149037727544</v>
          </cell>
          <cell r="CM1376">
            <v>34.450900638481869</v>
          </cell>
          <cell r="CN1376">
            <v>33.199411530630705</v>
          </cell>
          <cell r="CO1376">
            <v>-3.7696123218825881</v>
          </cell>
          <cell r="CP1376">
            <v>19.020084946984529</v>
          </cell>
          <cell r="CQ1376">
            <v>15.600395768526177</v>
          </cell>
          <cell r="CR1376">
            <v>-21.920528358373961</v>
          </cell>
          <cell r="CS1376">
            <v>16.810542543358281</v>
          </cell>
          <cell r="CT1376">
            <v>15.326610488552594</v>
          </cell>
          <cell r="CU1376">
            <v>-9.6820628143060823</v>
          </cell>
        </row>
        <row r="1377">
          <cell r="CF1377" t="str">
            <v>Bandarawela</v>
          </cell>
          <cell r="CG1377">
            <v>31.150531207967973</v>
          </cell>
          <cell r="CH1377">
            <v>35.04437212286016</v>
          </cell>
          <cell r="CI1377">
            <v>11.111173289796668</v>
          </cell>
          <cell r="CJ1377">
            <v>5.9114735949494195</v>
          </cell>
          <cell r="CK1377">
            <v>6.1434957217576347</v>
          </cell>
          <cell r="CL1377">
            <v>3.7767117829429271</v>
          </cell>
          <cell r="CM1377">
            <v>34.348965135245436</v>
          </cell>
          <cell r="CN1377">
            <v>34.917254031596514</v>
          </cell>
          <cell r="CO1377">
            <v>1.6275303202160023</v>
          </cell>
          <cell r="CP1377">
            <v>23.644864201354849</v>
          </cell>
          <cell r="CQ1377">
            <v>18.832000541230798</v>
          </cell>
          <cell r="CR1377">
            <v>-25.55683688297886</v>
          </cell>
          <cell r="CS1377">
            <v>4.9441658604823271</v>
          </cell>
          <cell r="CT1377">
            <v>5.0628775825548962</v>
          </cell>
          <cell r="CU1377">
            <v>2.3447480239619618</v>
          </cell>
        </row>
        <row r="1378">
          <cell r="CF1378" t="str">
            <v>Maharagama</v>
          </cell>
          <cell r="CG1378">
            <v>28.579042799194376</v>
          </cell>
          <cell r="CH1378">
            <v>29.456004205592905</v>
          </cell>
          <cell r="CI1378">
            <v>2.9771906612914503</v>
          </cell>
          <cell r="CJ1378">
            <v>3.328026129863614</v>
          </cell>
          <cell r="CK1378">
            <v>3.6844039484165676</v>
          </cell>
          <cell r="CL1378">
            <v>9.6726044033828806</v>
          </cell>
          <cell r="CM1378">
            <v>40.731509349610413</v>
          </cell>
          <cell r="CN1378">
            <v>40.681727142141064</v>
          </cell>
          <cell r="CO1378">
            <v>-0.12236994583688854</v>
          </cell>
          <cell r="CP1378">
            <v>23.055179383293549</v>
          </cell>
          <cell r="CQ1378">
            <v>21.068475600524071</v>
          </cell>
          <cell r="CR1378">
            <v>-9.4297462257784783</v>
          </cell>
          <cell r="CS1378">
            <v>4.3062423380380421</v>
          </cell>
          <cell r="CT1378">
            <v>5.1093891033254017</v>
          </cell>
          <cell r="CU1378">
            <v>15.719037032521921</v>
          </cell>
        </row>
        <row r="1379">
          <cell r="CF1379" t="str">
            <v>Kiribathgoda</v>
          </cell>
          <cell r="CG1379">
            <v>36.073905603123194</v>
          </cell>
          <cell r="CH1379">
            <v>36.779525629783613</v>
          </cell>
          <cell r="CI1379">
            <v>1.9185131253814127</v>
          </cell>
          <cell r="CJ1379">
            <v>4.4104186300296826</v>
          </cell>
          <cell r="CK1379">
            <v>4.1435420306004485</v>
          </cell>
          <cell r="CL1379">
            <v>-6.440784175913393</v>
          </cell>
          <cell r="CM1379">
            <v>31.292705590652115</v>
          </cell>
          <cell r="CN1379">
            <v>32.315186269064625</v>
          </cell>
          <cell r="CO1379">
            <v>3.1640872186193532</v>
          </cell>
          <cell r="CP1379">
            <v>24.283821704200768</v>
          </cell>
          <cell r="CQ1379">
            <v>23.030991317674001</v>
          </cell>
          <cell r="CR1379">
            <v>-5.4397588416671594</v>
          </cell>
          <cell r="CS1379">
            <v>3.9391484719942493</v>
          </cell>
          <cell r="CT1379">
            <v>3.7307547528773104</v>
          </cell>
          <cell r="CU1379">
            <v>-5.5858327046616285</v>
          </cell>
        </row>
        <row r="1380">
          <cell r="CF1380" t="str">
            <v>Nugegoda</v>
          </cell>
          <cell r="CG1380">
            <v>27.955320100940579</v>
          </cell>
          <cell r="CH1380">
            <v>28.744822355338023</v>
          </cell>
          <cell r="CI1380">
            <v>2.7465894366566874</v>
          </cell>
          <cell r="CJ1380">
            <v>2.8684086204380415</v>
          </cell>
          <cell r="CK1380">
            <v>3.030718900429529</v>
          </cell>
          <cell r="CL1380">
            <v>5.3555042656210725</v>
          </cell>
          <cell r="CM1380">
            <v>41.581549346563449</v>
          </cell>
          <cell r="CN1380">
            <v>41.317741089417218</v>
          </cell>
          <cell r="CO1380">
            <v>-0.6384866408241282</v>
          </cell>
          <cell r="CP1380">
            <v>21.712888842009768</v>
          </cell>
          <cell r="CQ1380">
            <v>21.005491951297284</v>
          </cell>
          <cell r="CR1380">
            <v>-3.3676759028192915</v>
          </cell>
          <cell r="CS1380">
            <v>5.8818330900481683</v>
          </cell>
          <cell r="CT1380">
            <v>5.9012257035179347</v>
          </cell>
          <cell r="CU1380">
            <v>0.32862009426627681</v>
          </cell>
        </row>
        <row r="1381">
          <cell r="CF1381" t="str">
            <v>Fort</v>
          </cell>
          <cell r="CG1381">
            <v>52.415813721315054</v>
          </cell>
          <cell r="CH1381">
            <v>48.745550181630634</v>
          </cell>
          <cell r="CI1381">
            <v>-7.529432996465653</v>
          </cell>
          <cell r="CJ1381">
            <v>5.1069859626753225</v>
          </cell>
          <cell r="CK1381">
            <v>6.4991965586338862</v>
          </cell>
          <cell r="CL1381">
            <v>21.421272358797573</v>
          </cell>
          <cell r="CM1381">
            <v>5.7564638082490855</v>
          </cell>
          <cell r="CN1381">
            <v>7.1468915443665928</v>
          </cell>
          <cell r="CO1381">
            <v>19.454999806363183</v>
          </cell>
          <cell r="CP1381">
            <v>31.558762402250899</v>
          </cell>
          <cell r="CQ1381">
            <v>29.095823630691608</v>
          </cell>
          <cell r="CR1381">
            <v>-8.4649219861274858</v>
          </cell>
          <cell r="CS1381">
            <v>5.1619741055096302</v>
          </cell>
          <cell r="CT1381">
            <v>8.5125380846773027</v>
          </cell>
          <cell r="CU1381">
            <v>39.360340545186375</v>
          </cell>
        </row>
        <row r="1382">
          <cell r="CF1382" t="str">
            <v>Malabe</v>
          </cell>
          <cell r="CG1382">
            <v>28.32377869820365</v>
          </cell>
          <cell r="CH1382">
            <v>29.829885922160095</v>
          </cell>
          <cell r="CI1382">
            <v>5.0489875418450199</v>
          </cell>
          <cell r="CJ1382">
            <v>3.9713482713751405</v>
          </cell>
          <cell r="CK1382">
            <v>4.1505256906114543</v>
          </cell>
          <cell r="CL1382">
            <v>4.3169813318254011</v>
          </cell>
          <cell r="CM1382">
            <v>41.670028983717636</v>
          </cell>
          <cell r="CN1382">
            <v>43.283352267543322</v>
          </cell>
          <cell r="CO1382">
            <v>3.7273528950655255</v>
          </cell>
          <cell r="CP1382">
            <v>22.153385125823021</v>
          </cell>
          <cell r="CQ1382">
            <v>18.799466253974479</v>
          </cell>
          <cell r="CR1382">
            <v>-17.840500504313386</v>
          </cell>
          <cell r="CS1382">
            <v>3.8814589208805481</v>
          </cell>
          <cell r="CT1382">
            <v>3.9367698657106556</v>
          </cell>
          <cell r="CU1382">
            <v>1.4049829356769592</v>
          </cell>
        </row>
        <row r="1383">
          <cell r="CF1383" t="str">
            <v>Negombo</v>
          </cell>
          <cell r="CG1383">
            <v>31.279873601844692</v>
          </cell>
          <cell r="CH1383">
            <v>32.836452955345074</v>
          </cell>
          <cell r="CI1383">
            <v>4.7404004190623281</v>
          </cell>
          <cell r="CJ1383">
            <v>4.0857725236854732</v>
          </cell>
          <cell r="CK1383">
            <v>3.9969619296711252</v>
          </cell>
          <cell r="CL1383">
            <v>-2.2219524623206865</v>
          </cell>
          <cell r="CM1383">
            <v>35.548459519745677</v>
          </cell>
          <cell r="CN1383">
            <v>37.817344122051544</v>
          </cell>
          <cell r="CO1383">
            <v>5.9995873718240977</v>
          </cell>
          <cell r="CP1383">
            <v>23.113373905535006</v>
          </cell>
          <cell r="CQ1383">
            <v>18.764720036677641</v>
          </cell>
          <cell r="CR1383">
            <v>-23.174626961433258</v>
          </cell>
          <cell r="CS1383">
            <v>5.9725204491891448</v>
          </cell>
          <cell r="CT1383">
            <v>6.5845209562546234</v>
          </cell>
          <cell r="CU1383">
            <v>9.294533514759955</v>
          </cell>
        </row>
        <row r="1384">
          <cell r="CF1384" t="str">
            <v>Rajagiriya</v>
          </cell>
          <cell r="CG1384">
            <v>34.017054302158925</v>
          </cell>
          <cell r="CH1384">
            <v>33.851246561162164</v>
          </cell>
          <cell r="CI1384">
            <v>-0.48981280703262037</v>
          </cell>
          <cell r="CJ1384">
            <v>4.6373481075032084</v>
          </cell>
          <cell r="CK1384">
            <v>4.9387651463540037</v>
          </cell>
          <cell r="CL1384">
            <v>6.1030850813651982</v>
          </cell>
          <cell r="CM1384">
            <v>28.996203276995402</v>
          </cell>
          <cell r="CN1384">
            <v>30.679945840327171</v>
          </cell>
          <cell r="CO1384">
            <v>5.4880884474006422</v>
          </cell>
          <cell r="CP1384">
            <v>25.81044202331023</v>
          </cell>
          <cell r="CQ1384">
            <v>19.698312055340498</v>
          </cell>
          <cell r="CR1384">
            <v>-31.028699062124183</v>
          </cell>
          <cell r="CS1384">
            <v>6.5389522900322445</v>
          </cell>
          <cell r="CT1384">
            <v>10.831730396816168</v>
          </cell>
          <cell r="CU1384">
            <v>39.63150807414597</v>
          </cell>
        </row>
        <row r="1385">
          <cell r="CF1385" t="str">
            <v>Boralesgamuwa</v>
          </cell>
          <cell r="CG1385">
            <v>29.280850108664236</v>
          </cell>
          <cell r="CH1385">
            <v>30.990015637770767</v>
          </cell>
          <cell r="CI1385">
            <v>5.5152135096808186</v>
          </cell>
          <cell r="CJ1385">
            <v>4.8041474551928047</v>
          </cell>
          <cell r="CK1385">
            <v>4.7301479090134624</v>
          </cell>
          <cell r="CL1385">
            <v>-1.5644235149250538</v>
          </cell>
          <cell r="CM1385">
            <v>40.556654467603188</v>
          </cell>
          <cell r="CN1385">
            <v>42.328405952055817</v>
          </cell>
          <cell r="CO1385">
            <v>4.1857269240411314</v>
          </cell>
          <cell r="CP1385">
            <v>19.160584560526711</v>
          </cell>
          <cell r="CQ1385">
            <v>15.056275038911624</v>
          </cell>
          <cell r="CR1385">
            <v>-27.259793747177568</v>
          </cell>
          <cell r="CS1385">
            <v>6.1977634080130635</v>
          </cell>
          <cell r="CT1385">
            <v>6.895155462248324</v>
          </cell>
          <cell r="CU1385">
            <v>10.114232493430391</v>
          </cell>
        </row>
        <row r="1386">
          <cell r="CF1386" t="str">
            <v>Pitakotte</v>
          </cell>
          <cell r="CG1386">
            <v>28.439962376848499</v>
          </cell>
          <cell r="CH1386">
            <v>30.039444755898398</v>
          </cell>
          <cell r="CI1386">
            <v>5.3246070027170944</v>
          </cell>
          <cell r="CJ1386">
            <v>3.8592559128090316</v>
          </cell>
          <cell r="CK1386">
            <v>4.0041758056204735</v>
          </cell>
          <cell r="CL1386">
            <v>3.6192190314926895</v>
          </cell>
          <cell r="CM1386">
            <v>32.709666996805517</v>
          </cell>
          <cell r="CN1386">
            <v>33.771475446737561</v>
          </cell>
          <cell r="CO1386">
            <v>3.1440984910673153</v>
          </cell>
          <cell r="CP1386">
            <v>21.557947437540484</v>
          </cell>
          <cell r="CQ1386">
            <v>18.470114050547565</v>
          </cell>
          <cell r="CR1386">
            <v>-16.71799848415867</v>
          </cell>
          <cell r="CS1386">
            <v>13.433167275996466</v>
          </cell>
          <cell r="CT1386">
            <v>13.714789941195981</v>
          </cell>
          <cell r="CU1386">
            <v>2.0534231031390986</v>
          </cell>
        </row>
        <row r="1387">
          <cell r="CF1387" t="str">
            <v>Panadura</v>
          </cell>
          <cell r="CG1387">
            <v>24.371967430290027</v>
          </cell>
          <cell r="CH1387">
            <v>25.336125085568927</v>
          </cell>
          <cell r="CI1387">
            <v>3.8054661161586596</v>
          </cell>
          <cell r="CJ1387">
            <v>2.2412501253074204</v>
          </cell>
          <cell r="CK1387">
            <v>3.1083323540944283</v>
          </cell>
          <cell r="CL1387">
            <v>27.895415612325046</v>
          </cell>
          <cell r="CM1387">
            <v>37.531161187610259</v>
          </cell>
          <cell r="CN1387">
            <v>40.235935657569392</v>
          </cell>
          <cell r="CO1387">
            <v>6.7222855036311229</v>
          </cell>
          <cell r="CP1387">
            <v>20.030823742427632</v>
          </cell>
          <cell r="CQ1387">
            <v>16.169594591575816</v>
          </cell>
          <cell r="CR1387">
            <v>-23.879566856076124</v>
          </cell>
          <cell r="CS1387">
            <v>15.824797514364656</v>
          </cell>
          <cell r="CT1387">
            <v>15.150012311191437</v>
          </cell>
          <cell r="CU1387">
            <v>-4.4540241242889902</v>
          </cell>
        </row>
        <row r="1388">
          <cell r="CF1388" t="str">
            <v>Kurunagala</v>
          </cell>
          <cell r="CG1388">
            <v>23.856180964198824</v>
          </cell>
          <cell r="CH1388">
            <v>28.257516416917479</v>
          </cell>
          <cell r="CI1388">
            <v>15.575804284355371</v>
          </cell>
          <cell r="CJ1388">
            <v>3.2200322465216806</v>
          </cell>
          <cell r="CK1388">
            <v>3.6419126488131335</v>
          </cell>
          <cell r="CL1388">
            <v>11.584034076955136</v>
          </cell>
          <cell r="CM1388">
            <v>39.598065217300572</v>
          </cell>
          <cell r="CN1388">
            <v>37.950739024476896</v>
          </cell>
          <cell r="CO1388">
            <v>-4.3406959526169153</v>
          </cell>
          <cell r="CP1388">
            <v>14.866772159695021</v>
          </cell>
          <cell r="CQ1388">
            <v>11.204577180134608</v>
          </cell>
          <cell r="CR1388">
            <v>-32.684811936084287</v>
          </cell>
          <cell r="CS1388">
            <v>18.458949412283911</v>
          </cell>
          <cell r="CT1388">
            <v>18.945254729657883</v>
          </cell>
          <cell r="CU1388">
            <v>2.566897749929351</v>
          </cell>
        </row>
        <row r="1389">
          <cell r="CF1389" t="str">
            <v>Matara</v>
          </cell>
          <cell r="CG1389">
            <v>30.203259973895136</v>
          </cell>
          <cell r="CH1389">
            <v>28.423748437958835</v>
          </cell>
          <cell r="CI1389">
            <v>-6.2606504550956092</v>
          </cell>
          <cell r="CJ1389">
            <v>3.2158627055881661</v>
          </cell>
          <cell r="CK1389">
            <v>4.0148447704255963</v>
          </cell>
          <cell r="CL1389">
            <v>19.90069630395034</v>
          </cell>
          <cell r="CM1389">
            <v>34.078687621586198</v>
          </cell>
          <cell r="CN1389">
            <v>37.135423994241258</v>
          </cell>
          <cell r="CO1389">
            <v>8.2313221282435887</v>
          </cell>
          <cell r="CP1389">
            <v>15.166806697512895</v>
          </cell>
          <cell r="CQ1389">
            <v>12.625275424481192</v>
          </cell>
          <cell r="CR1389">
            <v>-20.130501613481762</v>
          </cell>
          <cell r="CS1389">
            <v>17.335383001417608</v>
          </cell>
          <cell r="CT1389">
            <v>17.800707372893125</v>
          </cell>
          <cell r="CU1389">
            <v>2.6140779786319763</v>
          </cell>
        </row>
        <row r="1390">
          <cell r="CF1390" t="str">
            <v>Wattala</v>
          </cell>
          <cell r="CG1390">
            <v>25.296360138624784</v>
          </cell>
          <cell r="CH1390">
            <v>28.141724038120667</v>
          </cell>
          <cell r="CI1390">
            <v>10.110837188373976</v>
          </cell>
          <cell r="CJ1390">
            <v>2.9191449963943277</v>
          </cell>
          <cell r="CK1390">
            <v>2.9110166314183905</v>
          </cell>
          <cell r="CL1390">
            <v>-0.27922770650666551</v>
          </cell>
          <cell r="CM1390">
            <v>34.799036080088584</v>
          </cell>
          <cell r="CN1390">
            <v>34.112283751313228</v>
          </cell>
          <cell r="CO1390">
            <v>-2.0132112343516653</v>
          </cell>
          <cell r="CP1390">
            <v>15.421893491784083</v>
          </cell>
          <cell r="CQ1390">
            <v>11.829344939725042</v>
          </cell>
          <cell r="CR1390">
            <v>-30.369801289626992</v>
          </cell>
          <cell r="CS1390">
            <v>21.563565293108219</v>
          </cell>
          <cell r="CT1390">
            <v>23.005630639422662</v>
          </cell>
          <cell r="CU1390">
            <v>6.2683147830918688</v>
          </cell>
        </row>
        <row r="1391">
          <cell r="CF1391" t="str">
            <v>Pelawatte</v>
          </cell>
          <cell r="CG1391">
            <v>26.540076925782031</v>
          </cell>
          <cell r="CH1391">
            <v>29.152955783177038</v>
          </cell>
          <cell r="CI1391">
            <v>8.9626550282863295</v>
          </cell>
          <cell r="CJ1391">
            <v>3.2220860421966391</v>
          </cell>
          <cell r="CK1391">
            <v>3.1696516613396843</v>
          </cell>
          <cell r="CL1391">
            <v>-1.6542631954324225</v>
          </cell>
          <cell r="CM1391">
            <v>33.168638814254727</v>
          </cell>
          <cell r="CN1391">
            <v>33.097217185913593</v>
          </cell>
          <cell r="CO1391">
            <v>-0.21579345459754296</v>
          </cell>
          <cell r="CP1391">
            <v>20.400780407958273</v>
          </cell>
          <cell r="CQ1391">
            <v>17.202339568991366</v>
          </cell>
          <cell r="CR1391">
            <v>-18.5930572184051</v>
          </cell>
          <cell r="CS1391">
            <v>16.668417809808332</v>
          </cell>
          <cell r="CT1391">
            <v>17.377835800578318</v>
          </cell>
          <cell r="CU1391">
            <v>4.0823149609134672</v>
          </cell>
        </row>
        <row r="1392">
          <cell r="CF1392" t="str">
            <v>Gampaha</v>
          </cell>
          <cell r="CG1392">
            <v>26.592457775052132</v>
          </cell>
          <cell r="CH1392">
            <v>28.638748570233275</v>
          </cell>
          <cell r="CI1392">
            <v>7.1451823048861494</v>
          </cell>
          <cell r="CJ1392">
            <v>2.9185923871163104</v>
          </cell>
          <cell r="CK1392">
            <v>3.0343990197698827</v>
          </cell>
          <cell r="CL1392">
            <v>3.8164602578323601</v>
          </cell>
          <cell r="CM1392">
            <v>28.95498064237907</v>
          </cell>
          <cell r="CN1392">
            <v>28.682380151615011</v>
          </cell>
          <cell r="CO1392">
            <v>-0.95041098166572524</v>
          </cell>
          <cell r="CP1392">
            <v>15.882392554010785</v>
          </cell>
          <cell r="CQ1392">
            <v>11.768441003151825</v>
          </cell>
          <cell r="CR1392">
            <v>-34.957489694320273</v>
          </cell>
          <cell r="CS1392">
            <v>25.651576641441697</v>
          </cell>
          <cell r="CT1392">
            <v>27.876031255230028</v>
          </cell>
          <cell r="CU1392">
            <v>7.9798110190846678</v>
          </cell>
        </row>
        <row r="1393">
          <cell r="CF1393" t="str">
            <v>Ja-ela</v>
          </cell>
          <cell r="CG1393">
            <v>21.960238412909895</v>
          </cell>
          <cell r="CH1393">
            <v>23.363613522292717</v>
          </cell>
          <cell r="CI1393">
            <v>6.0066697646910301</v>
          </cell>
          <cell r="CJ1393">
            <v>2.5609535238067513</v>
          </cell>
          <cell r="CK1393">
            <v>2.3842167332549997</v>
          </cell>
          <cell r="CL1393">
            <v>-7.4127820716393344</v>
          </cell>
          <cell r="CM1393">
            <v>30.419678649346331</v>
          </cell>
          <cell r="CN1393">
            <v>26.778936244664941</v>
          </cell>
          <cell r="CO1393">
            <v>-13.595545287601633</v>
          </cell>
          <cell r="CP1393">
            <v>14.838039721818042</v>
          </cell>
          <cell r="CQ1393">
            <v>11.395662077435038</v>
          </cell>
          <cell r="CR1393">
            <v>-30.207789779931971</v>
          </cell>
          <cell r="CS1393">
            <v>30.221089692118987</v>
          </cell>
          <cell r="CT1393">
            <v>36.077571422352307</v>
          </cell>
          <cell r="CU1393">
            <v>16.233026501902685</v>
          </cell>
        </row>
        <row r="1394">
          <cell r="CF1394" t="str">
            <v>Piliyandala</v>
          </cell>
          <cell r="CG1394">
            <v>23.006125011367015</v>
          </cell>
          <cell r="CH1394">
            <v>27.417223219831477</v>
          </cell>
          <cell r="CI1394">
            <v>16.088785407246561</v>
          </cell>
          <cell r="CJ1394">
            <v>2.2290637469193477</v>
          </cell>
          <cell r="CK1394">
            <v>3.2710494946904944</v>
          </cell>
          <cell r="CL1394">
            <v>31.854783899249405</v>
          </cell>
          <cell r="CM1394">
            <v>30.204873768728941</v>
          </cell>
          <cell r="CN1394">
            <v>28.796157256488385</v>
          </cell>
          <cell r="CO1394">
            <v>-4.8920295152338156</v>
          </cell>
          <cell r="CP1394">
            <v>12.709988103840244</v>
          </cell>
          <cell r="CQ1394">
            <v>8.2408980664324663</v>
          </cell>
          <cell r="CR1394">
            <v>-54.230619058518137</v>
          </cell>
          <cell r="CS1394">
            <v>31.849949369144444</v>
          </cell>
          <cell r="CT1394">
            <v>32.274671962557186</v>
          </cell>
          <cell r="CU1394">
            <v>1.3159625414798191</v>
          </cell>
        </row>
        <row r="1395">
          <cell r="CF1395" t="str">
            <v>Chilaw</v>
          </cell>
          <cell r="CG1395">
            <v>22.032679902923803</v>
          </cell>
          <cell r="CH1395">
            <v>26.849321495301453</v>
          </cell>
          <cell r="CI1395">
            <v>17.939528167296693</v>
          </cell>
          <cell r="CJ1395">
            <v>3.4927123854373638</v>
          </cell>
          <cell r="CK1395">
            <v>4.2105724657911265</v>
          </cell>
          <cell r="CL1395">
            <v>17.048990040808707</v>
          </cell>
          <cell r="CM1395">
            <v>35.50040242644274</v>
          </cell>
          <cell r="CN1395">
            <v>31.090462393933755</v>
          </cell>
          <cell r="CO1395">
            <v>-14.184221439464451</v>
          </cell>
          <cell r="CP1395">
            <v>12.793330979613254</v>
          </cell>
          <cell r="CQ1395">
            <v>10.386097277306211</v>
          </cell>
          <cell r="CR1395">
            <v>-23.177461543393076</v>
          </cell>
          <cell r="CS1395">
            <v>26.180874305582837</v>
          </cell>
          <cell r="CT1395">
            <v>27.463546367667458</v>
          </cell>
          <cell r="CU1395">
            <v>4.6704531341760651</v>
          </cell>
        </row>
        <row r="1396">
          <cell r="CF1396" t="str">
            <v>Ratnapura</v>
          </cell>
          <cell r="CG1396">
            <v>22.601193621342155</v>
          </cell>
          <cell r="CH1396">
            <v>24.118497150969525</v>
          </cell>
          <cell r="CI1396">
            <v>6.2910367927562865</v>
          </cell>
          <cell r="CJ1396">
            <v>3.3212822034723781</v>
          </cell>
          <cell r="CK1396">
            <v>3.9046856404352583</v>
          </cell>
          <cell r="CL1396">
            <v>14.941111543562</v>
          </cell>
          <cell r="CM1396">
            <v>28.012938662426308</v>
          </cell>
          <cell r="CN1396">
            <v>27.694503471315347</v>
          </cell>
          <cell r="CO1396">
            <v>-1.149813685740136</v>
          </cell>
          <cell r="CP1396">
            <v>14.018606877574975</v>
          </cell>
          <cell r="CQ1396">
            <v>11.949607504822167</v>
          </cell>
          <cell r="CR1396">
            <v>-17.314370969237945</v>
          </cell>
          <cell r="CS1396">
            <v>32.045978635184177</v>
          </cell>
          <cell r="CT1396">
            <v>32.332706232457696</v>
          </cell>
          <cell r="CU1396">
            <v>0.8868035827625298</v>
          </cell>
        </row>
        <row r="1397">
          <cell r="CF1397" t="str">
            <v>Nawala</v>
          </cell>
          <cell r="CG1397">
            <v>22.740798259804002</v>
          </cell>
          <cell r="CH1397">
            <v>28.800457467806979</v>
          </cell>
          <cell r="CI1397">
            <v>21.04014915310438</v>
          </cell>
          <cell r="CJ1397">
            <v>3.0983156700326999</v>
          </cell>
          <cell r="CK1397">
            <v>4.1337463641486263</v>
          </cell>
          <cell r="CL1397">
            <v>25.048239608894836</v>
          </cell>
          <cell r="CM1397">
            <v>25.526790152895877</v>
          </cell>
          <cell r="CN1397">
            <v>25.588246678235382</v>
          </cell>
          <cell r="CO1397">
            <v>0.24017481976120739</v>
          </cell>
          <cell r="CP1397">
            <v>21.557681449462265</v>
          </cell>
          <cell r="CQ1397">
            <v>22.090157272658942</v>
          </cell>
          <cell r="CR1397">
            <v>2.4104664200635817</v>
          </cell>
          <cell r="CS1397">
            <v>27.076414467805161</v>
          </cell>
          <cell r="CT1397">
            <v>19.387392217150072</v>
          </cell>
          <cell r="CU1397">
            <v>-39.659909721398144</v>
          </cell>
        </row>
        <row r="1398">
          <cell r="CF1398" t="str">
            <v>Collupitiya</v>
          </cell>
          <cell r="CG1398">
            <v>27.386083258596621</v>
          </cell>
          <cell r="CH1398">
            <v>28.554435718567113</v>
          </cell>
          <cell r="CI1398">
            <v>4.0916671283081527</v>
          </cell>
          <cell r="CJ1398">
            <v>3.6189230197726499</v>
          </cell>
          <cell r="CK1398">
            <v>3.7547806983035863</v>
          </cell>
          <cell r="CL1398">
            <v>3.6182586799894083</v>
          </cell>
          <cell r="CM1398">
            <v>36.884204231746523</v>
          </cell>
          <cell r="CN1398">
            <v>35.246733088808909</v>
          </cell>
          <cell r="CO1398">
            <v>-4.645738766233408</v>
          </cell>
          <cell r="CP1398">
            <v>16.37150673478304</v>
          </cell>
          <cell r="CQ1398">
            <v>13.219131101404482</v>
          </cell>
          <cell r="CR1398">
            <v>-23.847071408828299</v>
          </cell>
          <cell r="CS1398">
            <v>15.739282755101168</v>
          </cell>
          <cell r="CT1398">
            <v>19.224919392915911</v>
          </cell>
          <cell r="CU1398">
            <v>18.130825760960782</v>
          </cell>
        </row>
        <row r="1399">
          <cell r="CF1399" t="str">
            <v>Dehiwala</v>
          </cell>
          <cell r="CG1399">
            <v>28.694463387456775</v>
          </cell>
          <cell r="CH1399">
            <v>32.633211156514186</v>
          </cell>
          <cell r="CI1399">
            <v>12.069752345751498</v>
          </cell>
          <cell r="CJ1399">
            <v>4.0159218738388045</v>
          </cell>
          <cell r="CK1399">
            <v>3.8477354630435876</v>
          </cell>
          <cell r="CL1399">
            <v>-4.3710492161064574</v>
          </cell>
          <cell r="CM1399">
            <v>38.458729447411059</v>
          </cell>
          <cell r="CN1399">
            <v>33.868933651602475</v>
          </cell>
          <cell r="CO1399">
            <v>-13.551639514317637</v>
          </cell>
          <cell r="CP1399">
            <v>19.22478544897783</v>
          </cell>
          <cell r="CQ1399">
            <v>14.446323563554239</v>
          </cell>
          <cell r="CR1399">
            <v>-33.077356078877287</v>
          </cell>
          <cell r="CS1399">
            <v>9.6060998423155137</v>
          </cell>
          <cell r="CT1399">
            <v>15.203796165285526</v>
          </cell>
          <cell r="CU1399">
            <v>36.817754343162676</v>
          </cell>
        </row>
        <row r="1400">
          <cell r="CF1400" t="str">
            <v>Thibirigasyaya</v>
          </cell>
          <cell r="CG1400">
            <v>28.008372716467171</v>
          </cell>
          <cell r="CH1400">
            <v>29.522972551381642</v>
          </cell>
          <cell r="CI1400">
            <v>5.1302416525926313</v>
          </cell>
          <cell r="CJ1400">
            <v>3.9336917590620439</v>
          </cell>
          <cell r="CK1400">
            <v>4.1736273420979133</v>
          </cell>
          <cell r="CL1400">
            <v>5.7488501816087751</v>
          </cell>
          <cell r="CM1400">
            <v>34.669432399031962</v>
          </cell>
          <cell r="CN1400">
            <v>29.424761779863108</v>
          </cell>
          <cell r="CO1400">
            <v>-17.824003668767354</v>
          </cell>
          <cell r="CP1400">
            <v>19.011122499730984</v>
          </cell>
          <cell r="CQ1400">
            <v>13.962004933456903</v>
          </cell>
          <cell r="CR1400">
            <v>-36.163270177443998</v>
          </cell>
          <cell r="CS1400">
            <v>14.377380625707836</v>
          </cell>
          <cell r="CT1400">
            <v>22.916633393200435</v>
          </cell>
          <cell r="CU1400">
            <v>37.26224799680336</v>
          </cell>
        </row>
        <row r="1401">
          <cell r="CF1401" t="str">
            <v>Moratuwa</v>
          </cell>
          <cell r="CG1401">
            <v>26.089009341654386</v>
          </cell>
          <cell r="CH1401">
            <v>28.594148718382794</v>
          </cell>
          <cell r="CI1401">
            <v>8.761021009581194</v>
          </cell>
          <cell r="CJ1401">
            <v>2.9953163755019183</v>
          </cell>
          <cell r="CK1401">
            <v>4.7479271897446775</v>
          </cell>
          <cell r="CL1401">
            <v>36.913177986981871</v>
          </cell>
          <cell r="CM1401">
            <v>32.337524967841759</v>
          </cell>
          <cell r="CN1401">
            <v>29.431002153101183</v>
          </cell>
          <cell r="CO1401">
            <v>-9.8757181275062766</v>
          </cell>
          <cell r="CP1401">
            <v>20.598206897524577</v>
          </cell>
          <cell r="CQ1401">
            <v>16.060978204869354</v>
          </cell>
          <cell r="CR1401">
            <v>-28.250014630364355</v>
          </cell>
          <cell r="CS1401">
            <v>17.979942417477375</v>
          </cell>
          <cell r="CT1401">
            <v>21.165943733901983</v>
          </cell>
          <cell r="CU1401">
            <v>15.052488830542982</v>
          </cell>
        </row>
        <row r="1402">
          <cell r="CF1402" t="str">
            <v>Kegalle</v>
          </cell>
          <cell r="CG1402">
            <v>34.359126192923043</v>
          </cell>
          <cell r="CH1402">
            <v>34.145721225351508</v>
          </cell>
          <cell r="CI1402">
            <v>-0.62498304300889085</v>
          </cell>
          <cell r="CJ1402">
            <v>5.730509509254091</v>
          </cell>
          <cell r="CK1402">
            <v>3.8343882918822048</v>
          </cell>
          <cell r="CL1402">
            <v>-49.450422675923832</v>
          </cell>
          <cell r="CM1402">
            <v>43.793206090113067</v>
          </cell>
          <cell r="CN1402">
            <v>45.666449266235006</v>
          </cell>
          <cell r="CO1402">
            <v>4.1020118844820788</v>
          </cell>
          <cell r="CP1402">
            <v>16.075197537885941</v>
          </cell>
          <cell r="CQ1402">
            <v>16.353441216531291</v>
          </cell>
          <cell r="CR1402">
            <v>1.7014380946566758</v>
          </cell>
          <cell r="CS1402">
            <v>4.196066982386077E-2</v>
          </cell>
          <cell r="CT1402">
            <v>0</v>
          </cell>
          <cell r="CU1402">
            <v>0</v>
          </cell>
        </row>
        <row r="1403">
          <cell r="CF1403" t="str">
            <v>Kadawatha</v>
          </cell>
          <cell r="CG1403">
            <v>39.836864431473742</v>
          </cell>
          <cell r="CH1403">
            <v>31.564654433509592</v>
          </cell>
          <cell r="CI1403">
            <v>-26.207193287635768</v>
          </cell>
          <cell r="CJ1403">
            <v>4.9810823924565417</v>
          </cell>
          <cell r="CK1403">
            <v>5.6496534394156592</v>
          </cell>
          <cell r="CL1403">
            <v>11.833841741419585</v>
          </cell>
          <cell r="CM1403">
            <v>39.578695175458975</v>
          </cell>
          <cell r="CN1403">
            <v>45.793162720313468</v>
          </cell>
          <cell r="CO1403">
            <v>13.570732344498685</v>
          </cell>
          <cell r="CP1403">
            <v>15.603358000610722</v>
          </cell>
          <cell r="CQ1403">
            <v>16.992529406761275</v>
          </cell>
          <cell r="CR1403">
            <v>8.1751890663070181</v>
          </cell>
          <cell r="CS1403">
            <v>0</v>
          </cell>
          <cell r="CT1403">
            <v>0</v>
          </cell>
          <cell r="CU1403">
            <v>0</v>
          </cell>
        </row>
        <row r="1404">
          <cell r="CF1404" t="str">
            <v>Aluthgama</v>
          </cell>
          <cell r="CG1404">
            <v>33.826526332290172</v>
          </cell>
          <cell r="CH1404">
            <v>34.068669894730526</v>
          </cell>
          <cell r="CI1404">
            <v>0.71075144168691817</v>
          </cell>
          <cell r="CJ1404">
            <v>4.7005375239880376</v>
          </cell>
          <cell r="CK1404">
            <v>3.8308699654331422</v>
          </cell>
          <cell r="CL1404">
            <v>-22.701568218240613</v>
          </cell>
          <cell r="CM1404">
            <v>44.458663974059306</v>
          </cell>
          <cell r="CN1404">
            <v>45.639066499934536</v>
          </cell>
          <cell r="CO1404">
            <v>2.5863862177744665</v>
          </cell>
          <cell r="CP1404">
            <v>17.014272169662494</v>
          </cell>
          <cell r="CQ1404">
            <v>16.461393639901804</v>
          </cell>
          <cell r="CR1404">
            <v>-3.3586374389379356</v>
          </cell>
          <cell r="CS1404">
            <v>0</v>
          </cell>
          <cell r="CT1404">
            <v>0</v>
          </cell>
          <cell r="CU1404">
            <v>0</v>
          </cell>
        </row>
        <row r="1405">
          <cell r="CF1405" t="str">
            <v>Park Road</v>
          </cell>
          <cell r="CG1405">
            <v>33.29383583358058</v>
          </cell>
          <cell r="CH1405">
            <v>34.029354624411795</v>
          </cell>
          <cell r="CI1405">
            <v>2.1614244494180683</v>
          </cell>
          <cell r="CJ1405">
            <v>5.6675171798357917</v>
          </cell>
          <cell r="CK1405">
            <v>3.8060109941940277</v>
          </cell>
          <cell r="CL1405">
            <v>-48.909637635872414</v>
          </cell>
          <cell r="CM1405">
            <v>36.499449817877789</v>
          </cell>
          <cell r="CN1405">
            <v>45.614034430710284</v>
          </cell>
          <cell r="CO1405">
            <v>19.981974246715552</v>
          </cell>
          <cell r="CP1405">
            <v>24.539197168705829</v>
          </cell>
          <cell r="CQ1405">
            <v>16.550599950683896</v>
          </cell>
          <cell r="CR1405">
            <v>-48.267719852003502</v>
          </cell>
          <cell r="CS1405">
            <v>0</v>
          </cell>
          <cell r="CT1405">
            <v>0</v>
          </cell>
          <cell r="CU1405">
            <v>0</v>
          </cell>
        </row>
        <row r="1406">
          <cell r="CF1406" t="str">
            <v>Kotahena</v>
          </cell>
          <cell r="CG1406">
            <v>26.462430818035408</v>
          </cell>
          <cell r="CH1406">
            <v>34.029354624411795</v>
          </cell>
          <cell r="CI1406">
            <v>22.236459932590282</v>
          </cell>
          <cell r="CJ1406">
            <v>3.4307984646020944</v>
          </cell>
          <cell r="CK1406">
            <v>3.8060109941940277</v>
          </cell>
          <cell r="CL1406">
            <v>9.8584194886538796</v>
          </cell>
          <cell r="CM1406">
            <v>51.422390797082208</v>
          </cell>
          <cell r="CN1406">
            <v>45.614034430710284</v>
          </cell>
          <cell r="CO1406">
            <v>-12.733704525073467</v>
          </cell>
          <cell r="CP1406">
            <v>18.684379920280293</v>
          </cell>
          <cell r="CQ1406">
            <v>16.550599950683896</v>
          </cell>
          <cell r="CR1406">
            <v>-12.892462967834744</v>
          </cell>
          <cell r="CS1406">
            <v>0</v>
          </cell>
          <cell r="CT1406">
            <v>0</v>
          </cell>
          <cell r="CU1406">
            <v>0</v>
          </cell>
        </row>
        <row r="1407">
          <cell r="CF1407" t="str">
            <v>Ambalangoda</v>
          </cell>
          <cell r="CG1407">
            <v>28.855196318390913</v>
          </cell>
          <cell r="CH1407">
            <v>33.887602962822641</v>
          </cell>
          <cell r="CI1407">
            <v>14.850288024067895</v>
          </cell>
          <cell r="CJ1407">
            <v>6.3626400051307836</v>
          </cell>
          <cell r="CK1407">
            <v>3.8398812771920294</v>
          </cell>
          <cell r="CL1407">
            <v>-65.698873111607227</v>
          </cell>
          <cell r="CM1407">
            <v>45.694984401377233</v>
          </cell>
          <cell r="CN1407">
            <v>45.5052457875775</v>
          </cell>
          <cell r="CO1407">
            <v>-0.41695987026517684</v>
          </cell>
          <cell r="CP1407">
            <v>18.629314928710809</v>
          </cell>
          <cell r="CQ1407">
            <v>16.767269972407821</v>
          </cell>
          <cell r="CR1407">
            <v>-11.105236328675835</v>
          </cell>
          <cell r="CS1407">
            <v>0.45786434639027923</v>
          </cell>
          <cell r="CT1407">
            <v>0</v>
          </cell>
          <cell r="CU1407">
            <v>0</v>
          </cell>
        </row>
        <row r="1408">
          <cell r="CF1408" t="str">
            <v>Express Peradeniya</v>
          </cell>
          <cell r="CG1408">
            <v>31.811282028237532</v>
          </cell>
          <cell r="CH1408">
            <v>33.887602962822641</v>
          </cell>
          <cell r="CI1408">
            <v>6.1270811537275023</v>
          </cell>
          <cell r="CJ1408">
            <v>5.5229361379575836</v>
          </cell>
          <cell r="CK1408">
            <v>3.8398812771920294</v>
          </cell>
          <cell r="CL1408">
            <v>-43.830908803417827</v>
          </cell>
          <cell r="CM1408">
            <v>42.159606559388166</v>
          </cell>
          <cell r="CN1408">
            <v>45.5052457875775</v>
          </cell>
          <cell r="CO1408">
            <v>7.3522055980250567</v>
          </cell>
          <cell r="CP1408">
            <v>20.2117305240806</v>
          </cell>
          <cell r="CQ1408">
            <v>16.767269972407821</v>
          </cell>
          <cell r="CR1408">
            <v>-20.542763117317104</v>
          </cell>
          <cell r="CS1408">
            <v>0.29444475033611928</v>
          </cell>
          <cell r="CT1408">
            <v>0</v>
          </cell>
          <cell r="CU1408">
            <v>0</v>
          </cell>
        </row>
        <row r="1409">
          <cell r="CF1409" t="str">
            <v>Beruwela</v>
          </cell>
          <cell r="CG1409">
            <v>29.20533097419063</v>
          </cell>
          <cell r="CH1409">
            <v>33.764670561125385</v>
          </cell>
          <cell r="CI1409">
            <v>13.503284679413117</v>
          </cell>
          <cell r="CJ1409">
            <v>5.9328281683766715</v>
          </cell>
          <cell r="CK1409">
            <v>3.7297720355364903</v>
          </cell>
          <cell r="CL1409">
            <v>-59.066777053662314</v>
          </cell>
          <cell r="CM1409">
            <v>47.784142754847458</v>
          </cell>
          <cell r="CN1409">
            <v>45.467234894749581</v>
          </cell>
          <cell r="CO1409">
            <v>-5.0957747165870151</v>
          </cell>
          <cell r="CP1409">
            <v>17.051324318401644</v>
          </cell>
          <cell r="CQ1409">
            <v>17.038322508588532</v>
          </cell>
          <cell r="CR1409">
            <v>-7.6309212990644346E-2</v>
          </cell>
          <cell r="CS1409">
            <v>2.6373784183598054E-2</v>
          </cell>
          <cell r="CT1409">
            <v>0</v>
          </cell>
          <cell r="CU1409">
            <v>0</v>
          </cell>
        </row>
        <row r="1410">
          <cell r="CF1410" t="str">
            <v>Warakapola</v>
          </cell>
          <cell r="CG1410">
            <v>34.220475039537362</v>
          </cell>
          <cell r="CH1410">
            <v>33.764670561125385</v>
          </cell>
          <cell r="CI1410">
            <v>-1.3499449893545332</v>
          </cell>
          <cell r="CJ1410">
            <v>5.7309807200106455</v>
          </cell>
          <cell r="CK1410">
            <v>3.7297720355364903</v>
          </cell>
          <cell r="CL1410">
            <v>-53.654986562370468</v>
          </cell>
          <cell r="CM1410">
            <v>46.923465279924471</v>
          </cell>
          <cell r="CN1410">
            <v>45.467234894749581</v>
          </cell>
          <cell r="CO1410">
            <v>-3.2028127255723042</v>
          </cell>
          <cell r="CP1410">
            <v>13.118816717582071</v>
          </cell>
          <cell r="CQ1410">
            <v>17.038322508588532</v>
          </cell>
          <cell r="CR1410">
            <v>23.00405916739016</v>
          </cell>
          <cell r="CS1410">
            <v>6.2622429454509913E-3</v>
          </cell>
          <cell r="CT1410">
            <v>0</v>
          </cell>
          <cell r="CU1410">
            <v>0</v>
          </cell>
        </row>
        <row r="1411">
          <cell r="CF1411" t="str">
            <v>Karagampitiya</v>
          </cell>
          <cell r="CG1411">
            <v>29.873556712554883</v>
          </cell>
          <cell r="CH1411">
            <v>0</v>
          </cell>
          <cell r="CI1411">
            <v>0</v>
          </cell>
          <cell r="CJ1411">
            <v>4.2419966710530765</v>
          </cell>
          <cell r="CK1411">
            <v>0</v>
          </cell>
          <cell r="CL1411">
            <v>0</v>
          </cell>
          <cell r="CM1411">
            <v>50.830170129796961</v>
          </cell>
          <cell r="CN1411">
            <v>0</v>
          </cell>
          <cell r="CO1411">
            <v>0</v>
          </cell>
          <cell r="CP1411">
            <v>15.054276486595084</v>
          </cell>
          <cell r="CQ1411">
            <v>0</v>
          </cell>
          <cell r="CR1411">
            <v>0</v>
          </cell>
          <cell r="CS1411">
            <v>0</v>
          </cell>
          <cell r="CT1411">
            <v>0</v>
          </cell>
          <cell r="CU1411">
            <v>0</v>
          </cell>
        </row>
        <row r="1412">
          <cell r="CF1412" t="str">
            <v>Mathale</v>
          </cell>
          <cell r="CG1412">
            <v>31.810499206047837</v>
          </cell>
          <cell r="CH1412">
            <v>0</v>
          </cell>
          <cell r="CI1412">
            <v>0</v>
          </cell>
          <cell r="CJ1412">
            <v>5.9887446965843676</v>
          </cell>
          <cell r="CK1412">
            <v>0</v>
          </cell>
          <cell r="CL1412">
            <v>0</v>
          </cell>
          <cell r="CM1412">
            <v>38.922315631485617</v>
          </cell>
          <cell r="CN1412">
            <v>0</v>
          </cell>
          <cell r="CO1412">
            <v>0</v>
          </cell>
          <cell r="CP1412">
            <v>23.270789920999558</v>
          </cell>
          <cell r="CQ1412">
            <v>0</v>
          </cell>
          <cell r="CR1412">
            <v>0</v>
          </cell>
          <cell r="CS1412">
            <v>7.6505448826267794E-3</v>
          </cell>
          <cell r="CT1412">
            <v>0</v>
          </cell>
          <cell r="CU1412">
            <v>0</v>
          </cell>
        </row>
        <row r="1413">
          <cell r="CF1413" t="str">
            <v>Peliyagoda</v>
          </cell>
          <cell r="CG1413">
            <v>31.302370974268396</v>
          </cell>
          <cell r="CH1413">
            <v>0</v>
          </cell>
          <cell r="CI1413">
            <v>0</v>
          </cell>
          <cell r="CJ1413">
            <v>6.680730786251746</v>
          </cell>
          <cell r="CK1413">
            <v>0</v>
          </cell>
          <cell r="CL1413">
            <v>0</v>
          </cell>
          <cell r="CM1413">
            <v>49.411206406554697</v>
          </cell>
          <cell r="CN1413">
            <v>0</v>
          </cell>
          <cell r="CO1413">
            <v>0</v>
          </cell>
          <cell r="CP1413">
            <v>12.605691832925164</v>
          </cell>
          <cell r="CQ1413">
            <v>0</v>
          </cell>
          <cell r="CR1413">
            <v>0</v>
          </cell>
          <cell r="CS1413">
            <v>0</v>
          </cell>
          <cell r="CT1413">
            <v>0</v>
          </cell>
          <cell r="CU1413">
            <v>0</v>
          </cell>
        </row>
        <row r="1414">
          <cell r="CF1414" t="str">
            <v>Kelaniya</v>
          </cell>
          <cell r="CG1414">
            <v>32.752929673010058</v>
          </cell>
          <cell r="CH1414">
            <v>0</v>
          </cell>
          <cell r="CI1414">
            <v>0</v>
          </cell>
          <cell r="CJ1414">
            <v>6.4558000215580478</v>
          </cell>
          <cell r="CK1414">
            <v>0</v>
          </cell>
          <cell r="CL1414">
            <v>0</v>
          </cell>
          <cell r="CM1414">
            <v>44.161289827883735</v>
          </cell>
          <cell r="CN1414">
            <v>0</v>
          </cell>
          <cell r="CO1414">
            <v>0</v>
          </cell>
          <cell r="CP1414">
            <v>16.629980477548152</v>
          </cell>
          <cell r="CQ1414">
            <v>0</v>
          </cell>
          <cell r="CR1414">
            <v>0</v>
          </cell>
          <cell r="CS1414">
            <v>0</v>
          </cell>
          <cell r="CT1414">
            <v>0</v>
          </cell>
          <cell r="CU1414">
            <v>0</v>
          </cell>
        </row>
        <row r="1415">
          <cell r="CF1415" t="str">
            <v>Demategoda</v>
          </cell>
          <cell r="CG1415">
            <v>28.065731617440214</v>
          </cell>
          <cell r="CH1415">
            <v>0</v>
          </cell>
          <cell r="CI1415">
            <v>0</v>
          </cell>
          <cell r="CJ1415">
            <v>4.4456398036231679</v>
          </cell>
          <cell r="CK1415">
            <v>0</v>
          </cell>
          <cell r="CL1415">
            <v>0</v>
          </cell>
          <cell r="CM1415">
            <v>51.632169721287347</v>
          </cell>
          <cell r="CN1415">
            <v>0</v>
          </cell>
          <cell r="CO1415">
            <v>0</v>
          </cell>
          <cell r="CP1415">
            <v>15.856458857649272</v>
          </cell>
          <cell r="CQ1415">
            <v>0</v>
          </cell>
          <cell r="CR1415">
            <v>0</v>
          </cell>
          <cell r="CS1415">
            <v>0</v>
          </cell>
          <cell r="CT1415">
            <v>0</v>
          </cell>
          <cell r="CU1415">
            <v>0</v>
          </cell>
        </row>
        <row r="1416">
          <cell r="CF1416" t="str">
            <v>Kolannawa</v>
          </cell>
          <cell r="CG1416">
            <v>28.350764958224772</v>
          </cell>
          <cell r="CH1416">
            <v>0</v>
          </cell>
          <cell r="CI1416">
            <v>0</v>
          </cell>
          <cell r="CJ1416">
            <v>6.8708121008071403</v>
          </cell>
          <cell r="CK1416">
            <v>0</v>
          </cell>
          <cell r="CL1416">
            <v>0</v>
          </cell>
          <cell r="CM1416">
            <v>42.501831553031188</v>
          </cell>
          <cell r="CN1416">
            <v>0</v>
          </cell>
          <cell r="CO1416">
            <v>0</v>
          </cell>
          <cell r="CP1416">
            <v>22.276591387936907</v>
          </cell>
          <cell r="CQ1416">
            <v>0</v>
          </cell>
          <cell r="CR1416">
            <v>0</v>
          </cell>
          <cell r="CS1416">
            <v>0</v>
          </cell>
          <cell r="CT1416">
            <v>0</v>
          </cell>
          <cell r="CU1416">
            <v>0</v>
          </cell>
        </row>
        <row r="1417">
          <cell r="CF1417" t="str">
            <v>Avissawella</v>
          </cell>
          <cell r="CG1417">
            <v>37.217445129574259</v>
          </cell>
          <cell r="CH1417">
            <v>0</v>
          </cell>
          <cell r="CI1417">
            <v>0</v>
          </cell>
          <cell r="CJ1417">
            <v>5.6177807361052707</v>
          </cell>
          <cell r="CK1417">
            <v>0</v>
          </cell>
          <cell r="CL1417">
            <v>0</v>
          </cell>
          <cell r="CM1417">
            <v>41.093329046666511</v>
          </cell>
          <cell r="CN1417">
            <v>0</v>
          </cell>
          <cell r="CO1417">
            <v>0</v>
          </cell>
          <cell r="CP1417">
            <v>16.071445087653942</v>
          </cell>
          <cell r="CQ1417">
            <v>0</v>
          </cell>
          <cell r="CR1417">
            <v>0</v>
          </cell>
          <cell r="CS1417">
            <v>0</v>
          </cell>
          <cell r="CT1417">
            <v>0</v>
          </cell>
          <cell r="CU1417">
            <v>0</v>
          </cell>
        </row>
        <row r="1418">
          <cell r="CF1418" t="str">
            <v>Homagama</v>
          </cell>
          <cell r="CG1418">
            <v>28.018070917485428</v>
          </cell>
          <cell r="CH1418">
            <v>0</v>
          </cell>
          <cell r="CI1418">
            <v>0</v>
          </cell>
          <cell r="CJ1418">
            <v>5.8237437547026216</v>
          </cell>
          <cell r="CK1418">
            <v>0</v>
          </cell>
          <cell r="CL1418">
            <v>0</v>
          </cell>
          <cell r="CM1418">
            <v>47.013326879460685</v>
          </cell>
          <cell r="CN1418">
            <v>0</v>
          </cell>
          <cell r="CO1418">
            <v>0</v>
          </cell>
          <cell r="CP1418">
            <v>19.144858448351268</v>
          </cell>
          <cell r="CQ1418">
            <v>0</v>
          </cell>
          <cell r="CR1418">
            <v>0</v>
          </cell>
          <cell r="CS1418">
            <v>0</v>
          </cell>
          <cell r="CT1418">
            <v>0</v>
          </cell>
          <cell r="CU1418">
            <v>0</v>
          </cell>
        </row>
        <row r="1419">
          <cell r="CF1419" t="str">
            <v>Galle</v>
          </cell>
          <cell r="CG1419">
            <v>31.57303227367526</v>
          </cell>
          <cell r="CH1419">
            <v>0</v>
          </cell>
          <cell r="CI1419">
            <v>0</v>
          </cell>
          <cell r="CJ1419">
            <v>6.5061125814429825</v>
          </cell>
          <cell r="CK1419">
            <v>0</v>
          </cell>
          <cell r="CL1419">
            <v>0</v>
          </cell>
          <cell r="CM1419">
            <v>35.172847660668864</v>
          </cell>
          <cell r="CN1419">
            <v>0</v>
          </cell>
          <cell r="CO1419">
            <v>0</v>
          </cell>
          <cell r="CP1419">
            <v>26.748007484212895</v>
          </cell>
          <cell r="CQ1419">
            <v>0</v>
          </cell>
          <cell r="CR1419">
            <v>0</v>
          </cell>
          <cell r="CS1419">
            <v>0</v>
          </cell>
          <cell r="CT1419">
            <v>0</v>
          </cell>
          <cell r="CU1419">
            <v>0</v>
          </cell>
        </row>
        <row r="1420">
          <cell r="CF1420" t="str">
            <v>Kohuwela</v>
          </cell>
          <cell r="CG1420">
            <v>32.770249350504024</v>
          </cell>
          <cell r="CH1420">
            <v>0</v>
          </cell>
          <cell r="CI1420">
            <v>0</v>
          </cell>
          <cell r="CJ1420">
            <v>4.6040834641111843</v>
          </cell>
          <cell r="CK1420">
            <v>0</v>
          </cell>
          <cell r="CL1420">
            <v>0</v>
          </cell>
          <cell r="CM1420">
            <v>42.168823915609806</v>
          </cell>
          <cell r="CN1420">
            <v>0</v>
          </cell>
          <cell r="CO1420">
            <v>0</v>
          </cell>
          <cell r="CP1420">
            <v>20.456843269774989</v>
          </cell>
          <cell r="CQ1420">
            <v>0</v>
          </cell>
          <cell r="CR1420">
            <v>0</v>
          </cell>
          <cell r="CS1420">
            <v>0</v>
          </cell>
          <cell r="CT1420">
            <v>0</v>
          </cell>
          <cell r="CU1420">
            <v>0</v>
          </cell>
        </row>
        <row r="1421">
          <cell r="CF1421" t="str">
            <v>Mt lavinia-STC</v>
          </cell>
          <cell r="CG1421">
            <v>20.194300707326914</v>
          </cell>
          <cell r="CH1421">
            <v>0</v>
          </cell>
          <cell r="CI1421">
            <v>0</v>
          </cell>
          <cell r="CJ1421">
            <v>8.0581950830635343</v>
          </cell>
          <cell r="CK1421">
            <v>0</v>
          </cell>
          <cell r="CL1421">
            <v>0</v>
          </cell>
          <cell r="CM1421">
            <v>47.409221895926642</v>
          </cell>
          <cell r="CN1421">
            <v>0</v>
          </cell>
          <cell r="CO1421">
            <v>0</v>
          </cell>
          <cell r="CP1421">
            <v>24.338282313682914</v>
          </cell>
          <cell r="CQ1421">
            <v>0</v>
          </cell>
          <cell r="CR1421">
            <v>0</v>
          </cell>
          <cell r="CS1421">
            <v>0</v>
          </cell>
          <cell r="CT1421">
            <v>0</v>
          </cell>
          <cell r="CU1421">
            <v>0</v>
          </cell>
        </row>
        <row r="1422">
          <cell r="CF1422" t="str">
            <v>Mini Mart</v>
          </cell>
          <cell r="CG1422">
            <v>1.6678831250620099</v>
          </cell>
          <cell r="CH1422">
            <v>31.805556160666011</v>
          </cell>
          <cell r="CI1422">
            <v>94.756000754595576</v>
          </cell>
          <cell r="CJ1422">
            <v>6.6906060363310873</v>
          </cell>
          <cell r="CK1422">
            <v>9.2842512082008746</v>
          </cell>
          <cell r="CL1422">
            <v>27.935965041303422</v>
          </cell>
          <cell r="CM1422">
            <v>78.065841096826787</v>
          </cell>
          <cell r="CN1422">
            <v>45.31629005666656</v>
          </cell>
          <cell r="CO1422">
            <v>-72.268826506335742</v>
          </cell>
          <cell r="CP1422">
            <v>13.575733494491116</v>
          </cell>
          <cell r="CQ1422">
            <v>13.593902574466554</v>
          </cell>
          <cell r="CR1422">
            <v>0.13365609968078745</v>
          </cell>
          <cell r="CS1422">
            <v>-6.3752711020283417E-5</v>
          </cell>
          <cell r="CT1422">
            <v>0</v>
          </cell>
          <cell r="CU1422">
            <v>0</v>
          </cell>
        </row>
        <row r="1423">
          <cell r="CF1423" t="str">
            <v>Express Maligawatte</v>
          </cell>
          <cell r="CG1423">
            <v>31.743229561802206</v>
          </cell>
          <cell r="CH1423">
            <v>37.329185837578841</v>
          </cell>
          <cell r="CI1423">
            <v>14.964045291749493</v>
          </cell>
          <cell r="CJ1423">
            <v>12.533606895774948</v>
          </cell>
          <cell r="CK1423">
            <v>7.5931469267654581</v>
          </cell>
          <cell r="CL1423">
            <v>-65.064722395856961</v>
          </cell>
          <cell r="CM1423">
            <v>45.46458517689598</v>
          </cell>
          <cell r="CN1423">
            <v>45.555346386045272</v>
          </cell>
          <cell r="CO1423">
            <v>0.19923283730555627</v>
          </cell>
          <cell r="CP1423">
            <v>10.258578365526869</v>
          </cell>
          <cell r="CQ1423">
            <v>9.5223208496104181</v>
          </cell>
          <cell r="CR1423">
            <v>-7.7319124984805905</v>
          </cell>
          <cell r="CS1423">
            <v>0</v>
          </cell>
          <cell r="CT1423">
            <v>0</v>
          </cell>
          <cell r="CU1423">
            <v>0</v>
          </cell>
        </row>
        <row r="1424">
          <cell r="CF1424" t="str">
            <v>Express Peradeniya</v>
          </cell>
          <cell r="CG1424">
            <v>32.582360132095829</v>
          </cell>
          <cell r="CH1424">
            <v>41.12151729594634</v>
          </cell>
          <cell r="CI1424">
            <v>20.765666554556539</v>
          </cell>
          <cell r="CJ1424">
            <v>10.617633792715008</v>
          </cell>
          <cell r="CK1424">
            <v>8.2816563181890839</v>
          </cell>
          <cell r="CL1424">
            <v>-28.206645926556906</v>
          </cell>
          <cell r="CM1424">
            <v>47.813795230261448</v>
          </cell>
          <cell r="CN1424">
            <v>40.451450743868257</v>
          </cell>
          <cell r="CO1424">
            <v>-18.200446092799762</v>
          </cell>
          <cell r="CP1424">
            <v>8.9862108449277205</v>
          </cell>
          <cell r="CQ1424">
            <v>10.145375641996319</v>
          </cell>
          <cell r="CR1424">
            <v>11.425548328346649</v>
          </cell>
          <cell r="CS1424">
            <v>0</v>
          </cell>
          <cell r="CT1424">
            <v>0</v>
          </cell>
          <cell r="CU1424">
            <v>0</v>
          </cell>
        </row>
        <row r="1425">
          <cell r="CF1425" t="str">
            <v>Express Alexandra Place</v>
          </cell>
          <cell r="CG1425">
            <v>41.042990734682789</v>
          </cell>
          <cell r="CH1425">
            <v>0</v>
          </cell>
          <cell r="CI1425">
            <v>0</v>
          </cell>
          <cell r="CJ1425">
            <v>10.26875884738412</v>
          </cell>
          <cell r="CK1425">
            <v>0</v>
          </cell>
          <cell r="CL1425">
            <v>0</v>
          </cell>
          <cell r="CM1425">
            <v>39.926729740296345</v>
          </cell>
          <cell r="CN1425">
            <v>0</v>
          </cell>
          <cell r="CO1425">
            <v>0</v>
          </cell>
          <cell r="CP1425">
            <v>8.7615206776367458</v>
          </cell>
          <cell r="CQ1425">
            <v>0</v>
          </cell>
          <cell r="CR1425">
            <v>0</v>
          </cell>
          <cell r="CS1425">
            <v>0</v>
          </cell>
          <cell r="CT1425">
            <v>0</v>
          </cell>
          <cell r="CU1425">
            <v>0</v>
          </cell>
        </row>
        <row r="1426">
          <cell r="CF1426" t="str">
            <v>Express Boralla</v>
          </cell>
          <cell r="CG1426">
            <v>36.47185330912523</v>
          </cell>
          <cell r="CH1426">
            <v>0</v>
          </cell>
          <cell r="CI1426">
            <v>0</v>
          </cell>
          <cell r="CJ1426">
            <v>14.463136247905256</v>
          </cell>
          <cell r="CK1426">
            <v>0</v>
          </cell>
          <cell r="CL1426">
            <v>0</v>
          </cell>
          <cell r="CM1426">
            <v>42.231530520111782</v>
          </cell>
          <cell r="CN1426">
            <v>0</v>
          </cell>
          <cell r="CO1426">
            <v>0</v>
          </cell>
          <cell r="CP1426">
            <v>6.8334799228577339</v>
          </cell>
          <cell r="CQ1426">
            <v>0</v>
          </cell>
          <cell r="CR1426">
            <v>0</v>
          </cell>
          <cell r="CS1426">
            <v>0</v>
          </cell>
          <cell r="CT1426">
            <v>0</v>
          </cell>
          <cell r="CU1426">
            <v>0</v>
          </cell>
        </row>
        <row r="1427">
          <cell r="CF1427" t="str">
            <v>Express Havelock Road</v>
          </cell>
          <cell r="CG1427">
            <v>40.086668260504304</v>
          </cell>
          <cell r="CH1427">
            <v>0</v>
          </cell>
          <cell r="CI1427">
            <v>0</v>
          </cell>
          <cell r="CJ1427">
            <v>12.419572415211622</v>
          </cell>
          <cell r="CK1427">
            <v>0</v>
          </cell>
          <cell r="CL1427">
            <v>0</v>
          </cell>
          <cell r="CM1427">
            <v>41.247737796791043</v>
          </cell>
          <cell r="CN1427">
            <v>0</v>
          </cell>
          <cell r="CO1427">
            <v>0</v>
          </cell>
          <cell r="CP1427">
            <v>6.2460215274930304</v>
          </cell>
          <cell r="CQ1427">
            <v>0</v>
          </cell>
          <cell r="CR1427">
            <v>0</v>
          </cell>
          <cell r="CS1427">
            <v>0</v>
          </cell>
          <cell r="CT1427">
            <v>0</v>
          </cell>
          <cell r="CU1427">
            <v>0</v>
          </cell>
        </row>
        <row r="1428">
          <cell r="CF1428" t="str">
            <v>Express Maradana</v>
          </cell>
          <cell r="CG1428">
            <v>20.131092743864652</v>
          </cell>
          <cell r="CH1428">
            <v>0</v>
          </cell>
          <cell r="CI1428">
            <v>0</v>
          </cell>
          <cell r="CJ1428">
            <v>34.758421047309071</v>
          </cell>
          <cell r="CK1428">
            <v>0</v>
          </cell>
          <cell r="CL1428">
            <v>0</v>
          </cell>
          <cell r="CM1428">
            <v>23.700983544540524</v>
          </cell>
          <cell r="CN1428">
            <v>0</v>
          </cell>
          <cell r="CO1428">
            <v>0</v>
          </cell>
          <cell r="CP1428">
            <v>21.409502664285753</v>
          </cell>
          <cell r="CQ1428">
            <v>0</v>
          </cell>
          <cell r="CR1428">
            <v>0</v>
          </cell>
          <cell r="CS1428">
            <v>0</v>
          </cell>
          <cell r="CT1428">
            <v>0</v>
          </cell>
          <cell r="CU1428">
            <v>0</v>
          </cell>
        </row>
        <row r="1429">
          <cell r="CF1429" t="str">
            <v xml:space="preserve">Food City </v>
          </cell>
          <cell r="CG1429">
            <v>27.576716260862906</v>
          </cell>
          <cell r="CH1429">
            <v>29.214657835426173</v>
          </cell>
          <cell r="CI1429">
            <v>5.6065745619552416</v>
          </cell>
          <cell r="CJ1429">
            <v>3.8188335687932033</v>
          </cell>
          <cell r="CK1429">
            <v>3.9252276438586349</v>
          </cell>
          <cell r="CL1429">
            <v>2.7105198658196152</v>
          </cell>
          <cell r="CM1429">
            <v>36.588846754612035</v>
          </cell>
          <cell r="CN1429">
            <v>35.852029362251429</v>
          </cell>
          <cell r="CO1429">
            <v>-2.0551623031314397</v>
          </cell>
          <cell r="CP1429">
            <v>19.730002173638116</v>
          </cell>
          <cell r="CQ1429">
            <v>17.176116511930253</v>
          </cell>
          <cell r="CR1429">
            <v>-14.868818920353592</v>
          </cell>
          <cell r="CS1429">
            <v>12.285601242093721</v>
          </cell>
          <cell r="CT1429">
            <v>13.831968646533552</v>
          </cell>
          <cell r="CU1429">
            <v>11.17966244687352</v>
          </cell>
        </row>
        <row r="1430">
          <cell r="CE1430">
            <v>33</v>
          </cell>
          <cell r="CT1430" t="str">
            <v>Appendix II</v>
          </cell>
        </row>
        <row r="1431">
          <cell r="CE1431" t="str">
            <v>CARGILLS ( CEYLON ) LTD</v>
          </cell>
        </row>
        <row r="1433">
          <cell r="CE1433" t="str">
            <v xml:space="preserve"> Composition of Direct Expenses by Profit Centres/Divisions  -Twelve  months ended 31st March 2004 </v>
          </cell>
        </row>
        <row r="1434">
          <cell r="CF1434" t="str">
            <v>YTD V BUD</v>
          </cell>
          <cell r="CU1434">
            <v>38154.357810300928</v>
          </cell>
        </row>
        <row r="1435">
          <cell r="CE1435" t="str">
            <v>Profit Centre</v>
          </cell>
          <cell r="CG1435" t="str">
            <v>Staff Related</v>
          </cell>
          <cell r="CJ1435" t="str">
            <v>Administration</v>
          </cell>
          <cell r="CM1435" t="str">
            <v>Establishment</v>
          </cell>
          <cell r="CP1435" t="str">
            <v>Selling &amp; Distribution</v>
          </cell>
          <cell r="CS1435" t="str">
            <v>D&amp;A and Finance</v>
          </cell>
        </row>
        <row r="1436">
          <cell r="CG1436">
            <v>38047</v>
          </cell>
          <cell r="CH1436" t="str">
            <v>Budget</v>
          </cell>
          <cell r="CI1436" t="str">
            <v>Var %</v>
          </cell>
          <cell r="CJ1436">
            <v>38047</v>
          </cell>
          <cell r="CK1436" t="str">
            <v>Budget</v>
          </cell>
          <cell r="CL1436" t="str">
            <v>Var %</v>
          </cell>
          <cell r="CM1436">
            <v>38047</v>
          </cell>
          <cell r="CN1436" t="str">
            <v>Budget</v>
          </cell>
          <cell r="CO1436" t="str">
            <v>Var %</v>
          </cell>
          <cell r="CP1436">
            <v>38047</v>
          </cell>
          <cell r="CQ1436" t="str">
            <v>Budget</v>
          </cell>
          <cell r="CR1436" t="str">
            <v>Var %</v>
          </cell>
          <cell r="CS1436">
            <v>38047</v>
          </cell>
          <cell r="CT1436" t="str">
            <v>Budget</v>
          </cell>
          <cell r="CU1436" t="str">
            <v>Var %</v>
          </cell>
        </row>
        <row r="1437">
          <cell r="CF1437" t="str">
            <v>Department Store</v>
          </cell>
          <cell r="CG1437">
            <v>95.595841199752869</v>
          </cell>
          <cell r="CH1437">
            <v>91.060686184853566</v>
          </cell>
          <cell r="CI1437">
            <v>-4.9803655176646915</v>
          </cell>
          <cell r="CJ1437">
            <v>0.92862930689007694</v>
          </cell>
          <cell r="CK1437">
            <v>0.89082579480290469</v>
          </cell>
          <cell r="CL1437">
            <v>-4.2436481192752487</v>
          </cell>
          <cell r="CM1437">
            <v>0.2314956376041418</v>
          </cell>
          <cell r="CN1437">
            <v>1.5175709067501493</v>
          </cell>
          <cell r="CO1437">
            <v>84.745646046952388</v>
          </cell>
          <cell r="CP1437">
            <v>3.2337174247698788</v>
          </cell>
          <cell r="CQ1437">
            <v>6.5100668324278939</v>
          </cell>
          <cell r="CR1437">
            <v>50.327431222946728</v>
          </cell>
          <cell r="CS1437">
            <v>1.0316430983009073E-2</v>
          </cell>
          <cell r="CT1437">
            <v>2.0850281165485526E-2</v>
          </cell>
          <cell r="CU1437">
            <v>50.52138193663135</v>
          </cell>
        </row>
        <row r="1438">
          <cell r="CF1438" t="str">
            <v>Books and Stationery</v>
          </cell>
          <cell r="CG1438">
            <v>56.182611302692095</v>
          </cell>
          <cell r="CH1438">
            <v>50.738336293857053</v>
          </cell>
          <cell r="CI1438">
            <v>-10.730101549455389</v>
          </cell>
          <cell r="CJ1438">
            <v>6.0364697100425966</v>
          </cell>
          <cell r="CK1438">
            <v>6.6655328975474299</v>
          </cell>
          <cell r="CL1438">
            <v>9.437552813463661</v>
          </cell>
          <cell r="CM1438">
            <v>35.074373988264668</v>
          </cell>
          <cell r="CN1438">
            <v>36.084968289797359</v>
          </cell>
          <cell r="CO1438">
            <v>2.8005963408825449</v>
          </cell>
          <cell r="CP1438">
            <v>2.8550794684637495</v>
          </cell>
          <cell r="CQ1438">
            <v>3.2188172433740156</v>
          </cell>
          <cell r="CR1438">
            <v>11.300354987815039</v>
          </cell>
          <cell r="CS1438">
            <v>-0.14853446946312157</v>
          </cell>
          <cell r="CT1438">
            <v>3.2923452754241516</v>
          </cell>
          <cell r="CU1438">
            <v>104.51150948753349</v>
          </cell>
        </row>
        <row r="1439">
          <cell r="CF1439" t="str">
            <v>Hatton Liquor</v>
          </cell>
          <cell r="CG1439">
            <v>16.904835379238108</v>
          </cell>
          <cell r="CH1439">
            <v>16.620769492085689</v>
          </cell>
          <cell r="CI1439">
            <v>-1.7091018998108525</v>
          </cell>
          <cell r="CJ1439">
            <v>4.3577349029052312</v>
          </cell>
          <cell r="CK1439">
            <v>4.4288808728120621</v>
          </cell>
          <cell r="CL1439">
            <v>1.6064096540410588</v>
          </cell>
          <cell r="CM1439">
            <v>4.2175519026368899</v>
          </cell>
          <cell r="CN1439">
            <v>4.4210395954718003</v>
          </cell>
          <cell r="CO1439">
            <v>4.6027113858769839</v>
          </cell>
          <cell r="CP1439">
            <v>74.519877815219786</v>
          </cell>
          <cell r="CQ1439">
            <v>74.529310039630445</v>
          </cell>
          <cell r="CR1439">
            <v>1.2655724849248911E-2</v>
          </cell>
          <cell r="CS1439">
            <v>0</v>
          </cell>
          <cell r="CT1439">
            <v>0</v>
          </cell>
          <cell r="CU1439">
            <v>0</v>
          </cell>
        </row>
        <row r="1440">
          <cell r="CF1440" t="str">
            <v>Retail Division</v>
          </cell>
          <cell r="CG1440">
            <v>27.801677552771249</v>
          </cell>
          <cell r="CH1440">
            <v>29.396419000146306</v>
          </cell>
          <cell r="CI1440">
            <v>5.4249514111467789</v>
          </cell>
          <cell r="CJ1440">
            <v>3.8324531446809016</v>
          </cell>
          <cell r="CK1440">
            <v>3.9448150250819576</v>
          </cell>
          <cell r="CL1440">
            <v>2.8483434504947813</v>
          </cell>
          <cell r="CM1440">
            <v>36.485524812722232</v>
          </cell>
          <cell r="CN1440">
            <v>35.76273158995123</v>
          </cell>
          <cell r="CO1440">
            <v>-2.0210794607593576</v>
          </cell>
          <cell r="CP1440">
            <v>19.712221252540932</v>
          </cell>
          <cell r="CQ1440">
            <v>17.182993825046058</v>
          </cell>
          <cell r="CR1440">
            <v>-14.71936411807501</v>
          </cell>
          <cell r="CS1440">
            <v>12.168123237284664</v>
          </cell>
          <cell r="CT1440">
            <v>13.713040559774486</v>
          </cell>
          <cell r="CU1440">
            <v>11.266045015732294</v>
          </cell>
        </row>
        <row r="1441">
          <cell r="CF1441" t="str">
            <v>Commercial Division</v>
          </cell>
          <cell r="CG1441">
            <v>44.790931339529763</v>
          </cell>
          <cell r="CH1441">
            <v>55.410741916816477</v>
          </cell>
          <cell r="CI1441">
            <v>19.165617008394058</v>
          </cell>
          <cell r="CJ1441">
            <v>17.701950895118578</v>
          </cell>
          <cell r="CK1441">
            <v>16.96564884976091</v>
          </cell>
          <cell r="CL1441">
            <v>-4.3399580639560655</v>
          </cell>
          <cell r="CM1441">
            <v>7.8470399369216155</v>
          </cell>
          <cell r="CN1441">
            <v>9.2665364109597697</v>
          </cell>
          <cell r="CO1441">
            <v>15.318522596633619</v>
          </cell>
          <cell r="CP1441">
            <v>26.181539663158588</v>
          </cell>
          <cell r="CQ1441">
            <v>14.083846692368704</v>
          </cell>
          <cell r="CR1441">
            <v>-85.89764739021895</v>
          </cell>
          <cell r="CS1441">
            <v>3.4785381652714746</v>
          </cell>
          <cell r="CT1441">
            <v>4.2732261300941525</v>
          </cell>
          <cell r="CU1441">
            <v>18.59690876703425</v>
          </cell>
        </row>
        <row r="1442">
          <cell r="CF1442" t="str">
            <v>Hampers</v>
          </cell>
          <cell r="CG1442">
            <v>17.044483868241276</v>
          </cell>
          <cell r="CH1442">
            <v>0.92407273953088209</v>
          </cell>
          <cell r="CI1442">
            <v>-1744.495908070412</v>
          </cell>
          <cell r="CJ1442">
            <v>6.114956938174462</v>
          </cell>
          <cell r="CK1442">
            <v>3.9094506309042134</v>
          </cell>
          <cell r="CL1442">
            <v>-56.414737401611305</v>
          </cell>
          <cell r="CM1442">
            <v>0.34736831016321273</v>
          </cell>
          <cell r="CN1442">
            <v>0.29034320789140217</v>
          </cell>
          <cell r="CO1442">
            <v>-19.64058421960393</v>
          </cell>
          <cell r="CP1442">
            <v>76.49319088342105</v>
          </cell>
          <cell r="CQ1442">
            <v>94.876133421673501</v>
          </cell>
          <cell r="CR1442">
            <v>19.375729042993495</v>
          </cell>
          <cell r="CS1442">
            <v>0</v>
          </cell>
          <cell r="CT1442">
            <v>0</v>
          </cell>
          <cell r="CU1442">
            <v>0</v>
          </cell>
        </row>
        <row r="1443">
          <cell r="CF1443" t="str">
            <v>Wines &amp; Spirits</v>
          </cell>
          <cell r="CG1443">
            <v>51.443937664970022</v>
          </cell>
          <cell r="CH1443">
            <v>35.075934556032884</v>
          </cell>
          <cell r="CI1443">
            <v>-46.664481833804551</v>
          </cell>
          <cell r="CJ1443">
            <v>18.556901914343232</v>
          </cell>
          <cell r="CK1443">
            <v>23.387391497908936</v>
          </cell>
          <cell r="CL1443">
            <v>20.654246900504479</v>
          </cell>
          <cell r="CM1443">
            <v>1.2329771184429668</v>
          </cell>
          <cell r="CN1443">
            <v>0.71449816252098008</v>
          </cell>
          <cell r="CO1443">
            <v>-72.56547086036241</v>
          </cell>
          <cell r="CP1443">
            <v>55.779171290078807</v>
          </cell>
          <cell r="CQ1443">
            <v>40.004600068781109</v>
          </cell>
          <cell r="CR1443">
            <v>-39.431893317708479</v>
          </cell>
          <cell r="CS1443">
            <v>-27.012987987835036</v>
          </cell>
          <cell r="CT1443">
            <v>0.81757571475609947</v>
          </cell>
          <cell r="CU1443">
            <v>3404.0350270058589</v>
          </cell>
        </row>
        <row r="1444">
          <cell r="CF1444" t="str">
            <v xml:space="preserve">Total </v>
          </cell>
          <cell r="CG1444">
            <v>28.608669127148989</v>
          </cell>
          <cell r="CH1444">
            <v>30.206625804750203</v>
          </cell>
          <cell r="CI1444">
            <v>5.2900866449966895</v>
          </cell>
          <cell r="CJ1444">
            <v>4.4789873114082539</v>
          </cell>
          <cell r="CK1444">
            <v>4.5253362454517925</v>
          </cell>
          <cell r="CL1444">
            <v>1.0242097278433564</v>
          </cell>
          <cell r="CM1444">
            <v>35.035315908805245</v>
          </cell>
          <cell r="CN1444">
            <v>34.5328231203057</v>
          </cell>
          <cell r="CO1444">
            <v>-1.4551164460228372</v>
          </cell>
          <cell r="CP1444">
            <v>20.391283740615961</v>
          </cell>
          <cell r="CQ1444">
            <v>17.466434220511161</v>
          </cell>
          <cell r="CR1444">
            <v>-16.745544529461512</v>
          </cell>
          <cell r="CS1444">
            <v>11.48574391202153</v>
          </cell>
          <cell r="CT1444">
            <v>13.268780608981178</v>
          </cell>
          <cell r="CU1444">
            <v>13.437833886203324</v>
          </cell>
        </row>
        <row r="1459">
          <cell r="CE1459">
            <v>34</v>
          </cell>
          <cell r="CT1459" t="str">
            <v>Appendix III</v>
          </cell>
        </row>
        <row r="1460">
          <cell r="CE1460" t="str">
            <v>CARGILLS ( CEYLON ) LTD</v>
          </cell>
        </row>
        <row r="1462">
          <cell r="CE1462" t="str">
            <v xml:space="preserve"> Margin Analysis by Profit Centres/Divisions  -Twelve  months ended 31st March 2004 </v>
          </cell>
        </row>
        <row r="1463">
          <cell r="CF1463" t="str">
            <v>YTD V BUD</v>
          </cell>
          <cell r="CU1463">
            <v>38154.357810300928</v>
          </cell>
        </row>
        <row r="1464">
          <cell r="CE1464" t="str">
            <v>Profit Centre</v>
          </cell>
          <cell r="CG1464" t="str">
            <v>Staff Related</v>
          </cell>
          <cell r="CJ1464" t="str">
            <v>Administration</v>
          </cell>
          <cell r="CM1464" t="str">
            <v>Establishment</v>
          </cell>
          <cell r="CP1464" t="str">
            <v>Selling &amp; Distribution</v>
          </cell>
          <cell r="CS1464" t="str">
            <v>D&amp;A and Finance</v>
          </cell>
        </row>
        <row r="1465">
          <cell r="CG1465">
            <v>38047</v>
          </cell>
          <cell r="CH1465" t="str">
            <v>Budget</v>
          </cell>
          <cell r="CI1465" t="str">
            <v>Var %</v>
          </cell>
          <cell r="CJ1465">
            <v>38047</v>
          </cell>
          <cell r="CK1465" t="str">
            <v>Budget</v>
          </cell>
          <cell r="CL1465" t="str">
            <v>Var %</v>
          </cell>
          <cell r="CM1465">
            <v>38047</v>
          </cell>
          <cell r="CN1465" t="str">
            <v>Budget</v>
          </cell>
          <cell r="CO1465" t="str">
            <v>Var %</v>
          </cell>
          <cell r="CP1465">
            <v>38047</v>
          </cell>
          <cell r="CQ1465" t="str">
            <v>Budget</v>
          </cell>
          <cell r="CR1465" t="str">
            <v>Var %</v>
          </cell>
          <cell r="CS1465">
            <v>38047</v>
          </cell>
          <cell r="CT1465" t="str">
            <v>Budget</v>
          </cell>
          <cell r="CU1465" t="str">
            <v>Var %</v>
          </cell>
        </row>
        <row r="1466">
          <cell r="CF1466" t="str">
            <v>Staples Street</v>
          </cell>
          <cell r="CG1466">
            <v>2.1101922305580061</v>
          </cell>
          <cell r="CH1466">
            <v>1.9440879521347685</v>
          </cell>
          <cell r="CI1466">
            <v>-8.5440722082990863</v>
          </cell>
          <cell r="CJ1466">
            <v>0.30299352118990402</v>
          </cell>
          <cell r="CK1466">
            <v>0.29790879496709949</v>
          </cell>
          <cell r="CL1466">
            <v>-1.70680634768305</v>
          </cell>
          <cell r="CM1466">
            <v>3.4244935409085597</v>
          </cell>
          <cell r="CN1466">
            <v>3.4492605690036449</v>
          </cell>
          <cell r="CO1466">
            <v>0.718038768008743</v>
          </cell>
          <cell r="CP1466">
            <v>2.4886262617590496</v>
          </cell>
          <cell r="CQ1466">
            <v>2.2306363198292756</v>
          </cell>
          <cell r="CR1466">
            <v>-11.565755458940952</v>
          </cell>
          <cell r="CS1466">
            <v>0.91415552664169653</v>
          </cell>
          <cell r="CT1466">
            <v>0.87548469700240139</v>
          </cell>
          <cell r="CU1466">
            <v>-4.4170765944512063</v>
          </cell>
        </row>
        <row r="1467">
          <cell r="CF1467" t="str">
            <v>Kandy</v>
          </cell>
          <cell r="CG1467">
            <v>1.6966517276711908</v>
          </cell>
          <cell r="CH1467">
            <v>1.8376264259938428</v>
          </cell>
          <cell r="CI1467">
            <v>7.6715645970539841</v>
          </cell>
          <cell r="CJ1467">
            <v>0.19815545548188446</v>
          </cell>
          <cell r="CK1467">
            <v>0.25357075798123202</v>
          </cell>
          <cell r="CL1467">
            <v>21.853979907040035</v>
          </cell>
          <cell r="CM1467">
            <v>2.1642052043540585</v>
          </cell>
          <cell r="CN1467">
            <v>2.334103144681885</v>
          </cell>
          <cell r="CO1467">
            <v>7.2789388384540246</v>
          </cell>
          <cell r="CP1467">
            <v>1.6217447715075686</v>
          </cell>
          <cell r="CQ1467">
            <v>1.483236057550865</v>
          </cell>
          <cell r="CR1467">
            <v>-9.3382785060801883</v>
          </cell>
          <cell r="CS1467">
            <v>0.99767854729925531</v>
          </cell>
          <cell r="CT1467">
            <v>1.0055800885043111</v>
          </cell>
          <cell r="CU1467">
            <v>0.78576945738936466</v>
          </cell>
        </row>
        <row r="1468">
          <cell r="CF1468" t="str">
            <v>Mount Lavinia</v>
          </cell>
          <cell r="CG1468">
            <v>2.1716442642783931</v>
          </cell>
          <cell r="CH1468">
            <v>2.5569809106416521</v>
          </cell>
          <cell r="CI1468">
            <v>15.069985261116484</v>
          </cell>
          <cell r="CJ1468">
            <v>0.27220924374768424</v>
          </cell>
          <cell r="CK1468">
            <v>0.32647675765401574</v>
          </cell>
          <cell r="CL1468">
            <v>16.622167622677011</v>
          </cell>
          <cell r="CM1468">
            <v>2.215710966300604</v>
          </cell>
          <cell r="CN1468">
            <v>2.5498117559846785</v>
          </cell>
          <cell r="CO1468">
            <v>13.102959028246083</v>
          </cell>
          <cell r="CP1468">
            <v>1.6332217346332789</v>
          </cell>
          <cell r="CQ1468">
            <v>1.2972992075749821</v>
          </cell>
          <cell r="CR1468">
            <v>-25.893989998362116</v>
          </cell>
          <cell r="CS1468">
            <v>0.33013519308476491</v>
          </cell>
          <cell r="CT1468">
            <v>0.39228282725630248</v>
          </cell>
          <cell r="CU1468">
            <v>15.842557933572937</v>
          </cell>
        </row>
        <row r="1469">
          <cell r="CF1469" t="str">
            <v>Wellawatte</v>
          </cell>
          <cell r="CG1469">
            <v>4.2935607128562445</v>
          </cell>
          <cell r="CH1469">
            <v>3.4682674592943705</v>
          </cell>
          <cell r="CI1469">
            <v>-23.795548159073707</v>
          </cell>
          <cell r="CJ1469">
            <v>0.69539865553855162</v>
          </cell>
          <cell r="CK1469">
            <v>0.49487063666092879</v>
          </cell>
          <cell r="CL1469">
            <v>-40.521300724297951</v>
          </cell>
          <cell r="CM1469">
            <v>6.906475002389004</v>
          </cell>
          <cell r="CN1469">
            <v>3.7172083795743385</v>
          </cell>
          <cell r="CO1469">
            <v>-85.797359124103551</v>
          </cell>
          <cell r="CP1469">
            <v>2.3976618503659948</v>
          </cell>
          <cell r="CQ1469">
            <v>1.9369688303609967</v>
          </cell>
          <cell r="CR1469">
            <v>-23.784224752813284</v>
          </cell>
          <cell r="CS1469">
            <v>0.30969873417711558</v>
          </cell>
          <cell r="CT1469">
            <v>0.33493550666337513</v>
          </cell>
          <cell r="CU1469">
            <v>7.5348155045334195</v>
          </cell>
        </row>
        <row r="1470">
          <cell r="CF1470" t="str">
            <v>Bambalapitiya</v>
          </cell>
          <cell r="CG1470">
            <v>2.9380000463257612</v>
          </cell>
          <cell r="CH1470">
            <v>2.6572877786556677</v>
          </cell>
          <cell r="CI1470">
            <v>-10.563864024246065</v>
          </cell>
          <cell r="CJ1470">
            <v>0.3939382392132062</v>
          </cell>
          <cell r="CK1470">
            <v>0.44863458105032772</v>
          </cell>
          <cell r="CL1470">
            <v>12.191735578891031</v>
          </cell>
          <cell r="CM1470">
            <v>5.825580344453436</v>
          </cell>
          <cell r="CN1470">
            <v>5.2754689601420175</v>
          </cell>
          <cell r="CO1470">
            <v>-10.427724785563127</v>
          </cell>
          <cell r="CP1470">
            <v>2.0011511450096329</v>
          </cell>
          <cell r="CQ1470">
            <v>1.879328798866537</v>
          </cell>
          <cell r="CR1470">
            <v>-6.4822263255141666</v>
          </cell>
          <cell r="CS1470">
            <v>0.37253962451529998</v>
          </cell>
          <cell r="CT1470">
            <v>0.31332460755672831</v>
          </cell>
          <cell r="CU1470">
            <v>-18.89893596941652</v>
          </cell>
        </row>
        <row r="1471">
          <cell r="CF1471" t="str">
            <v>Nuwara Eliya</v>
          </cell>
          <cell r="CG1471">
            <v>2.7395769414140085</v>
          </cell>
          <cell r="CH1471">
            <v>3.7986648209658953</v>
          </cell>
          <cell r="CI1471">
            <v>27.880529856345422</v>
          </cell>
          <cell r="CJ1471">
            <v>0.54454081422822942</v>
          </cell>
          <cell r="CK1471">
            <v>0.65971764349803164</v>
          </cell>
          <cell r="CL1471">
            <v>17.458503710632662</v>
          </cell>
          <cell r="CM1471">
            <v>3.8070872208756747</v>
          </cell>
          <cell r="CN1471">
            <v>4.1260355133414697</v>
          </cell>
          <cell r="CO1471">
            <v>7.7301392931418249</v>
          </cell>
          <cell r="CP1471">
            <v>2.1018644215283855</v>
          </cell>
          <cell r="CQ1471">
            <v>1.9388231295525666</v>
          </cell>
          <cell r="CR1471">
            <v>-8.4092916723891591</v>
          </cell>
          <cell r="CS1471">
            <v>1.85769313738401</v>
          </cell>
          <cell r="CT1471">
            <v>1.9047969906507103</v>
          </cell>
          <cell r="CU1471">
            <v>2.4729067453329421</v>
          </cell>
        </row>
        <row r="1472">
          <cell r="CF1472" t="str">
            <v>Bandarawela</v>
          </cell>
          <cell r="CG1472">
            <v>1.3812223095186824</v>
          </cell>
          <cell r="CH1472">
            <v>1.4461466432808809</v>
          </cell>
          <cell r="CI1472">
            <v>4.4894709719689514</v>
          </cell>
          <cell r="CJ1472">
            <v>0.26211621101941945</v>
          </cell>
          <cell r="CK1472">
            <v>0.25351847323395993</v>
          </cell>
          <cell r="CL1472">
            <v>-3.3913654006290455</v>
          </cell>
          <cell r="CM1472">
            <v>1.5230416661897836</v>
          </cell>
          <cell r="CN1472">
            <v>1.4409009678743787</v>
          </cell>
          <cell r="CO1472">
            <v>-5.7006484239218143</v>
          </cell>
          <cell r="CP1472">
            <v>1.0484191657090323</v>
          </cell>
          <cell r="CQ1472">
            <v>0.77712433464314978</v>
          </cell>
          <cell r="CR1472">
            <v>-34.9100934010076</v>
          </cell>
          <cell r="CS1472">
            <v>0.21922554523603244</v>
          </cell>
          <cell r="CT1472">
            <v>0.20892551293785955</v>
          </cell>
          <cell r="CU1472">
            <v>-4.9300021588251006</v>
          </cell>
        </row>
        <row r="1473">
          <cell r="CF1473" t="str">
            <v>Maharagama</v>
          </cell>
          <cell r="CG1473">
            <v>2.7765406043353988</v>
          </cell>
          <cell r="CH1473">
            <v>2.9055378060139305</v>
          </cell>
          <cell r="CI1473">
            <v>4.439701366526057</v>
          </cell>
          <cell r="CJ1473">
            <v>0.32332782265597781</v>
          </cell>
          <cell r="CK1473">
            <v>0.36342929916878236</v>
          </cell>
          <cell r="CL1473">
            <v>11.034189209434317</v>
          </cell>
          <cell r="CM1473">
            <v>3.9571895524873302</v>
          </cell>
          <cell r="CN1473">
            <v>4.0128421832242429</v>
          </cell>
          <cell r="CO1473">
            <v>1.3868631806545877</v>
          </cell>
          <cell r="CP1473">
            <v>2.2398805358084073</v>
          </cell>
          <cell r="CQ1473">
            <v>2.0781926817073715</v>
          </cell>
          <cell r="CR1473">
            <v>-7.7802147762448399</v>
          </cell>
          <cell r="CS1473">
            <v>0.41836449134006237</v>
          </cell>
          <cell r="CT1473">
            <v>0.50398971638280821</v>
          </cell>
          <cell r="CU1473">
            <v>16.989478606287417</v>
          </cell>
        </row>
        <row r="1474">
          <cell r="CF1474" t="str">
            <v>Kiribathgoda</v>
          </cell>
          <cell r="CG1474">
            <v>3.5234308537308148</v>
          </cell>
          <cell r="CH1474">
            <v>3.3360994676764593</v>
          </cell>
          <cell r="CI1474">
            <v>-5.6152817944852487</v>
          </cell>
          <cell r="CJ1474">
            <v>0.43077689590589763</v>
          </cell>
          <cell r="CK1474">
            <v>0.37584139887294454</v>
          </cell>
          <cell r="CL1474">
            <v>-14.616670009661274</v>
          </cell>
          <cell r="CM1474">
            <v>3.0564387895186096</v>
          </cell>
          <cell r="CN1474">
            <v>2.9311600371156392</v>
          </cell>
          <cell r="CO1474">
            <v>-4.2740331751468918</v>
          </cell>
          <cell r="CP1474">
            <v>2.3718631295545447</v>
          </cell>
          <cell r="CQ1474">
            <v>2.089033954606919</v>
          </cell>
          <cell r="CR1474">
            <v>-13.53875432823417</v>
          </cell>
          <cell r="CS1474">
            <v>0.38474673123415543</v>
          </cell>
          <cell r="CT1474">
            <v>0.3383993874849397</v>
          </cell>
          <cell r="CU1474">
            <v>-13.696048356848282</v>
          </cell>
        </row>
        <row r="1475">
          <cell r="CF1475" t="str">
            <v>Nugegoda</v>
          </cell>
          <cell r="CG1475">
            <v>3.2521524619781075</v>
          </cell>
          <cell r="CH1475">
            <v>3.2383584199806603</v>
          </cell>
          <cell r="CI1475">
            <v>-0.42595785297692712</v>
          </cell>
          <cell r="CJ1475">
            <v>0.33369326923224674</v>
          </cell>
          <cell r="CK1475">
            <v>0.34143728385150013</v>
          </cell>
          <cell r="CL1475">
            <v>2.2680635611609024</v>
          </cell>
          <cell r="CM1475">
            <v>4.8373453636733919</v>
          </cell>
          <cell r="CN1475">
            <v>4.6548088938405874</v>
          </cell>
          <cell r="CO1475">
            <v>-3.9214600211480946</v>
          </cell>
          <cell r="CP1475">
            <v>2.5259458539279325</v>
          </cell>
          <cell r="CQ1475">
            <v>2.3664544134393428</v>
          </cell>
          <cell r="CR1475">
            <v>-6.7396793947443498</v>
          </cell>
          <cell r="CS1475">
            <v>0.68425680320150761</v>
          </cell>
          <cell r="CT1475">
            <v>0.66482525823106176</v>
          </cell>
          <cell r="CU1475">
            <v>-2.9228048618592606</v>
          </cell>
        </row>
        <row r="1476">
          <cell r="CF1476" t="str">
            <v>Fort</v>
          </cell>
          <cell r="CG1476">
            <v>2.6447797905334971</v>
          </cell>
          <cell r="CH1476">
            <v>2.215397794959852</v>
          </cell>
          <cell r="CI1476">
            <v>-19.381710885084026</v>
          </cell>
          <cell r="CJ1476">
            <v>0.25768660840477131</v>
          </cell>
          <cell r="CK1476">
            <v>0.29537682252756797</v>
          </cell>
          <cell r="CL1476">
            <v>12.760044542519571</v>
          </cell>
          <cell r="CM1476">
            <v>0.29045774670104096</v>
          </cell>
          <cell r="CN1476">
            <v>0.3248133975144582</v>
          </cell>
          <cell r="CO1476">
            <v>10.577042411524292</v>
          </cell>
          <cell r="CP1476">
            <v>1.5923815942168587</v>
          </cell>
          <cell r="CQ1476">
            <v>1.3223529793754536</v>
          </cell>
          <cell r="CR1476">
            <v>-20.420312810044059</v>
          </cell>
          <cell r="CS1476">
            <v>0.26046118192680762</v>
          </cell>
          <cell r="CT1476">
            <v>0.38687958248571769</v>
          </cell>
          <cell r="CU1476">
            <v>32.676420850815255</v>
          </cell>
        </row>
        <row r="1477">
          <cell r="CF1477" t="str">
            <v>Malabe</v>
          </cell>
          <cell r="CG1477">
            <v>2.9490247300346599</v>
          </cell>
          <cell r="CH1477">
            <v>3.4038099433629463</v>
          </cell>
          <cell r="CI1477">
            <v>13.36106365794798</v>
          </cell>
          <cell r="CJ1477">
            <v>0.41349017688125284</v>
          </cell>
          <cell r="CK1477">
            <v>0.47360558644951045</v>
          </cell>
          <cell r="CL1477">
            <v>12.693137768691908</v>
          </cell>
          <cell r="CM1477">
            <v>4.3386141123196271</v>
          </cell>
          <cell r="CN1477">
            <v>4.9389496565555921</v>
          </cell>
          <cell r="CO1477">
            <v>12.155125805729252</v>
          </cell>
          <cell r="CP1477">
            <v>2.3065736138581503</v>
          </cell>
          <cell r="CQ1477">
            <v>2.145157723102709</v>
          </cell>
          <cell r="CR1477">
            <v>-7.5246630593657642</v>
          </cell>
          <cell r="CS1477">
            <v>0.40413104721144938</v>
          </cell>
          <cell r="CT1477">
            <v>0.44921447063540082</v>
          </cell>
          <cell r="CU1477">
            <v>10.036057689811784</v>
          </cell>
        </row>
        <row r="1478">
          <cell r="CF1478" t="str">
            <v>Negombo</v>
          </cell>
          <cell r="CG1478">
            <v>2.2278698692943815</v>
          </cell>
          <cell r="CH1478">
            <v>2.8085794478496835</v>
          </cell>
          <cell r="CI1478">
            <v>20.676273872185007</v>
          </cell>
          <cell r="CJ1478">
            <v>0.29100403710624068</v>
          </cell>
          <cell r="CK1478">
            <v>0.3418696028093563</v>
          </cell>
          <cell r="CL1478">
            <v>14.87864533293439</v>
          </cell>
          <cell r="CM1478">
            <v>2.5318945617223294</v>
          </cell>
          <cell r="CN1478">
            <v>3.2346068443474736</v>
          </cell>
          <cell r="CO1478">
            <v>21.724812827040942</v>
          </cell>
          <cell r="CP1478">
            <v>1.6462211439000083</v>
          </cell>
          <cell r="CQ1478">
            <v>1.6049908652233764</v>
          </cell>
          <cell r="CR1478">
            <v>-2.5688793357022379</v>
          </cell>
          <cell r="CS1478">
            <v>0.42538529796707159</v>
          </cell>
          <cell r="CT1478">
            <v>0.56318964343747702</v>
          </cell>
          <cell r="CU1478">
            <v>24.468551060226286</v>
          </cell>
        </row>
        <row r="1479">
          <cell r="CF1479" t="str">
            <v>Rajagiriya</v>
          </cell>
          <cell r="CG1479">
            <v>3.3024293416982951</v>
          </cell>
          <cell r="CH1479">
            <v>3.6855140248659684</v>
          </cell>
          <cell r="CI1479">
            <v>10.394335242873074</v>
          </cell>
          <cell r="CJ1479">
            <v>0.45020107625590922</v>
          </cell>
          <cell r="CK1479">
            <v>0.53770215461696169</v>
          </cell>
          <cell r="CL1479">
            <v>16.273150034778059</v>
          </cell>
          <cell r="CM1479">
            <v>2.8149971966773295</v>
          </cell>
          <cell r="CN1479">
            <v>3.3402424478625239</v>
          </cell>
          <cell r="CO1479">
            <v>15.72476427635687</v>
          </cell>
          <cell r="CP1479">
            <v>2.5057184641226491</v>
          </cell>
          <cell r="CQ1479">
            <v>2.1446301900573608</v>
          </cell>
          <cell r="CR1479">
            <v>-16.836854938409246</v>
          </cell>
          <cell r="CS1479">
            <v>0.63481181276761034</v>
          </cell>
          <cell r="CT1479">
            <v>1.1792917055182881</v>
          </cell>
          <cell r="CU1479">
            <v>46.170077361087159</v>
          </cell>
        </row>
        <row r="1480">
          <cell r="CF1480" t="str">
            <v>Boralesgamuwa</v>
          </cell>
          <cell r="CG1480">
            <v>4.0866460901084887</v>
          </cell>
          <cell r="CH1480">
            <v>4.7956051799658201</v>
          </cell>
          <cell r="CI1480">
            <v>14.78351664184299</v>
          </cell>
          <cell r="CJ1480">
            <v>0.67050138029493001</v>
          </cell>
          <cell r="CK1480">
            <v>0.73197516515035843</v>
          </cell>
          <cell r="CL1480">
            <v>8.3983429742183695</v>
          </cell>
          <cell r="CM1480">
            <v>5.6603784655442331</v>
          </cell>
          <cell r="CN1480">
            <v>6.5501845889993495</v>
          </cell>
          <cell r="CO1480">
            <v>13.584443481936272</v>
          </cell>
          <cell r="CP1480">
            <v>2.6741890241533581</v>
          </cell>
          <cell r="CQ1480">
            <v>2.3299101043237993</v>
          </cell>
          <cell r="CR1480">
            <v>-14.776489410070074</v>
          </cell>
          <cell r="CS1480">
            <v>0.86500444846303992</v>
          </cell>
          <cell r="CT1480">
            <v>1.0670031160334801</v>
          </cell>
          <cell r="CU1480">
            <v>18.931403717109848</v>
          </cell>
        </row>
        <row r="1481">
          <cell r="CF1481" t="str">
            <v>Pitakotte</v>
          </cell>
          <cell r="CG1481">
            <v>3.2027981853030232</v>
          </cell>
          <cell r="CH1481">
            <v>3.6648604985535989</v>
          </cell>
          <cell r="CI1481">
            <v>12.607909999110106</v>
          </cell>
          <cell r="CJ1481">
            <v>0.43461442284560498</v>
          </cell>
          <cell r="CK1481">
            <v>0.48851587832365134</v>
          </cell>
          <cell r="CL1481">
            <v>11.033716173773087</v>
          </cell>
          <cell r="CM1481">
            <v>3.6836357485661302</v>
          </cell>
          <cell r="CN1481">
            <v>4.1201742358543036</v>
          </cell>
          <cell r="CO1481">
            <v>10.595146280207219</v>
          </cell>
          <cell r="CP1481">
            <v>2.427772372442349</v>
          </cell>
          <cell r="CQ1481">
            <v>2.2533835740868753</v>
          </cell>
          <cell r="CR1481">
            <v>-7.7389753063297357</v>
          </cell>
          <cell r="CS1481">
            <v>1.5127911635163356</v>
          </cell>
          <cell r="CT1481">
            <v>1.6732263964892371</v>
          </cell>
          <cell r="CU1481">
            <v>9.5883756860115668</v>
          </cell>
        </row>
        <row r="1482">
          <cell r="CF1482" t="str">
            <v>Panadura</v>
          </cell>
          <cell r="CG1482">
            <v>2.9022408305027008</v>
          </cell>
          <cell r="CH1482">
            <v>3.3530738054802938</v>
          </cell>
          <cell r="CI1482">
            <v>13.445363899856529</v>
          </cell>
          <cell r="CJ1482">
            <v>0.26689054314722116</v>
          </cell>
          <cell r="CK1482">
            <v>0.41136786939757425</v>
          </cell>
          <cell r="CL1482">
            <v>35.12119856660955</v>
          </cell>
          <cell r="CM1482">
            <v>4.4692521736873383</v>
          </cell>
          <cell r="CN1482">
            <v>5.3249682592241161</v>
          </cell>
          <cell r="CO1482">
            <v>16.069881431771414</v>
          </cell>
          <cell r="CP1482">
            <v>2.3852926400035233</v>
          </cell>
          <cell r="CQ1482">
            <v>2.1399422321738673</v>
          </cell>
          <cell r="CR1482">
            <v>-11.465281825875085</v>
          </cell>
          <cell r="CS1482">
            <v>1.8844343860211787</v>
          </cell>
          <cell r="CT1482">
            <v>2.0050070506754154</v>
          </cell>
          <cell r="CU1482">
            <v>6.0135780875992442</v>
          </cell>
        </row>
        <row r="1483">
          <cell r="CF1483" t="str">
            <v>Kurunagala</v>
          </cell>
          <cell r="CG1483">
            <v>3.3561539722458713</v>
          </cell>
          <cell r="CH1483">
            <v>5.1289477220438782</v>
          </cell>
          <cell r="CI1483">
            <v>34.564472984948871</v>
          </cell>
          <cell r="CJ1483">
            <v>0.45300310352028178</v>
          </cell>
          <cell r="CK1483">
            <v>0.66103401687594465</v>
          </cell>
          <cell r="CL1483">
            <v>31.470530720766789</v>
          </cell>
          <cell r="CM1483">
            <v>5.5707660866479154</v>
          </cell>
          <cell r="CN1483">
            <v>6.8883391447996889</v>
          </cell>
          <cell r="CO1483">
            <v>19.127586932859824</v>
          </cell>
          <cell r="CP1483">
            <v>2.0914989081074165</v>
          </cell>
          <cell r="CQ1483">
            <v>2.0337134289024399</v>
          </cell>
          <cell r="CR1483">
            <v>-2.8413776682471132</v>
          </cell>
          <cell r="CS1483">
            <v>2.5968564074229969</v>
          </cell>
          <cell r="CT1483">
            <v>3.4387035171656359</v>
          </cell>
          <cell r="CU1483">
            <v>24.481526410760026</v>
          </cell>
        </row>
        <row r="1484">
          <cell r="CF1484" t="str">
            <v>Matara</v>
          </cell>
          <cell r="CG1484">
            <v>4.4355026092255594</v>
          </cell>
          <cell r="CH1484">
            <v>4.3319306567478213</v>
          </cell>
          <cell r="CI1484">
            <v>-2.3908959003396029</v>
          </cell>
          <cell r="CJ1484">
            <v>0.47226582275807016</v>
          </cell>
          <cell r="CK1484">
            <v>0.61188372747712316</v>
          </cell>
          <cell r="CL1484">
            <v>22.817718211712528</v>
          </cell>
          <cell r="CM1484">
            <v>5.0046289041372862</v>
          </cell>
          <cell r="CN1484">
            <v>5.6596364129492889</v>
          </cell>
          <cell r="CO1484">
            <v>11.573314273569601</v>
          </cell>
          <cell r="CP1484">
            <v>2.2273228366269762</v>
          </cell>
          <cell r="CQ1484">
            <v>1.9241592213135434</v>
          </cell>
          <cell r="CR1484">
            <v>-15.755640799126569</v>
          </cell>
          <cell r="CS1484">
            <v>2.5457893154967275</v>
          </cell>
          <cell r="CT1484">
            <v>2.7129226164080911</v>
          </cell>
          <cell r="CU1484">
            <v>6.1606364995640028</v>
          </cell>
        </row>
        <row r="1485">
          <cell r="CF1485" t="str">
            <v>Wattala</v>
          </cell>
          <cell r="CG1485">
            <v>2.9190403332041712</v>
          </cell>
          <cell r="CH1485">
            <v>4.8839145752923852</v>
          </cell>
          <cell r="CI1485">
            <v>40.231544016524552</v>
          </cell>
          <cell r="CJ1485">
            <v>0.33685091199881334</v>
          </cell>
          <cell r="CK1485">
            <v>0.50519849231142744</v>
          </cell>
          <cell r="CL1485">
            <v>33.323056753866346</v>
          </cell>
          <cell r="CM1485">
            <v>4.015589172424237</v>
          </cell>
          <cell r="CN1485">
            <v>5.9200878945394582</v>
          </cell>
          <cell r="CO1485">
            <v>32.170108890982576</v>
          </cell>
          <cell r="CP1485">
            <v>1.7795891926823257</v>
          </cell>
          <cell r="CQ1485">
            <v>2.0529485005618193</v>
          </cell>
          <cell r="CR1485">
            <v>13.315448868039544</v>
          </cell>
          <cell r="CS1485">
            <v>2.4882993629646539</v>
          </cell>
          <cell r="CT1485">
            <v>3.9925604643649528</v>
          </cell>
          <cell r="CU1485">
            <v>37.676601640134791</v>
          </cell>
        </row>
        <row r="1486">
          <cell r="CF1486" t="str">
            <v>Pelawatte</v>
          </cell>
          <cell r="CG1486">
            <v>3.0605752189826316</v>
          </cell>
          <cell r="CH1486">
            <v>3.6230612060273106</v>
          </cell>
          <cell r="CI1486">
            <v>15.525158286283695</v>
          </cell>
          <cell r="CJ1486">
            <v>0.37156775098104888</v>
          </cell>
          <cell r="CK1486">
            <v>0.39391690009857167</v>
          </cell>
          <cell r="CL1486">
            <v>5.6735695046163919</v>
          </cell>
          <cell r="CM1486">
            <v>3.8249743693726033</v>
          </cell>
          <cell r="CN1486">
            <v>4.1132447943045589</v>
          </cell>
          <cell r="CO1486">
            <v>7.008345949434176</v>
          </cell>
          <cell r="CP1486">
            <v>2.352597663492404</v>
          </cell>
          <cell r="CQ1486">
            <v>2.1378665548996043</v>
          </cell>
          <cell r="CR1486">
            <v>-10.044177364610279</v>
          </cell>
          <cell r="CS1486">
            <v>1.9221853286638477</v>
          </cell>
          <cell r="CT1486">
            <v>2.159676816376884</v>
          </cell>
          <cell r="CU1486">
            <v>10.996621620055942</v>
          </cell>
        </row>
        <row r="1487">
          <cell r="CF1487" t="str">
            <v>Gampaha</v>
          </cell>
          <cell r="CG1487">
            <v>3.6234963901833588</v>
          </cell>
          <cell r="CH1487">
            <v>5.4708446411976759</v>
          </cell>
          <cell r="CI1487">
            <v>33.767148807389567</v>
          </cell>
          <cell r="CJ1487">
            <v>0.39768828697940278</v>
          </cell>
          <cell r="CK1487">
            <v>0.5796596026482147</v>
          </cell>
          <cell r="CL1487">
            <v>31.392788946730715</v>
          </cell>
          <cell r="CM1487">
            <v>3.94541447514939</v>
          </cell>
          <cell r="CN1487">
            <v>5.4791795585773189</v>
          </cell>
          <cell r="CO1487">
            <v>27.992604860465175</v>
          </cell>
          <cell r="CP1487">
            <v>2.1641396434188875</v>
          </cell>
          <cell r="CQ1487">
            <v>2.2481189162107214</v>
          </cell>
          <cell r="CR1487">
            <v>3.7355351705942517</v>
          </cell>
          <cell r="CS1487">
            <v>3.4952916405483911</v>
          </cell>
          <cell r="CT1487">
            <v>5.3251431652654748</v>
          </cell>
          <cell r="CU1487">
            <v>34.362485062424796</v>
          </cell>
        </row>
        <row r="1488">
          <cell r="CF1488" t="str">
            <v>Ja-ela</v>
          </cell>
          <cell r="CG1488">
            <v>3.451600251472021</v>
          </cell>
          <cell r="CH1488">
            <v>4.4598424228212066</v>
          </cell>
          <cell r="CI1488">
            <v>22.607125448871617</v>
          </cell>
          <cell r="CJ1488">
            <v>0.40251784432281379</v>
          </cell>
          <cell r="CK1488">
            <v>0.45511927861779577</v>
          </cell>
          <cell r="CL1488">
            <v>11.557724923174723</v>
          </cell>
          <cell r="CM1488">
            <v>4.7812126854714343</v>
          </cell>
          <cell r="CN1488">
            <v>5.1117878571320094</v>
          </cell>
          <cell r="CO1488">
            <v>6.4669188334831595</v>
          </cell>
          <cell r="CP1488">
            <v>2.3321687438999263</v>
          </cell>
          <cell r="CQ1488">
            <v>2.1752995152306505</v>
          </cell>
          <cell r="CR1488">
            <v>-7.2113852630837734</v>
          </cell>
          <cell r="CS1488">
            <v>4.7499994681184514</v>
          </cell>
          <cell r="CT1488">
            <v>6.8867892968801083</v>
          </cell>
          <cell r="CU1488">
            <v>31.027373376003787</v>
          </cell>
        </row>
        <row r="1489">
          <cell r="CF1489" t="str">
            <v>Piliyandala</v>
          </cell>
          <cell r="CG1489">
            <v>4.1947892360565762</v>
          </cell>
          <cell r="CH1489">
            <v>6.9718706218473923</v>
          </cell>
          <cell r="CI1489">
            <v>39.832658068674128</v>
          </cell>
          <cell r="CJ1489">
            <v>0.40643318279116059</v>
          </cell>
          <cell r="CK1489">
            <v>0.83178860571649049</v>
          </cell>
          <cell r="CL1489">
            <v>51.137442855319591</v>
          </cell>
          <cell r="CM1489">
            <v>5.5073629000498574</v>
          </cell>
          <cell r="CN1489">
            <v>7.3225169882773775</v>
          </cell>
          <cell r="CO1489">
            <v>24.788663394477631</v>
          </cell>
          <cell r="CP1489">
            <v>2.317457688422262</v>
          </cell>
          <cell r="CQ1489">
            <v>2.0955614164982763</v>
          </cell>
          <cell r="CR1489">
            <v>-10.588869893146754</v>
          </cell>
          <cell r="CS1489">
            <v>5.8073154308525323</v>
          </cell>
          <cell r="CT1489">
            <v>8.2070615058769327</v>
          </cell>
          <cell r="CU1489">
            <v>29.240015726773638</v>
          </cell>
        </row>
        <row r="1490">
          <cell r="CF1490" t="str">
            <v>Chilaw</v>
          </cell>
          <cell r="CG1490">
            <v>4.249616302959712</v>
          </cell>
          <cell r="CH1490">
            <v>7.2544006744575578</v>
          </cell>
          <cell r="CI1490">
            <v>41.420160070253168</v>
          </cell>
          <cell r="CJ1490">
            <v>0.67366691478753138</v>
          </cell>
          <cell r="CK1490">
            <v>1.137651830085646</v>
          </cell>
          <cell r="CL1490">
            <v>40.784438879088725</v>
          </cell>
          <cell r="CM1490">
            <v>6.847241896026528</v>
          </cell>
          <cell r="CN1490">
            <v>8.4003117694880913</v>
          </cell>
          <cell r="CO1490">
            <v>18.488240866281636</v>
          </cell>
          <cell r="CP1490">
            <v>2.4675503905863665</v>
          </cell>
          <cell r="CQ1490">
            <v>2.8062128537086908</v>
          </cell>
          <cell r="CR1490">
            <v>12.068309881581078</v>
          </cell>
          <cell r="CS1490">
            <v>5.0497111910557679</v>
          </cell>
          <cell r="CT1490">
            <v>7.4203576923710397</v>
          </cell>
          <cell r="CU1490">
            <v>31.947873668577493</v>
          </cell>
        </row>
        <row r="1491">
          <cell r="CF1491" t="str">
            <v>Ratnapura</v>
          </cell>
          <cell r="CG1491">
            <v>3.0572852272773683</v>
          </cell>
          <cell r="CH1491">
            <v>4.8759183212988173</v>
          </cell>
          <cell r="CI1491">
            <v>37.298268227286727</v>
          </cell>
          <cell r="CJ1491">
            <v>0.44927304223025077</v>
          </cell>
          <cell r="CK1491">
            <v>0.7893911521077237</v>
          </cell>
          <cell r="CL1491">
            <v>43.086131503923788</v>
          </cell>
          <cell r="CM1491">
            <v>3.7893371907751972</v>
          </cell>
          <cell r="CN1491">
            <v>5.5988619867068277</v>
          </cell>
          <cell r="CO1491">
            <v>32.319510647483703</v>
          </cell>
          <cell r="CP1491">
            <v>1.896310452973047</v>
          </cell>
          <cell r="CQ1491">
            <v>2.4157935629397236</v>
          </cell>
          <cell r="CR1491">
            <v>21.503621747154984</v>
          </cell>
          <cell r="CS1491">
            <v>4.3348903919162423</v>
          </cell>
          <cell r="CT1491">
            <v>6.5365446988340059</v>
          </cell>
          <cell r="CU1491">
            <v>33.682234396874797</v>
          </cell>
        </row>
        <row r="1492">
          <cell r="CF1492" t="str">
            <v>Nawala</v>
          </cell>
          <cell r="CG1492">
            <v>2.4176740739811229</v>
          </cell>
          <cell r="CH1492">
            <v>3.7905166016340828</v>
          </cell>
          <cell r="CI1492">
            <v>36.217821261121259</v>
          </cell>
          <cell r="CJ1492">
            <v>0.32939553760906859</v>
          </cell>
          <cell r="CK1492">
            <v>0.54405504627017376</v>
          </cell>
          <cell r="CL1492">
            <v>39.455476083298166</v>
          </cell>
          <cell r="CM1492">
            <v>2.7138651000523368</v>
          </cell>
          <cell r="CN1492">
            <v>3.3677476807088</v>
          </cell>
          <cell r="CO1492">
            <v>19.416020517274692</v>
          </cell>
          <cell r="CP1492">
            <v>2.2918917330898445</v>
          </cell>
          <cell r="CQ1492">
            <v>2.9073533977131465</v>
          </cell>
          <cell r="CR1492">
            <v>21.169138402899669</v>
          </cell>
          <cell r="CS1492">
            <v>2.8786124623817018</v>
          </cell>
          <cell r="CT1492">
            <v>2.551634193437502</v>
          </cell>
          <cell r="CU1492">
            <v>-12.814464933302306</v>
          </cell>
        </row>
        <row r="1493">
          <cell r="CF1493" t="str">
            <v>Collupitiya</v>
          </cell>
          <cell r="CG1493">
            <v>3.635901502824685</v>
          </cell>
          <cell r="CH1493">
            <v>5.0091249565621965</v>
          </cell>
          <cell r="CI1493">
            <v>27.414437963631194</v>
          </cell>
          <cell r="CJ1493">
            <v>0.4804647499955238</v>
          </cell>
          <cell r="CK1493">
            <v>0.6586775479531114</v>
          </cell>
          <cell r="CL1493">
            <v>27.056151907924736</v>
          </cell>
          <cell r="CM1493">
            <v>4.8969154270939015</v>
          </cell>
          <cell r="CN1493">
            <v>6.1831125676084255</v>
          </cell>
          <cell r="CO1493">
            <v>20.801774615143614</v>
          </cell>
          <cell r="CP1493">
            <v>2.1735560130460381</v>
          </cell>
          <cell r="CQ1493">
            <v>2.3189489772006424</v>
          </cell>
          <cell r="CR1493">
            <v>6.2697784894826736</v>
          </cell>
          <cell r="CS1493">
            <v>2.0896190697401513</v>
          </cell>
          <cell r="CT1493">
            <v>3.3725066209707633</v>
          </cell>
          <cell r="CU1493">
            <v>38.039585845537573</v>
          </cell>
        </row>
        <row r="1494">
          <cell r="CF1494" t="str">
            <v>Dehiwala</v>
          </cell>
          <cell r="CG1494">
            <v>4.0113900644204712</v>
          </cell>
          <cell r="CH1494">
            <v>4.5035170926034693</v>
          </cell>
          <cell r="CI1494">
            <v>10.927615418430687</v>
          </cell>
          <cell r="CJ1494">
            <v>0.5614124539177735</v>
          </cell>
          <cell r="CK1494">
            <v>0.53100328810804964</v>
          </cell>
          <cell r="CL1494">
            <v>-5.7267377605270386</v>
          </cell>
          <cell r="CM1494">
            <v>5.3764018205343804</v>
          </cell>
          <cell r="CN1494">
            <v>4.6740518693268998</v>
          </cell>
          <cell r="CO1494">
            <v>-15.026575888397758</v>
          </cell>
          <cell r="CP1494">
            <v>2.6875607429674249</v>
          </cell>
          <cell r="CQ1494">
            <v>1.9936519511277013</v>
          </cell>
          <cell r="CR1494">
            <v>-34.805914414861469</v>
          </cell>
          <cell r="CS1494">
            <v>1.342900647591124</v>
          </cell>
          <cell r="CT1494">
            <v>2.0981862794447821</v>
          </cell>
          <cell r="CU1494">
            <v>35.997072293005381</v>
          </cell>
        </row>
        <row r="1495">
          <cell r="CF1495" t="str">
            <v>Thibirigasyaya</v>
          </cell>
          <cell r="CG1495">
            <v>3.7922428550295399</v>
          </cell>
          <cell r="CH1495">
            <v>4.8041508752337121</v>
          </cell>
          <cell r="CI1495">
            <v>21.063202353213871</v>
          </cell>
          <cell r="CJ1495">
            <v>0.53260911007589717</v>
          </cell>
          <cell r="CK1495">
            <v>0.67915706704475087</v>
          </cell>
          <cell r="CL1495">
            <v>21.577918287228453</v>
          </cell>
          <cell r="CM1495">
            <v>4.6941287390773532</v>
          </cell>
          <cell r="CN1495">
            <v>4.7881694437187452</v>
          </cell>
          <cell r="CO1495">
            <v>1.9640220703709066</v>
          </cell>
          <cell r="CP1495">
            <v>2.5740443472215331</v>
          </cell>
          <cell r="CQ1495">
            <v>2.2719791546852663</v>
          </cell>
          <cell r="CR1495">
            <v>-13.295244893129812</v>
          </cell>
          <cell r="CS1495">
            <v>1.9466507213332258</v>
          </cell>
          <cell r="CT1495">
            <v>3.7291287041555599</v>
          </cell>
          <cell r="CU1495">
            <v>47.798778863170561</v>
          </cell>
        </row>
        <row r="1496">
          <cell r="CF1496" t="str">
            <v>Moratuwa</v>
          </cell>
          <cell r="CG1496">
            <v>3.1355825525460985</v>
          </cell>
          <cell r="CH1496">
            <v>4.6234071618874575</v>
          </cell>
          <cell r="CI1496">
            <v>32.180263542568248</v>
          </cell>
          <cell r="CJ1496">
            <v>0.3600007054075382</v>
          </cell>
          <cell r="CK1496">
            <v>0.76769554461585843</v>
          </cell>
          <cell r="CL1496">
            <v>53.106318262186051</v>
          </cell>
          <cell r="CM1496">
            <v>3.8865783577222848</v>
          </cell>
          <cell r="CN1496">
            <v>4.7587185572933191</v>
          </cell>
          <cell r="CO1496">
            <v>18.327206979584297</v>
          </cell>
          <cell r="CP1496">
            <v>2.4756546833877238</v>
          </cell>
          <cell r="CQ1496">
            <v>2.5969103815835179</v>
          </cell>
          <cell r="CR1496">
            <v>4.6692292139036429</v>
          </cell>
          <cell r="CS1496">
            <v>2.1609710434658651</v>
          </cell>
          <cell r="CT1496">
            <v>3.4223356957123641</v>
          </cell>
          <cell r="CU1496">
            <v>36.856835927193984</v>
          </cell>
        </row>
        <row r="1497">
          <cell r="CF1497" t="str">
            <v>Kegalle</v>
          </cell>
          <cell r="CG1497">
            <v>5.216804977397528</v>
          </cell>
          <cell r="CH1497">
            <v>5.3307244746899238</v>
          </cell>
          <cell r="CI1497">
            <v>2.1370359288550969</v>
          </cell>
          <cell r="CJ1497">
            <v>0.87007307354219265</v>
          </cell>
          <cell r="CK1497">
            <v>0.59861285043893653</v>
          </cell>
          <cell r="CL1497">
            <v>-45.348211770630428</v>
          </cell>
          <cell r="CM1497">
            <v>6.6491974861151641</v>
          </cell>
          <cell r="CN1497">
            <v>7.1293049330867868</v>
          </cell>
          <cell r="CO1497">
            <v>6.7342812725468564</v>
          </cell>
          <cell r="CP1497">
            <v>2.4407247744724301</v>
          </cell>
          <cell r="CQ1497">
            <v>2.5530487044931034</v>
          </cell>
          <cell r="CR1497">
            <v>4.3995999693619137</v>
          </cell>
          <cell r="CS1497">
            <v>6.3709603661905156E-3</v>
          </cell>
          <cell r="CT1497">
            <v>0</v>
          </cell>
          <cell r="CU1497">
            <v>0</v>
          </cell>
        </row>
        <row r="1498">
          <cell r="CF1498" t="str">
            <v>Kadawatha</v>
          </cell>
          <cell r="CG1498">
            <v>6.1989618961945672</v>
          </cell>
          <cell r="CH1498">
            <v>3.8396053168177837</v>
          </cell>
          <cell r="CI1498">
            <v>-61.447893330145412</v>
          </cell>
          <cell r="CJ1498">
            <v>0.77509965689589988</v>
          </cell>
          <cell r="CK1498">
            <v>0.6872382978198921</v>
          </cell>
          <cell r="CL1498">
            <v>-12.784700642372238</v>
          </cell>
          <cell r="CM1498">
            <v>6.1587885190062757</v>
          </cell>
          <cell r="CN1498">
            <v>5.5703974654687105</v>
          </cell>
          <cell r="CO1498">
            <v>-10.562819927752788</v>
          </cell>
          <cell r="CP1498">
            <v>2.4280179446565504</v>
          </cell>
          <cell r="CQ1498">
            <v>2.0670147488488997</v>
          </cell>
          <cell r="CR1498">
            <v>-17.464955003765205</v>
          </cell>
          <cell r="CS1498">
            <v>0</v>
          </cell>
          <cell r="CT1498">
            <v>0</v>
          </cell>
          <cell r="CU1498">
            <v>0</v>
          </cell>
        </row>
        <row r="1499">
          <cell r="CF1499" t="str">
            <v>Aluthgama</v>
          </cell>
          <cell r="CG1499">
            <v>4.8740394332006662</v>
          </cell>
          <cell r="CH1499">
            <v>5.2932379357093637</v>
          </cell>
          <cell r="CI1499">
            <v>7.9195099030159009</v>
          </cell>
          <cell r="CJ1499">
            <v>0.6772970131221272</v>
          </cell>
          <cell r="CK1499">
            <v>0.59520099523864067</v>
          </cell>
          <cell r="CL1499">
            <v>-13.792990693937067</v>
          </cell>
          <cell r="CM1499">
            <v>6.4060163679925823</v>
          </cell>
          <cell r="CN1499">
            <v>7.0909266165739355</v>
          </cell>
          <cell r="CO1499">
            <v>9.6589668123272112</v>
          </cell>
          <cell r="CP1499">
            <v>2.4515740300233522</v>
          </cell>
          <cell r="CQ1499">
            <v>2.5576012670471262</v>
          </cell>
          <cell r="CR1499">
            <v>4.1455733694637864</v>
          </cell>
          <cell r="CS1499">
            <v>0</v>
          </cell>
          <cell r="CT1499">
            <v>0</v>
          </cell>
          <cell r="CU1499">
            <v>0</v>
          </cell>
        </row>
        <row r="1500">
          <cell r="CF1500" t="str">
            <v>Park Road</v>
          </cell>
          <cell r="CG1500">
            <v>3.4616791518550327</v>
          </cell>
          <cell r="CH1500">
            <v>5.2771441314457626</v>
          </cell>
          <cell r="CI1500">
            <v>34.402414153758436</v>
          </cell>
          <cell r="CJ1500">
            <v>0.58927202507647658</v>
          </cell>
          <cell r="CK1500">
            <v>0.59022184828097468</v>
          </cell>
          <cell r="CL1500">
            <v>0.16092647320062251</v>
          </cell>
          <cell r="CM1500">
            <v>3.794978299294939</v>
          </cell>
          <cell r="CN1500">
            <v>7.0736526379758953</v>
          </cell>
          <cell r="CO1500">
            <v>46.350513751253963</v>
          </cell>
          <cell r="CP1500">
            <v>2.5514280681497978</v>
          </cell>
          <cell r="CQ1500">
            <v>2.5666046966110434</v>
          </cell>
          <cell r="CR1500">
            <v>0.59131148950537082</v>
          </cell>
          <cell r="CS1500">
            <v>0</v>
          </cell>
          <cell r="CT1500">
            <v>0</v>
          </cell>
          <cell r="CU1500">
            <v>0</v>
          </cell>
        </row>
        <row r="1501">
          <cell r="CF1501" t="str">
            <v>Kotahena</v>
          </cell>
          <cell r="CG1501">
            <v>3.4354207170398943</v>
          </cell>
          <cell r="CH1501">
            <v>5.2771441314457626</v>
          </cell>
          <cell r="CI1501">
            <v>34.900002132427964</v>
          </cell>
          <cell r="CJ1501">
            <v>0.44539506602128975</v>
          </cell>
          <cell r="CK1501">
            <v>0.59022184828097468</v>
          </cell>
          <cell r="CL1501">
            <v>24.537685733168633</v>
          </cell>
          <cell r="CM1501">
            <v>6.6757868118305002</v>
          </cell>
          <cell r="CN1501">
            <v>7.0736526379758953</v>
          </cell>
          <cell r="CO1501">
            <v>5.6246163970421259</v>
          </cell>
          <cell r="CP1501">
            <v>2.4256541775983576</v>
          </cell>
          <cell r="CQ1501">
            <v>2.5666046966110434</v>
          </cell>
          <cell r="CR1501">
            <v>5.4917112556833372</v>
          </cell>
          <cell r="CS1501">
            <v>0</v>
          </cell>
          <cell r="CT1501">
            <v>0</v>
          </cell>
          <cell r="CU1501">
            <v>0</v>
          </cell>
        </row>
        <row r="1502">
          <cell r="CF1502" t="str">
            <v>Ambalangoda</v>
          </cell>
          <cell r="CG1502">
            <v>4.6891159375589764</v>
          </cell>
          <cell r="CH1502">
            <v>5.2526758751984222</v>
          </cell>
          <cell r="CI1502">
            <v>10.729006529803383</v>
          </cell>
          <cell r="CJ1502">
            <v>1.0339613123336677</v>
          </cell>
          <cell r="CK1502">
            <v>0.59519263638860409</v>
          </cell>
          <cell r="CL1502">
            <v>-73.71876752497144</v>
          </cell>
          <cell r="CM1502">
            <v>7.4256670188184453</v>
          </cell>
          <cell r="CN1502">
            <v>7.0534439100225343</v>
          </cell>
          <cell r="CO1502">
            <v>-5.277182516004749</v>
          </cell>
          <cell r="CP1502">
            <v>3.0273582814734596</v>
          </cell>
          <cell r="CQ1502">
            <v>2.5989750462323498</v>
          </cell>
          <cell r="CR1502">
            <v>-16.482776002875564</v>
          </cell>
          <cell r="CS1502">
            <v>7.4405281468499354E-2</v>
          </cell>
          <cell r="CT1502">
            <v>0</v>
          </cell>
          <cell r="CU1502">
            <v>0</v>
          </cell>
        </row>
        <row r="1503">
          <cell r="CF1503" t="str">
            <v>Express Peradeniya</v>
          </cell>
          <cell r="CG1503">
            <v>4.0751621275996568</v>
          </cell>
          <cell r="CH1503">
            <v>5.2526758751984222</v>
          </cell>
          <cell r="CI1503">
            <v>22.417407347722254</v>
          </cell>
          <cell r="CJ1503">
            <v>0.70751188721592129</v>
          </cell>
          <cell r="CK1503">
            <v>0.59519263638860409</v>
          </cell>
          <cell r="CL1503">
            <v>-18.871075339376919</v>
          </cell>
          <cell r="CM1503">
            <v>5.4008270340319733</v>
          </cell>
          <cell r="CN1503">
            <v>7.0534439100225343</v>
          </cell>
          <cell r="CO1503">
            <v>23.42992865715269</v>
          </cell>
          <cell r="CP1503">
            <v>2.5892096612727</v>
          </cell>
          <cell r="CQ1503">
            <v>2.5989750462323498</v>
          </cell>
          <cell r="CR1503">
            <v>0.37573985074640481</v>
          </cell>
          <cell r="CS1503">
            <v>3.7719639660394072E-2</v>
          </cell>
          <cell r="CT1503">
            <v>0</v>
          </cell>
          <cell r="CU1503">
            <v>0</v>
          </cell>
        </row>
        <row r="1504">
          <cell r="CF1504" t="str">
            <v>Beruwela</v>
          </cell>
          <cell r="CG1504">
            <v>4.7627005856722739</v>
          </cell>
          <cell r="CH1504">
            <v>5.1803512863191647</v>
          </cell>
          <cell r="CI1504">
            <v>8.0622080929119271</v>
          </cell>
          <cell r="CJ1504">
            <v>0.96750433053442253</v>
          </cell>
          <cell r="CK1504">
            <v>0.57224101526446869</v>
          </cell>
          <cell r="CL1504">
            <v>-69.072873968545878</v>
          </cell>
          <cell r="CM1504">
            <v>7.7924665495309133</v>
          </cell>
          <cell r="CN1504">
            <v>6.9758195432705881</v>
          </cell>
          <cell r="CO1504">
            <v>-11.706825286903038</v>
          </cell>
          <cell r="CP1504">
            <v>2.7806687891846429</v>
          </cell>
          <cell r="CQ1504">
            <v>2.6141080145976545</v>
          </cell>
          <cell r="CR1504">
            <v>-6.3716102646441053</v>
          </cell>
          <cell r="CS1504">
            <v>4.3009420947367864E-3</v>
          </cell>
          <cell r="CT1504">
            <v>0</v>
          </cell>
          <cell r="CU1504">
            <v>0</v>
          </cell>
        </row>
        <row r="1505">
          <cell r="CF1505" t="str">
            <v>Warakapola</v>
          </cell>
          <cell r="CG1505">
            <v>6.600271289378183</v>
          </cell>
          <cell r="CH1505">
            <v>5.1803512863191647</v>
          </cell>
          <cell r="CI1505">
            <v>-27.409724255744923</v>
          </cell>
          <cell r="CJ1505">
            <v>1.1053624317769715</v>
          </cell>
          <cell r="CK1505">
            <v>0.57224101526446869</v>
          </cell>
          <cell r="CL1505">
            <v>-93.163789782896586</v>
          </cell>
          <cell r="CM1505">
            <v>9.0503594800303659</v>
          </cell>
          <cell r="CN1505">
            <v>6.9758195432705881</v>
          </cell>
          <cell r="CO1505">
            <v>-29.739013801769552</v>
          </cell>
          <cell r="CP1505">
            <v>2.530290688005659</v>
          </cell>
          <cell r="CQ1505">
            <v>2.6141080145976545</v>
          </cell>
          <cell r="CR1505">
            <v>3.2063451901736379</v>
          </cell>
          <cell r="CS1505">
            <v>1.2078295895137882E-3</v>
          </cell>
          <cell r="CT1505">
            <v>0</v>
          </cell>
          <cell r="CU1505">
            <v>0</v>
          </cell>
        </row>
        <row r="1506">
          <cell r="CF1506" t="str">
            <v>Karagampitiya</v>
          </cell>
          <cell r="CG1506">
            <v>5.479552062770864</v>
          </cell>
          <cell r="CH1506">
            <v>0</v>
          </cell>
          <cell r="CI1506">
            <v>0</v>
          </cell>
          <cell r="CJ1506">
            <v>0.77808751842954227</v>
          </cell>
          <cell r="CK1506">
            <v>0</v>
          </cell>
          <cell r="CL1506">
            <v>0</v>
          </cell>
          <cell r="CM1506">
            <v>9.3235153170987264</v>
          </cell>
          <cell r="CN1506">
            <v>0</v>
          </cell>
          <cell r="CO1506">
            <v>0</v>
          </cell>
          <cell r="CP1506">
            <v>2.7613281059692789</v>
          </cell>
          <cell r="CQ1506">
            <v>0</v>
          </cell>
          <cell r="CR1506">
            <v>0</v>
          </cell>
          <cell r="CS1506">
            <v>0</v>
          </cell>
          <cell r="CT1506">
            <v>0</v>
          </cell>
          <cell r="CU1506">
            <v>0</v>
          </cell>
        </row>
        <row r="1507">
          <cell r="CF1507" t="str">
            <v>Mathale</v>
          </cell>
          <cell r="CG1507">
            <v>3.53282273451652</v>
          </cell>
          <cell r="CH1507">
            <v>0</v>
          </cell>
          <cell r="CI1507">
            <v>0</v>
          </cell>
          <cell r="CJ1507">
            <v>0.66510032672753761</v>
          </cell>
          <cell r="CK1507">
            <v>0</v>
          </cell>
          <cell r="CL1507">
            <v>0</v>
          </cell>
          <cell r="CM1507">
            <v>4.3226495960427247</v>
          </cell>
          <cell r="CN1507">
            <v>0</v>
          </cell>
          <cell r="CO1507">
            <v>0</v>
          </cell>
          <cell r="CP1507">
            <v>2.5844163950572332</v>
          </cell>
          <cell r="CQ1507">
            <v>0</v>
          </cell>
          <cell r="CR1507">
            <v>0</v>
          </cell>
          <cell r="CS1507">
            <v>8.4965717506389575E-4</v>
          </cell>
          <cell r="CT1507">
            <v>0</v>
          </cell>
          <cell r="CU1507">
            <v>0</v>
          </cell>
        </row>
        <row r="1508">
          <cell r="CF1508" t="str">
            <v>Peliyagoda</v>
          </cell>
          <cell r="CG1508">
            <v>7.2887254505944892</v>
          </cell>
          <cell r="CH1508">
            <v>0</v>
          </cell>
          <cell r="CI1508">
            <v>0</v>
          </cell>
          <cell r="CJ1508">
            <v>1.5556014127604374</v>
          </cell>
          <cell r="CK1508">
            <v>0</v>
          </cell>
          <cell r="CL1508">
            <v>0</v>
          </cell>
          <cell r="CM1508">
            <v>11.505349482187269</v>
          </cell>
          <cell r="CN1508">
            <v>0</v>
          </cell>
          <cell r="CO1508">
            <v>0</v>
          </cell>
          <cell r="CP1508">
            <v>2.9352226053585757</v>
          </cell>
          <cell r="CQ1508">
            <v>0</v>
          </cell>
          <cell r="CR1508">
            <v>0</v>
          </cell>
          <cell r="CS1508">
            <v>0</v>
          </cell>
          <cell r="CT1508">
            <v>0</v>
          </cell>
          <cell r="CU1508">
            <v>0</v>
          </cell>
        </row>
        <row r="1509">
          <cell r="CF1509" t="str">
            <v>Kelaniya</v>
          </cell>
          <cell r="CG1509">
            <v>6.0229161766287227</v>
          </cell>
          <cell r="CH1509">
            <v>0</v>
          </cell>
          <cell r="CI1509">
            <v>0</v>
          </cell>
          <cell r="CJ1509">
            <v>1.1871531118318006</v>
          </cell>
          <cell r="CK1509">
            <v>0</v>
          </cell>
          <cell r="CL1509">
            <v>0</v>
          </cell>
          <cell r="CM1509">
            <v>8.1207925379673771</v>
          </cell>
          <cell r="CN1509">
            <v>0</v>
          </cell>
          <cell r="CO1509">
            <v>0</v>
          </cell>
          <cell r="CP1509">
            <v>3.0580769242692183</v>
          </cell>
          <cell r="CQ1509">
            <v>0</v>
          </cell>
          <cell r="CR1509">
            <v>0</v>
          </cell>
          <cell r="CS1509">
            <v>0</v>
          </cell>
          <cell r="CT1509">
            <v>0</v>
          </cell>
          <cell r="CU1509">
            <v>0</v>
          </cell>
        </row>
        <row r="1510">
          <cell r="CF1510" t="str">
            <v>Demategoda</v>
          </cell>
          <cell r="CG1510">
            <v>4.8181856334335231</v>
          </cell>
          <cell r="CH1510">
            <v>0</v>
          </cell>
          <cell r="CI1510">
            <v>0</v>
          </cell>
          <cell r="CJ1510">
            <v>0.76320539671685994</v>
          </cell>
          <cell r="CK1510">
            <v>0</v>
          </cell>
          <cell r="CL1510">
            <v>0</v>
          </cell>
          <cell r="CM1510">
            <v>8.8639548672773163</v>
          </cell>
          <cell r="CN1510">
            <v>0</v>
          </cell>
          <cell r="CO1510">
            <v>0</v>
          </cell>
          <cell r="CP1510">
            <v>2.7221582286342549</v>
          </cell>
          <cell r="CQ1510">
            <v>0</v>
          </cell>
          <cell r="CR1510">
            <v>0</v>
          </cell>
          <cell r="CS1510">
            <v>0</v>
          </cell>
          <cell r="CT1510">
            <v>0</v>
          </cell>
          <cell r="CU1510">
            <v>0</v>
          </cell>
        </row>
        <row r="1511">
          <cell r="CF1511" t="str">
            <v>Kolannawa</v>
          </cell>
          <cell r="CG1511">
            <v>3.4240571201890209</v>
          </cell>
          <cell r="CH1511">
            <v>0</v>
          </cell>
          <cell r="CI1511">
            <v>0</v>
          </cell>
          <cell r="CJ1511">
            <v>0.8298207519238201</v>
          </cell>
          <cell r="CK1511">
            <v>0</v>
          </cell>
          <cell r="CL1511">
            <v>0</v>
          </cell>
          <cell r="CM1511">
            <v>5.1331489349465267</v>
          </cell>
          <cell r="CN1511">
            <v>0</v>
          </cell>
          <cell r="CO1511">
            <v>0</v>
          </cell>
          <cell r="CP1511">
            <v>2.6904502036470954</v>
          </cell>
          <cell r="CQ1511">
            <v>0</v>
          </cell>
          <cell r="CR1511">
            <v>0</v>
          </cell>
          <cell r="CS1511">
            <v>0</v>
          </cell>
          <cell r="CT1511">
            <v>0</v>
          </cell>
          <cell r="CU1511">
            <v>0</v>
          </cell>
        </row>
        <row r="1512">
          <cell r="CF1512" t="str">
            <v>Avissawella</v>
          </cell>
          <cell r="CG1512">
            <v>7.2296763505328876</v>
          </cell>
          <cell r="CH1512">
            <v>0</v>
          </cell>
          <cell r="CI1512">
            <v>0</v>
          </cell>
          <cell r="CJ1512">
            <v>1.0912822303867828</v>
          </cell>
          <cell r="CK1512">
            <v>0</v>
          </cell>
          <cell r="CL1512">
            <v>0</v>
          </cell>
          <cell r="CM1512">
            <v>7.9825863419429597</v>
          </cell>
          <cell r="CN1512">
            <v>0</v>
          </cell>
          <cell r="CO1512">
            <v>0</v>
          </cell>
          <cell r="CP1512">
            <v>3.121959233487793</v>
          </cell>
          <cell r="CQ1512">
            <v>0</v>
          </cell>
          <cell r="CR1512">
            <v>0</v>
          </cell>
          <cell r="CS1512">
            <v>0</v>
          </cell>
          <cell r="CT1512">
            <v>0</v>
          </cell>
          <cell r="CU1512">
            <v>0</v>
          </cell>
        </row>
        <row r="1513">
          <cell r="CF1513" t="str">
            <v>Homagama</v>
          </cell>
          <cell r="CG1513">
            <v>4.6273593996527387</v>
          </cell>
          <cell r="CH1513">
            <v>0</v>
          </cell>
          <cell r="CI1513">
            <v>0</v>
          </cell>
          <cell r="CJ1513">
            <v>0.96182765344041377</v>
          </cell>
          <cell r="CK1513">
            <v>0</v>
          </cell>
          <cell r="CL1513">
            <v>0</v>
          </cell>
          <cell r="CM1513">
            <v>7.7645445571648093</v>
          </cell>
          <cell r="CN1513">
            <v>0</v>
          </cell>
          <cell r="CO1513">
            <v>0</v>
          </cell>
          <cell r="CP1513">
            <v>3.1618929424835005</v>
          </cell>
          <cell r="CQ1513">
            <v>0</v>
          </cell>
          <cell r="CR1513">
            <v>0</v>
          </cell>
          <cell r="CS1513">
            <v>0</v>
          </cell>
          <cell r="CT1513">
            <v>0</v>
          </cell>
          <cell r="CU1513">
            <v>0</v>
          </cell>
        </row>
        <row r="1514">
          <cell r="CF1514" t="str">
            <v>Galle</v>
          </cell>
          <cell r="CG1514">
            <v>3.6732980990795077</v>
          </cell>
          <cell r="CH1514">
            <v>0</v>
          </cell>
          <cell r="CI1514">
            <v>0</v>
          </cell>
          <cell r="CJ1514">
            <v>0.75693999773781706</v>
          </cell>
          <cell r="CK1514">
            <v>0</v>
          </cell>
          <cell r="CL1514">
            <v>0</v>
          </cell>
          <cell r="CM1514">
            <v>4.09211105639897</v>
          </cell>
          <cell r="CN1514">
            <v>0</v>
          </cell>
          <cell r="CO1514">
            <v>0</v>
          </cell>
          <cell r="CP1514">
            <v>3.1119407282221889</v>
          </cell>
          <cell r="CQ1514">
            <v>0</v>
          </cell>
          <cell r="CR1514">
            <v>0</v>
          </cell>
          <cell r="CS1514">
            <v>0</v>
          </cell>
          <cell r="CT1514">
            <v>0</v>
          </cell>
          <cell r="CU1514">
            <v>0</v>
          </cell>
        </row>
        <row r="1515">
          <cell r="CF1515" t="str">
            <v>Kohuwela</v>
          </cell>
          <cell r="CG1515">
            <v>4.3279136450413747</v>
          </cell>
          <cell r="CH1515">
            <v>0</v>
          </cell>
          <cell r="CI1515">
            <v>0</v>
          </cell>
          <cell r="CJ1515">
            <v>0.6080538305983223</v>
          </cell>
          <cell r="CK1515">
            <v>0</v>
          </cell>
          <cell r="CL1515">
            <v>0</v>
          </cell>
          <cell r="CM1515">
            <v>5.5691681338063344</v>
          </cell>
          <cell r="CN1515">
            <v>0</v>
          </cell>
          <cell r="CO1515">
            <v>0</v>
          </cell>
          <cell r="CP1515">
            <v>2.7017020888298573</v>
          </cell>
          <cell r="CQ1515">
            <v>0</v>
          </cell>
          <cell r="CR1515">
            <v>0</v>
          </cell>
          <cell r="CS1515">
            <v>0</v>
          </cell>
          <cell r="CT1515">
            <v>0</v>
          </cell>
          <cell r="CU1515">
            <v>0</v>
          </cell>
        </row>
        <row r="1516">
          <cell r="CF1516" t="str">
            <v>Mt lavinia-STC</v>
          </cell>
          <cell r="CG1516">
            <v>4.4659477816805699</v>
          </cell>
          <cell r="CH1516">
            <v>0</v>
          </cell>
          <cell r="CI1516">
            <v>0</v>
          </cell>
          <cell r="CJ1516">
            <v>1.7820611358183782</v>
          </cell>
          <cell r="CK1516">
            <v>0</v>
          </cell>
          <cell r="CL1516">
            <v>0</v>
          </cell>
          <cell r="CM1516">
            <v>10.484498197082729</v>
          </cell>
          <cell r="CN1516">
            <v>0</v>
          </cell>
          <cell r="CO1516">
            <v>0</v>
          </cell>
          <cell r="CP1516">
            <v>5.3823848363945288</v>
          </cell>
          <cell r="CQ1516">
            <v>0</v>
          </cell>
          <cell r="CR1516">
            <v>0</v>
          </cell>
          <cell r="CS1516">
            <v>0</v>
          </cell>
          <cell r="CT1516">
            <v>0</v>
          </cell>
          <cell r="CU1516">
            <v>0</v>
          </cell>
        </row>
        <row r="1517">
          <cell r="CF1517" t="str">
            <v>Mini Mart</v>
          </cell>
          <cell r="CG1517">
            <v>0.20812907003781683</v>
          </cell>
          <cell r="CH1517">
            <v>4.3624407895459942</v>
          </cell>
          <cell r="CI1517">
            <v>95.229068311103035</v>
          </cell>
          <cell r="CJ1517">
            <v>0.83489639735950993</v>
          </cell>
          <cell r="CK1517">
            <v>1.2734251828973226</v>
          </cell>
          <cell r="CL1517">
            <v>34.436949373033691</v>
          </cell>
          <cell r="CM1517">
            <v>9.7415524295795421</v>
          </cell>
          <cell r="CN1517">
            <v>6.2155691029412941</v>
          </cell>
          <cell r="CO1517">
            <v>-56.728245929559428</v>
          </cell>
          <cell r="CP1517">
            <v>1.6940664155857013</v>
          </cell>
          <cell r="CQ1517">
            <v>1.8645357050321549</v>
          </cell>
          <cell r="CR1517">
            <v>9.1427205704014032</v>
          </cell>
          <cell r="CS1517">
            <v>-7.9554689760099014E-6</v>
          </cell>
          <cell r="CT1517">
            <v>0</v>
          </cell>
          <cell r="CU1517">
            <v>0</v>
          </cell>
        </row>
        <row r="1518">
          <cell r="CF1518" t="str">
            <v>Express Maligawatte</v>
          </cell>
          <cell r="CG1518">
            <v>4.8279911045504313</v>
          </cell>
          <cell r="CH1518">
            <v>5.874802631578949</v>
          </cell>
          <cell r="CI1518">
            <v>17.818667156604885</v>
          </cell>
          <cell r="CJ1518">
            <v>1.9063007588096796</v>
          </cell>
          <cell r="CK1518">
            <v>1.1949963157894741</v>
          </cell>
          <cell r="CL1518">
            <v>-59.523567865586472</v>
          </cell>
          <cell r="CM1518">
            <v>6.9149426771075868</v>
          </cell>
          <cell r="CN1518">
            <v>7.1694215350877233</v>
          </cell>
          <cell r="CO1518">
            <v>3.5495033558104594</v>
          </cell>
          <cell r="CP1518">
            <v>1.5602799645092345</v>
          </cell>
          <cell r="CQ1518">
            <v>1.4986063673993795</v>
          </cell>
          <cell r="CR1518">
            <v>-4.1153967080015033</v>
          </cell>
          <cell r="CS1518">
            <v>0</v>
          </cell>
          <cell r="CT1518">
            <v>0</v>
          </cell>
          <cell r="CU1518">
            <v>0</v>
          </cell>
        </row>
        <row r="1519">
          <cell r="CF1519" t="str">
            <v>Express Peradeniya</v>
          </cell>
          <cell r="CG1519">
            <v>7.9460708639367743</v>
          </cell>
          <cell r="CH1519">
            <v>6.5275584795321651</v>
          </cell>
          <cell r="CI1519">
            <v>-21.731132533741395</v>
          </cell>
          <cell r="CJ1519">
            <v>2.5893910134869138</v>
          </cell>
          <cell r="CK1519">
            <v>1.3146157894736847</v>
          </cell>
          <cell r="CL1519">
            <v>-96.969413742063296</v>
          </cell>
          <cell r="CM1519">
            <v>11.660659437594303</v>
          </cell>
          <cell r="CN1519">
            <v>6.4211932748538008</v>
          </cell>
          <cell r="CO1519">
            <v>-81.596456273305293</v>
          </cell>
          <cell r="CP1519">
            <v>2.1915253493786659</v>
          </cell>
          <cell r="CQ1519">
            <v>1.6104593690778137</v>
          </cell>
          <cell r="CR1519">
            <v>-36.080760027717062</v>
          </cell>
          <cell r="CS1519">
            <v>0</v>
          </cell>
          <cell r="CT1519">
            <v>0</v>
          </cell>
          <cell r="CU1519">
            <v>0</v>
          </cell>
        </row>
        <row r="1520">
          <cell r="CF1520" t="str">
            <v>Express Alexandra Place</v>
          </cell>
          <cell r="CG1520">
            <v>6.1614956531413503</v>
          </cell>
          <cell r="CH1520">
            <v>0</v>
          </cell>
          <cell r="CI1520">
            <v>0</v>
          </cell>
          <cell r="CJ1520">
            <v>1.5415765729724922</v>
          </cell>
          <cell r="CK1520">
            <v>0</v>
          </cell>
          <cell r="CL1520">
            <v>0</v>
          </cell>
          <cell r="CM1520">
            <v>5.9939192377396511</v>
          </cell>
          <cell r="CN1520">
            <v>0</v>
          </cell>
          <cell r="CO1520">
            <v>0</v>
          </cell>
          <cell r="CP1520">
            <v>1.315305502933255</v>
          </cell>
          <cell r="CQ1520">
            <v>0</v>
          </cell>
          <cell r="CR1520">
            <v>0</v>
          </cell>
          <cell r="CS1520">
            <v>0</v>
          </cell>
          <cell r="CT1520">
            <v>0</v>
          </cell>
          <cell r="CU1520">
            <v>0</v>
          </cell>
        </row>
        <row r="1521">
          <cell r="CF1521" t="str">
            <v>Express Boralla</v>
          </cell>
          <cell r="CG1521">
            <v>17.266430705948995</v>
          </cell>
          <cell r="CH1521">
            <v>0</v>
          </cell>
          <cell r="CI1521">
            <v>0</v>
          </cell>
          <cell r="CJ1521">
            <v>6.8471085825702698</v>
          </cell>
          <cell r="CK1521">
            <v>0</v>
          </cell>
          <cell r="CL1521">
            <v>0</v>
          </cell>
          <cell r="CM1521">
            <v>19.993165391165853</v>
          </cell>
          <cell r="CN1521">
            <v>0</v>
          </cell>
          <cell r="CO1521">
            <v>0</v>
          </cell>
          <cell r="CP1521">
            <v>3.2350921837853459</v>
          </cell>
          <cell r="CQ1521">
            <v>0</v>
          </cell>
          <cell r="CR1521">
            <v>0</v>
          </cell>
          <cell r="CS1521">
            <v>0</v>
          </cell>
          <cell r="CT1521">
            <v>0</v>
          </cell>
          <cell r="CU1521">
            <v>0</v>
          </cell>
        </row>
        <row r="1522">
          <cell r="CF1522" t="str">
            <v>Express Havelock Road</v>
          </cell>
          <cell r="CG1522">
            <v>14.881321969598252</v>
          </cell>
          <cell r="CH1522">
            <v>0</v>
          </cell>
          <cell r="CI1522">
            <v>0</v>
          </cell>
          <cell r="CJ1522">
            <v>4.6105017916293161</v>
          </cell>
          <cell r="CK1522">
            <v>0</v>
          </cell>
          <cell r="CL1522">
            <v>0</v>
          </cell>
          <cell r="CM1522">
            <v>15.312344310649195</v>
          </cell>
          <cell r="CN1522">
            <v>0</v>
          </cell>
          <cell r="CO1522">
            <v>0</v>
          </cell>
          <cell r="CP1522">
            <v>2.3187024867128816</v>
          </cell>
          <cell r="CQ1522">
            <v>0</v>
          </cell>
          <cell r="CR1522">
            <v>0</v>
          </cell>
          <cell r="CS1522">
            <v>0</v>
          </cell>
          <cell r="CT1522">
            <v>0</v>
          </cell>
          <cell r="CU1522">
            <v>0</v>
          </cell>
        </row>
        <row r="1523">
          <cell r="CF1523" t="str">
            <v>Express Maradana</v>
          </cell>
          <cell r="CG1523">
            <v>12.122758616548937</v>
          </cell>
          <cell r="CH1523">
            <v>0</v>
          </cell>
          <cell r="CI1523">
            <v>0</v>
          </cell>
          <cell r="CJ1523">
            <v>20.931200983976503</v>
          </cell>
          <cell r="CK1523">
            <v>0</v>
          </cell>
          <cell r="CL1523">
            <v>0</v>
          </cell>
          <cell r="CM1523">
            <v>14.272513973332623</v>
          </cell>
          <cell r="CN1523">
            <v>0</v>
          </cell>
          <cell r="CO1523">
            <v>0</v>
          </cell>
          <cell r="CP1523">
            <v>12.892605294791966</v>
          </cell>
          <cell r="CQ1523">
            <v>0</v>
          </cell>
          <cell r="CR1523">
            <v>0</v>
          </cell>
          <cell r="CS1523">
            <v>0</v>
          </cell>
          <cell r="CT1523">
            <v>0</v>
          </cell>
          <cell r="CU1523">
            <v>0</v>
          </cell>
        </row>
        <row r="1524">
          <cell r="CF1524" t="str">
            <v xml:space="preserve">Food City </v>
          </cell>
          <cell r="CG1524">
            <v>3.0386474589515267</v>
          </cell>
          <cell r="CH1524">
            <v>3.4173092288283877</v>
          </cell>
          <cell r="CI1524">
            <v>11.080699594946633</v>
          </cell>
          <cell r="CJ1524">
            <v>0.42079299109447893</v>
          </cell>
          <cell r="CK1524">
            <v>0.45914337686833112</v>
          </cell>
          <cell r="CL1524">
            <v>8.3525947897643231</v>
          </cell>
          <cell r="CM1524">
            <v>4.0316840179647162</v>
          </cell>
          <cell r="CN1524">
            <v>4.1936986392933706</v>
          </cell>
          <cell r="CO1524">
            <v>3.8632871663843145</v>
          </cell>
          <cell r="CP1524">
            <v>2.1740268276654335</v>
          </cell>
          <cell r="CQ1524">
            <v>2.0091319159820884</v>
          </cell>
          <cell r="CR1524">
            <v>-8.207271527153182</v>
          </cell>
          <cell r="CS1524">
            <v>1.3537366321225537</v>
          </cell>
          <cell r="CT1524">
            <v>1.6179588470601878</v>
          </cell>
          <cell r="CU1524">
            <v>16.330589335923023</v>
          </cell>
        </row>
        <row r="1525">
          <cell r="CE1525">
            <v>34</v>
          </cell>
          <cell r="CT1525" t="str">
            <v>Appendix III</v>
          </cell>
        </row>
        <row r="1526">
          <cell r="CE1526" t="str">
            <v>CARGILLS ( CEYLON ) LTD</v>
          </cell>
        </row>
        <row r="1528">
          <cell r="CE1528" t="str">
            <v xml:space="preserve"> Margin Analysis by Profit Centres/Divisions  -Twelve  months ended 31st March 2004 </v>
          </cell>
        </row>
        <row r="1529">
          <cell r="CF1529" t="str">
            <v>YTD V BUD</v>
          </cell>
          <cell r="CU1529">
            <v>38154.357810300928</v>
          </cell>
        </row>
        <row r="1530">
          <cell r="CE1530" t="str">
            <v>Profit Centre</v>
          </cell>
          <cell r="CG1530" t="str">
            <v>Staff Related</v>
          </cell>
          <cell r="CJ1530" t="str">
            <v>Administration</v>
          </cell>
          <cell r="CM1530" t="str">
            <v>Establishment</v>
          </cell>
          <cell r="CP1530" t="str">
            <v>Selling &amp; Distribution</v>
          </cell>
          <cell r="CS1530" t="str">
            <v>D&amp;A and Finance</v>
          </cell>
        </row>
        <row r="1531">
          <cell r="CG1531">
            <v>38047</v>
          </cell>
          <cell r="CH1531" t="str">
            <v>Budget</v>
          </cell>
          <cell r="CI1531" t="str">
            <v>Var %</v>
          </cell>
          <cell r="CJ1531">
            <v>38047</v>
          </cell>
          <cell r="CK1531" t="str">
            <v>Budget</v>
          </cell>
          <cell r="CL1531" t="str">
            <v>Var %</v>
          </cell>
          <cell r="CM1531">
            <v>38047</v>
          </cell>
          <cell r="CN1531" t="str">
            <v>Budget</v>
          </cell>
          <cell r="CO1531" t="str">
            <v>Var %</v>
          </cell>
          <cell r="CP1531">
            <v>38047</v>
          </cell>
          <cell r="CQ1531" t="str">
            <v>Budget</v>
          </cell>
          <cell r="CR1531" t="str">
            <v>Var %</v>
          </cell>
          <cell r="CS1531">
            <v>38047</v>
          </cell>
          <cell r="CT1531" t="str">
            <v>Budget</v>
          </cell>
          <cell r="CU1531" t="str">
            <v>Var %</v>
          </cell>
        </row>
        <row r="1532">
          <cell r="CF1532" t="str">
            <v>Department Store</v>
          </cell>
          <cell r="CG1532">
            <v>5.6201637622361327</v>
          </cell>
          <cell r="CH1532">
            <v>4.7593364280054162</v>
          </cell>
          <cell r="CI1532">
            <v>-18.087129314190538</v>
          </cell>
          <cell r="CJ1532">
            <v>5.4594935445241514E-2</v>
          </cell>
          <cell r="CK1532">
            <v>4.6559496022308168E-2</v>
          </cell>
          <cell r="CL1532">
            <v>-17.2584329930962</v>
          </cell>
          <cell r="CM1532">
            <v>1.3609832574828677E-2</v>
          </cell>
          <cell r="CN1532">
            <v>7.9316671125399016E-2</v>
          </cell>
          <cell r="CO1532">
            <v>82.841145018161896</v>
          </cell>
          <cell r="CP1532">
            <v>0.19011309759833153</v>
          </cell>
          <cell r="CQ1532">
            <v>0.34025219359128345</v>
          </cell>
          <cell r="CR1532">
            <v>44.125827495267075</v>
          </cell>
          <cell r="CS1532">
            <v>6.0651207038562628E-4</v>
          </cell>
          <cell r="CT1532">
            <v>1.0897513168702251E-3</v>
          </cell>
          <cell r="CU1532">
            <v>44.34399289119154</v>
          </cell>
        </row>
        <row r="1533">
          <cell r="CF1533" t="str">
            <v>Books and Stationery</v>
          </cell>
          <cell r="CG1533">
            <v>9.4438514850423587</v>
          </cell>
          <cell r="CH1533">
            <v>9.4446015064216535</v>
          </cell>
          <cell r="CI1533">
            <v>7.9412707755308308E-3</v>
          </cell>
          <cell r="CJ1533">
            <v>1.0146826947658691</v>
          </cell>
          <cell r="CK1533">
            <v>1.2407443097991642</v>
          </cell>
          <cell r="CL1533">
            <v>18.219838950531798</v>
          </cell>
          <cell r="CM1533">
            <v>5.895724160833594</v>
          </cell>
          <cell r="CN1533">
            <v>6.7169751860835012</v>
          </cell>
          <cell r="CO1533">
            <v>12.22650080577055</v>
          </cell>
          <cell r="CP1533">
            <v>0.47991622057042671</v>
          </cell>
          <cell r="CQ1533">
            <v>0.59916127343235026</v>
          </cell>
          <cell r="CR1533">
            <v>19.901996031688988</v>
          </cell>
          <cell r="CS1533">
            <v>-2.4967466578970931E-2</v>
          </cell>
          <cell r="CT1533">
            <v>0.612848024181192</v>
          </cell>
          <cell r="CU1533">
            <v>104.07400621260537</v>
          </cell>
        </row>
        <row r="1534">
          <cell r="CF1534" t="str">
            <v>Hatton Liquor</v>
          </cell>
          <cell r="CG1534">
            <v>0.78866806155448654</v>
          </cell>
          <cell r="CH1534">
            <v>0.7276502816610938</v>
          </cell>
          <cell r="CI1534">
            <v>-8.3855914621650669</v>
          </cell>
          <cell r="CJ1534">
            <v>0.20330315330154328</v>
          </cell>
          <cell r="CK1534">
            <v>0.19389453755914665</v>
          </cell>
          <cell r="CL1534">
            <v>-4.8524398164267879</v>
          </cell>
          <cell r="CM1534">
            <v>0.19676313959515085</v>
          </cell>
          <cell r="CN1534">
            <v>0.19355124974278287</v>
          </cell>
          <cell r="CO1534">
            <v>-1.6594518798697357</v>
          </cell>
          <cell r="CP1534">
            <v>3.4766057323449298</v>
          </cell>
          <cell r="CQ1534">
            <v>3.2628617747311508</v>
          </cell>
          <cell r="CR1534">
            <v>-6.5508125189088275</v>
          </cell>
          <cell r="CS1534">
            <v>0</v>
          </cell>
          <cell r="CT1534">
            <v>0</v>
          </cell>
          <cell r="CU1534">
            <v>0</v>
          </cell>
        </row>
        <row r="1535">
          <cell r="CF1535" t="str">
            <v>Retail Division</v>
          </cell>
          <cell r="CG1535">
            <v>3.0601087937129359</v>
          </cell>
          <cell r="CH1535">
            <v>3.4330776683004194</v>
          </cell>
          <cell r="CI1535">
            <v>10.863980096673012</v>
          </cell>
          <cell r="CJ1535">
            <v>0.42183510499573468</v>
          </cell>
          <cell r="CK1535">
            <v>0.46069748727276694</v>
          </cell>
          <cell r="CL1535">
            <v>8.4355533404554599</v>
          </cell>
          <cell r="CM1535">
            <v>4.0159330353615177</v>
          </cell>
          <cell r="CN1535">
            <v>4.1765711387591962</v>
          </cell>
          <cell r="CO1535">
            <v>3.8461718491260255</v>
          </cell>
          <cell r="CP1535">
            <v>2.1697086977581583</v>
          </cell>
          <cell r="CQ1535">
            <v>2.006725797962535</v>
          </cell>
          <cell r="CR1535">
            <v>-8.1218320889232984</v>
          </cell>
          <cell r="CS1535">
            <v>1.3393357595317439</v>
          </cell>
          <cell r="CT1535">
            <v>1.6014853139093357</v>
          </cell>
          <cell r="CU1535">
            <v>16.369151318513605</v>
          </cell>
        </row>
        <row r="1536">
          <cell r="CF1536" t="str">
            <v>Commercial Division</v>
          </cell>
          <cell r="CG1536">
            <v>0</v>
          </cell>
          <cell r="CH1536">
            <v>0</v>
          </cell>
          <cell r="CI1536">
            <v>0</v>
          </cell>
          <cell r="CJ1536">
            <v>0</v>
          </cell>
          <cell r="CK1536">
            <v>0</v>
          </cell>
          <cell r="CL1536">
            <v>0</v>
          </cell>
          <cell r="CM1536">
            <v>0</v>
          </cell>
          <cell r="CN1536">
            <v>0</v>
          </cell>
          <cell r="CO1536">
            <v>0</v>
          </cell>
          <cell r="CP1536">
            <v>0</v>
          </cell>
          <cell r="CQ1536">
            <v>0</v>
          </cell>
          <cell r="CR1536">
            <v>0</v>
          </cell>
          <cell r="CS1536">
            <v>0</v>
          </cell>
          <cell r="CT1536">
            <v>0</v>
          </cell>
          <cell r="CU1536">
            <v>0</v>
          </cell>
        </row>
        <row r="1537">
          <cell r="CF1537" t="str">
            <v>Hampers</v>
          </cell>
          <cell r="CG1537">
            <v>1.4097298985874793</v>
          </cell>
          <cell r="CH1537">
            <v>7.7604686684305646E-2</v>
          </cell>
          <cell r="CI1537">
            <v>-1716.5525290015448</v>
          </cell>
          <cell r="CJ1537">
            <v>0.50576114190127019</v>
          </cell>
          <cell r="CK1537">
            <v>0.32832014011483912</v>
          </cell>
          <cell r="CL1537">
            <v>-54.045116368543866</v>
          </cell>
          <cell r="CM1537">
            <v>2.8730438330921364E-2</v>
          </cell>
          <cell r="CN1537">
            <v>2.4383355027621685E-2</v>
          </cell>
          <cell r="CO1537">
            <v>-17.828076974539652</v>
          </cell>
          <cell r="CP1537">
            <v>6.3266649234034382</v>
          </cell>
          <cell r="CQ1537">
            <v>7.967806313326796</v>
          </cell>
          <cell r="CR1537">
            <v>20.597154667005611</v>
          </cell>
          <cell r="CS1537">
            <v>0</v>
          </cell>
          <cell r="CT1537">
            <v>0</v>
          </cell>
          <cell r="CU1537">
            <v>0</v>
          </cell>
        </row>
        <row r="1538">
          <cell r="CF1538" t="str">
            <v>Wines &amp; Spirits</v>
          </cell>
          <cell r="CG1538">
            <v>2.4582625415327497</v>
          </cell>
          <cell r="CH1538">
            <v>2.0186441545031859</v>
          </cell>
          <cell r="CI1538">
            <v>-21.77790404756897</v>
          </cell>
          <cell r="CJ1538">
            <v>0.88674660093117363</v>
          </cell>
          <cell r="CK1538">
            <v>1.3459604636025688</v>
          </cell>
          <cell r="CL1538">
            <v>34.117931030624277</v>
          </cell>
          <cell r="CM1538">
            <v>5.8918146674048925E-2</v>
          </cell>
          <cell r="CN1538">
            <v>4.111986059479554E-2</v>
          </cell>
          <cell r="CO1538">
            <v>-43.283916389313049</v>
          </cell>
          <cell r="CP1538">
            <v>2.6654228584354538</v>
          </cell>
          <cell r="CQ1538">
            <v>2.3022922440763103</v>
          </cell>
          <cell r="CR1538">
            <v>-15.772568199952092</v>
          </cell>
          <cell r="CS1538">
            <v>-1.2908229719473143</v>
          </cell>
          <cell r="CT1538">
            <v>4.7052044609665437E-2</v>
          </cell>
          <cell r="CU1538">
            <v>2843.3940069039068</v>
          </cell>
        </row>
        <row r="1539">
          <cell r="CF1539" t="str">
            <v xml:space="preserve">Total </v>
          </cell>
          <cell r="CG1539">
            <v>3.2315197508789759</v>
          </cell>
          <cell r="CH1539">
            <v>3.6082302467327749</v>
          </cell>
          <cell r="CI1539">
            <v>10.440312011543817</v>
          </cell>
          <cell r="CJ1539">
            <v>0.50592832181126013</v>
          </cell>
          <cell r="CK1539">
            <v>0.54055872453346077</v>
          </cell>
          <cell r="CL1539">
            <v>6.4064089895300551</v>
          </cell>
          <cell r="CM1539">
            <v>3.9574478223507374</v>
          </cell>
          <cell r="CN1539">
            <v>4.1250015044105099</v>
          </cell>
          <cell r="CO1539">
            <v>4.0619059624735101</v>
          </cell>
          <cell r="CP1539">
            <v>2.3033170770969233</v>
          </cell>
          <cell r="CQ1539">
            <v>2.0863937820922049</v>
          </cell>
          <cell r="CR1539">
            <v>-10.397044741342688</v>
          </cell>
          <cell r="CS1539">
            <v>1.2973832561128431</v>
          </cell>
          <cell r="CT1539">
            <v>1.5849772775037412</v>
          </cell>
          <cell r="CU1539">
            <v>18.144993336676983</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00000"/>
      <sheetName val="P&amp;L"/>
      <sheetName val="Balance"/>
      <sheetName val="Equity"/>
      <sheetName val="Cash Flow"/>
      <sheetName val="Notes"/>
      <sheetName val="NOTE 2"/>
      <sheetName val="NOTE 3"/>
      <sheetName val="TB2009"/>
      <sheetName val="TB2008"/>
    </sheetNames>
    <sheetDataSet>
      <sheetData sheetId="0"/>
      <sheetData sheetId="1">
        <row r="2">
          <cell r="A2" t="str">
            <v>TROPICAL FISH INTERNATIONAL (PRIVATE) LIMITED</v>
          </cell>
        </row>
      </sheetData>
      <sheetData sheetId="2">
        <row r="11">
          <cell r="G11">
            <v>25982939.999999996</v>
          </cell>
        </row>
        <row r="35">
          <cell r="A35" t="str">
            <v>Trade and Other Payables</v>
          </cell>
        </row>
      </sheetData>
      <sheetData sheetId="3"/>
      <sheetData sheetId="4"/>
      <sheetData sheetId="5"/>
      <sheetData sheetId="6"/>
      <sheetData sheetId="7"/>
      <sheetData sheetId="8"/>
      <sheetData sheetId="9"/>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00000"/>
      <sheetName val="outstanding entries"/>
      <sheetName val="CI"/>
      <sheetName val="EQ"/>
      <sheetName val="FP"/>
      <sheetName val="CF"/>
      <sheetName val="5-8"/>
      <sheetName val="Note 8"/>
      <sheetName val="9 - 10"/>
      <sheetName val="PPE"/>
      <sheetName val="13 - 19"/>
      <sheetName val="20 - 25"/>
      <sheetName val="Note 19-22"/>
      <sheetName val="26 - 29"/>
      <sheetName val="Cash in hand at bank"/>
      <sheetName val="TB 16"/>
      <sheetName val="Sheet5"/>
      <sheetName val="BS"/>
      <sheetName val="PL"/>
      <sheetName val="Sheet4"/>
      <sheetName val="2012 TB"/>
      <sheetName val="Journal's Proposed"/>
      <sheetName val="TB"/>
      <sheetName val="Sheet1"/>
      <sheetName val="Wrong"/>
      <sheetName val="Sheet2"/>
      <sheetName val="tb 2014"/>
      <sheetName val="Other Work"/>
      <sheetName val="JE"/>
      <sheetName val="TFI PL"/>
      <sheetName val="TFI BL"/>
      <sheetName val="TB 2013"/>
      <sheetName val="Sheet3"/>
      <sheetName val="work"/>
      <sheetName val="Sheet6"/>
      <sheetName val="Sheet7"/>
      <sheetName val="11 - 18"/>
      <sheetName val="19-24"/>
      <sheetName val="24-28"/>
    </sheetNames>
    <sheetDataSet>
      <sheetData sheetId="0"/>
      <sheetData sheetId="1"/>
      <sheetData sheetId="2"/>
      <sheetData sheetId="3"/>
      <sheetData sheetId="4">
        <row r="21">
          <cell r="A21" t="str">
            <v xml:space="preserve">Cash and Cash Equivalents </v>
          </cell>
          <cell r="B21">
            <v>18</v>
          </cell>
        </row>
      </sheetData>
      <sheetData sheetId="5"/>
      <sheetData sheetId="6">
        <row r="3">
          <cell r="A3" t="str">
            <v>NOTES TO THE FINANCIAL STATEMENTS FOR THE  YEAR ENDED 31 DECEMBER  2016</v>
          </cell>
        </row>
      </sheetData>
      <sheetData sheetId="7"/>
      <sheetData sheetId="8">
        <row r="2">
          <cell r="A2" t="str">
            <v>TROPICAL FISH INTERNATIONAL (PRIVATE) LIMITED</v>
          </cell>
        </row>
      </sheetData>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refreshError="1"/>
      <sheetData sheetId="37" refreshError="1"/>
      <sheetData sheetId="38"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s>
    <sheetDataSet>
      <sheetData sheetId="0">
        <row r="1">
          <cell r="B1">
            <v>0</v>
          </cell>
          <cell r="C1" t="str">
            <v>Dec 31, 15</v>
          </cell>
          <cell r="D1">
            <v>0</v>
          </cell>
        </row>
        <row r="2">
          <cell r="B2">
            <v>0</v>
          </cell>
          <cell r="C2" t="str">
            <v>Debit</v>
          </cell>
          <cell r="D2" t="str">
            <v>Credit</v>
          </cell>
        </row>
        <row r="3">
          <cell r="B3" t="str">
            <v>1630000 · Bank Current and Cash Accounts</v>
          </cell>
          <cell r="C3">
            <v>0</v>
          </cell>
          <cell r="D3">
            <v>78120</v>
          </cell>
        </row>
        <row r="4">
          <cell r="B4" t="str">
            <v>1630000 · Bank Current and Cash Accounts:1630010 · HNB Head Office Account</v>
          </cell>
          <cell r="C4">
            <v>0</v>
          </cell>
          <cell r="D4">
            <v>2361759.59</v>
          </cell>
        </row>
        <row r="5">
          <cell r="B5" t="str">
            <v>1630000 · Bank Current and Cash Accounts:1630020 · HNB FCBU (US$) Account</v>
          </cell>
          <cell r="C5">
            <v>7496494.0300000003</v>
          </cell>
          <cell r="D5">
            <v>0</v>
          </cell>
        </row>
        <row r="6">
          <cell r="B6" t="str">
            <v>1630000 · Bank Current and Cash Accounts:1630030 · Commercial Bank</v>
          </cell>
          <cell r="C6">
            <v>64334.34</v>
          </cell>
          <cell r="D6">
            <v>0</v>
          </cell>
        </row>
        <row r="7">
          <cell r="B7" t="str">
            <v>1630000 · Bank Current and Cash Accounts:1630040 · HNB-Secondary Account-(SLFarm)</v>
          </cell>
          <cell r="C7">
            <v>0</v>
          </cell>
          <cell r="D7">
            <v>982938.51</v>
          </cell>
        </row>
        <row r="8">
          <cell r="B8" t="str">
            <v>1630000 · Bank Current and Cash Accounts:1630050 · HSBC Current Account</v>
          </cell>
          <cell r="C8">
            <v>0</v>
          </cell>
          <cell r="D8">
            <v>0</v>
          </cell>
        </row>
        <row r="9">
          <cell r="B9" t="str">
            <v>1630000 · Bank Current and Cash Accounts:1630060 · BOC - Nugegoda-LKR Current A/c</v>
          </cell>
          <cell r="C9">
            <v>0</v>
          </cell>
          <cell r="D9">
            <v>16563760.439999999</v>
          </cell>
        </row>
        <row r="10">
          <cell r="B10" t="str">
            <v>1630000 · Bank Current and Cash Accounts:1630070 · BOC - Offshore US$ Current A/c</v>
          </cell>
          <cell r="C10">
            <v>583854.43999999994</v>
          </cell>
          <cell r="D10">
            <v>0</v>
          </cell>
        </row>
        <row r="11">
          <cell r="B11" t="str">
            <v>1630000 · Bank Current and Cash Accounts:1630080 · BOC - Offshore US$ Savings A/c</v>
          </cell>
          <cell r="C11">
            <v>11806577.789999999</v>
          </cell>
          <cell r="D11">
            <v>0</v>
          </cell>
        </row>
        <row r="12">
          <cell r="B12" t="str">
            <v>1630000 · Bank Current and Cash Accounts:1630090 · People's Bank - Dehiwala - LKR</v>
          </cell>
          <cell r="C12">
            <v>0</v>
          </cell>
          <cell r="D12">
            <v>0</v>
          </cell>
        </row>
        <row r="13">
          <cell r="B13" t="str">
            <v>1630000 · Bank Current and Cash Accounts:1630091 · BOC - Fixed Deposit - 7171</v>
          </cell>
          <cell r="C13">
            <v>18403300</v>
          </cell>
          <cell r="D13">
            <v>0</v>
          </cell>
        </row>
        <row r="14">
          <cell r="B14" t="str">
            <v>1630000 · Bank Current and Cash Accounts:1630092 · BOC -  Wadduwa Current AC -</v>
          </cell>
          <cell r="C14">
            <v>24625</v>
          </cell>
          <cell r="D14">
            <v>0</v>
          </cell>
        </row>
        <row r="15">
          <cell r="B15" t="str">
            <v>1630000 · Bank Current and Cash Accounts:1630100 · People's Bank-PiliyandalaUS$A/c</v>
          </cell>
          <cell r="C15">
            <v>87292.53</v>
          </cell>
          <cell r="D15">
            <v>0</v>
          </cell>
        </row>
        <row r="16">
          <cell r="B16" t="str">
            <v>1630000 · Bank Current and Cash Accounts:1630110 · People's Bank - Piliyandala-LKR</v>
          </cell>
          <cell r="C16">
            <v>0</v>
          </cell>
          <cell r="D16">
            <v>0</v>
          </cell>
        </row>
        <row r="17">
          <cell r="B17" t="str">
            <v>1630000 · Bank Current and Cash Accounts:1630115 · Peoples Bank - LKR Savings A/c-</v>
          </cell>
          <cell r="C17">
            <v>95000</v>
          </cell>
          <cell r="D17">
            <v>0</v>
          </cell>
        </row>
        <row r="18">
          <cell r="B18" t="str">
            <v>1630000 · Bank Current and Cash Accounts:1630116 · Peoples bank - Offshore - Curre</v>
          </cell>
          <cell r="C18">
            <v>228914.09</v>
          </cell>
          <cell r="D18">
            <v>0</v>
          </cell>
        </row>
        <row r="19">
          <cell r="B19" t="str">
            <v>1630000 · Bank Current and Cash Accounts:1630118 · Sampath Bank AC-013410002609</v>
          </cell>
          <cell r="C19">
            <v>17045.25</v>
          </cell>
          <cell r="D19">
            <v>0</v>
          </cell>
        </row>
        <row r="20">
          <cell r="B20" t="str">
            <v>1630000 · Bank Current and Cash Accounts:1630120 · Nations Trust Bank - Current A/</v>
          </cell>
          <cell r="C20">
            <v>0</v>
          </cell>
          <cell r="D20">
            <v>984628.9</v>
          </cell>
        </row>
        <row r="21">
          <cell r="B21" t="str">
            <v>1630000 · Bank Current and Cash Accounts:1630121 · Nations Trsut Bk - Saving A/C</v>
          </cell>
          <cell r="C21">
            <v>150000</v>
          </cell>
          <cell r="D21">
            <v>0</v>
          </cell>
        </row>
        <row r="22">
          <cell r="B22" t="str">
            <v>1630000 · Bank Current and Cash Accounts:1630199 · Bank Errors Adjustment Account</v>
          </cell>
          <cell r="C22">
            <v>0</v>
          </cell>
          <cell r="D22">
            <v>862077.39</v>
          </cell>
        </row>
        <row r="23">
          <cell r="B23" t="str">
            <v>1630000 · Bank Current and Cash Accounts:1631000 · Petty Cash Floats &amp; Advances</v>
          </cell>
          <cell r="C23">
            <v>0</v>
          </cell>
          <cell r="D23">
            <v>0</v>
          </cell>
        </row>
        <row r="24">
          <cell r="B24" t="str">
            <v>1630000 · Bank Current and Cash Accounts:1631000 · Petty Cash Floats &amp; Advances:1631010 · General Float - Head Office</v>
          </cell>
          <cell r="C24">
            <v>6729.43</v>
          </cell>
          <cell r="D24">
            <v>0</v>
          </cell>
        </row>
        <row r="25">
          <cell r="B25" t="str">
            <v>1630000 · Bank Current and Cash Accounts:1631000 · Petty Cash Floats &amp; Advances:1631011 · Provisions Float</v>
          </cell>
          <cell r="C25">
            <v>0</v>
          </cell>
          <cell r="D25">
            <v>0</v>
          </cell>
        </row>
        <row r="26">
          <cell r="B26" t="str">
            <v>1630000 · Bank Current and Cash Accounts:1631000 · Petty Cash Floats &amp; Advances:1631020 · Petty Cash Float -Diyatha Uyana</v>
          </cell>
          <cell r="C26">
            <v>0</v>
          </cell>
          <cell r="D26">
            <v>1400</v>
          </cell>
        </row>
        <row r="27">
          <cell r="B27" t="str">
            <v>1630000 · Bank Current and Cash Accounts:1631000 · Petty Cash Floats &amp; Advances:1631030 · Diyatha Uyana Sales Receipt A/c</v>
          </cell>
          <cell r="C27">
            <v>5000</v>
          </cell>
          <cell r="D27">
            <v>0</v>
          </cell>
        </row>
        <row r="28">
          <cell r="B28" t="str">
            <v>1630000 · Bank Current and Cash Accounts:1631000 · Petty Cash Floats &amp; Advances:1631050 · Staff meals expenses Flout</v>
          </cell>
          <cell r="C28">
            <v>5988</v>
          </cell>
          <cell r="D28">
            <v>0</v>
          </cell>
        </row>
        <row r="29">
          <cell r="B29" t="str">
            <v>1630000 · Bank Current and Cash Accounts:1631000 · Petty Cash Floats &amp; Advances:1631060 · Fish Purchasing Float Wadduwa</v>
          </cell>
          <cell r="C29">
            <v>190014.25</v>
          </cell>
          <cell r="D29">
            <v>0</v>
          </cell>
        </row>
        <row r="30">
          <cell r="B30" t="str">
            <v>1630000 · Bank Current and Cash Accounts:1631000 · Petty Cash Floats &amp; Advances:1631100 · General Float - Wagawatta Farm</v>
          </cell>
          <cell r="C30">
            <v>0</v>
          </cell>
          <cell r="D30">
            <v>29863</v>
          </cell>
        </row>
        <row r="31">
          <cell r="B31" t="str">
            <v>1630000 · Bank Current and Cash Accounts:1631000 · Petty Cash Floats &amp; Advances:1631101 · Fresh Water Fish</v>
          </cell>
          <cell r="C31">
            <v>0</v>
          </cell>
          <cell r="D31">
            <v>0</v>
          </cell>
        </row>
        <row r="32">
          <cell r="B32" t="str">
            <v>1630000 · Bank Current and Cash Accounts:1631000 · Petty Cash Floats &amp; Advances:1631102 · Sea Water Fish</v>
          </cell>
          <cell r="C32">
            <v>0</v>
          </cell>
          <cell r="D32">
            <v>0</v>
          </cell>
        </row>
        <row r="33">
          <cell r="B33" t="str">
            <v>1630000 · Bank Current and Cash Accounts:1631000 · Petty Cash Floats &amp; Advances:1631103 · Repair &amp; Maintenance</v>
          </cell>
          <cell r="C33">
            <v>0</v>
          </cell>
          <cell r="D33">
            <v>0</v>
          </cell>
        </row>
        <row r="34">
          <cell r="B34" t="str">
            <v>1630000 · Bank Current and Cash Accounts:1631000 · Petty Cash Floats &amp; Advances:1631104 · Petty Cash - Farm</v>
          </cell>
          <cell r="C34">
            <v>0</v>
          </cell>
          <cell r="D34">
            <v>0</v>
          </cell>
        </row>
        <row r="35">
          <cell r="B35" t="str">
            <v>1630000 · Bank Current and Cash Accounts:1631000 · Petty Cash Floats &amp; Advances:1631110 · Dry Goods Float -Wagawatta Farm</v>
          </cell>
          <cell r="C35">
            <v>74133</v>
          </cell>
          <cell r="D35">
            <v>0</v>
          </cell>
        </row>
        <row r="36">
          <cell r="B36" t="str">
            <v>1630000 · Bank Current and Cash Accounts:1631000 · Petty Cash Floats &amp; Advances:1631111 · Dry Goods Float - Diyatha Uyana</v>
          </cell>
          <cell r="C36">
            <v>22293.5</v>
          </cell>
          <cell r="D36">
            <v>0</v>
          </cell>
        </row>
        <row r="37">
          <cell r="B37" t="str">
            <v>1630000 · Bank Current and Cash Accounts:1631000 · Petty Cash Floats &amp; Advances:1631112 · Dry Goods float - HO purchasing</v>
          </cell>
          <cell r="C37">
            <v>0</v>
          </cell>
          <cell r="D37">
            <v>0</v>
          </cell>
        </row>
        <row r="38">
          <cell r="B38" t="str">
            <v>1630000 · Bank Current and Cash Accounts:1631000 · Petty Cash Floats &amp; Advances:1631113 · Dry Good Horana - HO Purchases</v>
          </cell>
          <cell r="C38">
            <v>6059.42</v>
          </cell>
          <cell r="D38">
            <v>0</v>
          </cell>
        </row>
        <row r="39">
          <cell r="B39" t="str">
            <v>1630000 · Bank Current and Cash Accounts:1631000 · Petty Cash Floats &amp; Advances:1631300 · General Float -Minuwangoda Farm</v>
          </cell>
          <cell r="C39">
            <v>8955.5</v>
          </cell>
          <cell r="D39">
            <v>0</v>
          </cell>
        </row>
        <row r="40">
          <cell r="B40" t="str">
            <v>1630000 · Bank Current and Cash Accounts:1631000 · Petty Cash Floats &amp; Advances:1631400 · General Float - Wadduwa Farm</v>
          </cell>
          <cell r="C40">
            <v>0</v>
          </cell>
          <cell r="D40">
            <v>23917.81</v>
          </cell>
        </row>
        <row r="41">
          <cell r="B41" t="str">
            <v>1630000 · Bank Current and Cash Accounts:1631000 · Petty Cash Floats &amp; Advances:1631410 · Dry Goods Float - Wadduwa Farm</v>
          </cell>
          <cell r="C41">
            <v>314491</v>
          </cell>
          <cell r="D41">
            <v>0</v>
          </cell>
        </row>
        <row r="42">
          <cell r="B42" t="str">
            <v>1630000 · Bank Current and Cash Accounts:1631000 · Petty Cash Floats &amp; Advances:1631500 · Project Float - Madala@Ingiriya</v>
          </cell>
          <cell r="C42">
            <v>0</v>
          </cell>
          <cell r="D42">
            <v>112680</v>
          </cell>
        </row>
        <row r="43">
          <cell r="B43" t="str">
            <v>1630000 · Bank Current and Cash Accounts:1631000 · Petty Cash Floats &amp; Advances:1632000 · Advances for Fish Purchases</v>
          </cell>
          <cell r="C43">
            <v>134676</v>
          </cell>
          <cell r="D43">
            <v>0</v>
          </cell>
        </row>
        <row r="44">
          <cell r="B44" t="str">
            <v>1630000 · Bank Current and Cash Accounts:1631000 · Petty Cash Floats &amp; Advances:1632010 · Advances for Live Rocks</v>
          </cell>
          <cell r="C44">
            <v>69684.5</v>
          </cell>
          <cell r="D44">
            <v>0</v>
          </cell>
        </row>
        <row r="45">
          <cell r="B45" t="str">
            <v>1630000 · Bank Current and Cash Accounts:1631000 · Petty Cash Floats &amp; Advances:1632020 · Advances Cardboard Box Project</v>
          </cell>
          <cell r="C45">
            <v>0</v>
          </cell>
          <cell r="D45">
            <v>0</v>
          </cell>
        </row>
        <row r="46">
          <cell r="B46" t="str">
            <v>1630000 · Bank Current and Cash Accounts:1631000 · Petty Cash Floats &amp; Advances:1632060 · Fish Purchase – Horana farm</v>
          </cell>
          <cell r="C46">
            <v>41021</v>
          </cell>
          <cell r="D46">
            <v>0</v>
          </cell>
        </row>
        <row r="47">
          <cell r="B47" t="str">
            <v>1630302 · CIS International (Pvt) Ltd</v>
          </cell>
          <cell r="C47">
            <v>0</v>
          </cell>
          <cell r="D47">
            <v>0</v>
          </cell>
        </row>
        <row r="48">
          <cell r="B48" t="str">
            <v>1610000 · Accounts Receivable</v>
          </cell>
          <cell r="C48">
            <v>25188532.25</v>
          </cell>
          <cell r="D48">
            <v>0</v>
          </cell>
        </row>
        <row r="49">
          <cell r="B49" t="str">
            <v>1120 · Inventory Asset</v>
          </cell>
          <cell r="C49">
            <v>4214.62</v>
          </cell>
          <cell r="D49">
            <v>0</v>
          </cell>
        </row>
        <row r="50">
          <cell r="B50" t="str">
            <v>12000 · Undeposited Funds</v>
          </cell>
          <cell r="C50">
            <v>2277.44</v>
          </cell>
          <cell r="D50">
            <v>0</v>
          </cell>
        </row>
        <row r="51">
          <cell r="B51" t="str">
            <v>1600000 · Other Current Assets Accounts:1600010 · Live Fish Inventory</v>
          </cell>
          <cell r="C51">
            <v>9929182.1099999994</v>
          </cell>
          <cell r="D51">
            <v>0</v>
          </cell>
        </row>
        <row r="52">
          <cell r="B52" t="str">
            <v>1600000 · Other Current Assets Accounts:1600011 · Fish Inventory - Diyatha Uyana</v>
          </cell>
          <cell r="C52">
            <v>121639.55</v>
          </cell>
          <cell r="D52">
            <v>0</v>
          </cell>
        </row>
        <row r="53">
          <cell r="B53" t="str">
            <v>1600000 · Other Current Assets Accounts:1600012 · Accessories Inveontory - Diyath</v>
          </cell>
          <cell r="C53">
            <v>0</v>
          </cell>
          <cell r="D53">
            <v>0</v>
          </cell>
        </row>
        <row r="54">
          <cell r="B54" t="str">
            <v>1600000 · Other Current Assets Accounts:1600013 · Live Aquatic Plants Inventory</v>
          </cell>
          <cell r="C54">
            <v>0</v>
          </cell>
          <cell r="D54">
            <v>0</v>
          </cell>
        </row>
        <row r="55">
          <cell r="B55" t="str">
            <v>1600000 · Other Current Assets Accounts:1600020 · Dried Goods Inventory</v>
          </cell>
          <cell r="C55">
            <v>1886684.43</v>
          </cell>
          <cell r="D55">
            <v>0</v>
          </cell>
        </row>
        <row r="56">
          <cell r="B56" t="str">
            <v>1600000 · Other Current Assets Accounts:1600030 · Scrap Items Inventory</v>
          </cell>
          <cell r="C56">
            <v>0</v>
          </cell>
          <cell r="D56">
            <v>0</v>
          </cell>
        </row>
        <row r="57">
          <cell r="B57" t="str">
            <v>1600000 · Other Current Assets Accounts:1600040 · Live Rocks Inventory</v>
          </cell>
          <cell r="C57">
            <v>2729957.38</v>
          </cell>
          <cell r="D57">
            <v>0</v>
          </cell>
        </row>
        <row r="58">
          <cell r="B58" t="str">
            <v>1600000 · Other Current Assets Accounts:1600050 · Cups &amp; Lids Lable Stock</v>
          </cell>
          <cell r="C58">
            <v>0</v>
          </cell>
          <cell r="D58">
            <v>0</v>
          </cell>
        </row>
        <row r="59">
          <cell r="B59" t="str">
            <v>1600000 · Other Current Assets Accounts:1600060 · Cardboard Cartoon Boxes Invento</v>
          </cell>
          <cell r="C59">
            <v>1486849.2</v>
          </cell>
          <cell r="D59">
            <v>0</v>
          </cell>
        </row>
        <row r="60">
          <cell r="B60" t="str">
            <v>1600000 · Other Current Assets Accounts:1600070 · Equipments Inventory</v>
          </cell>
          <cell r="C60">
            <v>3542720.11</v>
          </cell>
          <cell r="D60">
            <v>0</v>
          </cell>
        </row>
        <row r="61">
          <cell r="B61" t="str">
            <v>1600000 · Other Current Assets Accounts:1600900 · Investment on Joint Venture</v>
          </cell>
          <cell r="C61">
            <v>0</v>
          </cell>
          <cell r="D61">
            <v>0</v>
          </cell>
        </row>
        <row r="62">
          <cell r="B62" t="str">
            <v>1600000 · Other Current Assets Accounts:1601000 · Advances</v>
          </cell>
          <cell r="C62">
            <v>370888</v>
          </cell>
          <cell r="D62">
            <v>0</v>
          </cell>
        </row>
        <row r="63">
          <cell r="B63" t="str">
            <v>1600000 · Other Current Assets Accounts:1601000 · Advances:1601010 · Salary Advances</v>
          </cell>
          <cell r="C63">
            <v>102000</v>
          </cell>
          <cell r="D63">
            <v>0</v>
          </cell>
        </row>
        <row r="64">
          <cell r="B64" t="str">
            <v>1600000 · Other Current Assets Accounts:1601000 · Advances:1601020 · Festival Advances</v>
          </cell>
          <cell r="C64">
            <v>39000</v>
          </cell>
          <cell r="D64">
            <v>0</v>
          </cell>
        </row>
        <row r="65">
          <cell r="B65" t="str">
            <v>1600000 · Other Current Assets Accounts:1601000 · Advances:1601030 · Genaral Advances</v>
          </cell>
          <cell r="C65">
            <v>1484322.02</v>
          </cell>
          <cell r="D65">
            <v>0</v>
          </cell>
        </row>
        <row r="66">
          <cell r="B66" t="str">
            <v>1600000 · Other Current Assets Accounts:1601000 · Advances:1601030 · Genaral Advances:1601130 · Horana Farm Advance</v>
          </cell>
          <cell r="C66">
            <v>14930</v>
          </cell>
          <cell r="D66">
            <v>0</v>
          </cell>
        </row>
        <row r="67">
          <cell r="B67" t="str">
            <v>1600000 · Other Current Assets Accounts:1601000 · Advances:1601030 · Genaral Advances:1601140 · Head Office Advance</v>
          </cell>
          <cell r="C67">
            <v>39700</v>
          </cell>
          <cell r="D67">
            <v>0</v>
          </cell>
        </row>
        <row r="68">
          <cell r="B68" t="str">
            <v>1600000 · Other Current Assets Accounts:1601000 · Advances:1601030 · Genaral Advances:1601150 · Wadduwa Farm Advance</v>
          </cell>
          <cell r="C68">
            <v>239418.5</v>
          </cell>
          <cell r="D68">
            <v>0</v>
          </cell>
        </row>
        <row r="69">
          <cell r="B69" t="str">
            <v>1600000 · Other Current Assets Accounts:1601000 · Advances:1601040 · Fixed Assets</v>
          </cell>
          <cell r="C69">
            <v>1068716.8999999999</v>
          </cell>
          <cell r="D69">
            <v>0</v>
          </cell>
        </row>
        <row r="70">
          <cell r="B70" t="str">
            <v>1600000 · Other Current Assets Accounts:1601000 · Advances:1601060 · Petty Cash Advances</v>
          </cell>
          <cell r="C70">
            <v>800</v>
          </cell>
          <cell r="D70">
            <v>0</v>
          </cell>
        </row>
        <row r="71">
          <cell r="B71" t="str">
            <v>1600000 · Other Current Assets Accounts:1601000 · Advances:1601060 · Petty Cash Advances:1632030 · Advances to Maldives Export Ctr</v>
          </cell>
          <cell r="C71">
            <v>1039925</v>
          </cell>
          <cell r="D71">
            <v>0</v>
          </cell>
        </row>
        <row r="72">
          <cell r="B72" t="str">
            <v>1600000 · Other Current Assets Accounts:1601000 · Advances:1601070 · Fuel Advance</v>
          </cell>
          <cell r="C72">
            <v>2000</v>
          </cell>
          <cell r="D72">
            <v>0</v>
          </cell>
        </row>
        <row r="73">
          <cell r="B73" t="str">
            <v>1600000 · Other Current Assets Accounts:1602000 · Staff Loans</v>
          </cell>
          <cell r="C73">
            <v>224667.36</v>
          </cell>
          <cell r="D73">
            <v>0</v>
          </cell>
        </row>
        <row r="74">
          <cell r="B74" t="str">
            <v>1600000 · Other Current Assets Accounts:1602010 · Insurance Claims - Medical</v>
          </cell>
          <cell r="C74">
            <v>0</v>
          </cell>
          <cell r="D74">
            <v>25561.35</v>
          </cell>
        </row>
        <row r="75">
          <cell r="B75" t="str">
            <v>1600000 · Other Current Assets Accounts:1602020 · Other Loan</v>
          </cell>
          <cell r="C75">
            <v>26067.5</v>
          </cell>
          <cell r="D75">
            <v>0</v>
          </cell>
        </row>
        <row r="76">
          <cell r="B76" t="str">
            <v>1600000 · Other Current Assets Accounts:1603000 · Refundable Deposits</v>
          </cell>
          <cell r="C76">
            <v>4080</v>
          </cell>
          <cell r="D76">
            <v>0</v>
          </cell>
        </row>
        <row r="77">
          <cell r="B77" t="str">
            <v>1600000 · Other Current Assets Accounts:1603000 · Refundable Deposits:1603010 · Rent Deposit - Head Office</v>
          </cell>
          <cell r="C77">
            <v>1230000</v>
          </cell>
          <cell r="D77">
            <v>0</v>
          </cell>
        </row>
        <row r="78">
          <cell r="B78" t="str">
            <v>1600000 · Other Current Assets Accounts:1603000 · Refundable Deposits:1603020 · Sim Deposit - Mobile Phones</v>
          </cell>
          <cell r="C78">
            <v>14500</v>
          </cell>
          <cell r="D78">
            <v>0</v>
          </cell>
        </row>
        <row r="79">
          <cell r="B79" t="str">
            <v>1600000 · Other Current Assets Accounts:1603000 · Refundable Deposits:1603030 · Electricity Deposit</v>
          </cell>
          <cell r="C79">
            <v>64167</v>
          </cell>
          <cell r="D79">
            <v>0</v>
          </cell>
        </row>
        <row r="80">
          <cell r="B80" t="str">
            <v>1600000 · Other Current Assets Accounts:1603000 · Refundable Deposits:1603040 · Vehicle Hiring</v>
          </cell>
          <cell r="C80">
            <v>15000</v>
          </cell>
          <cell r="D80">
            <v>0</v>
          </cell>
        </row>
        <row r="81">
          <cell r="B81" t="str">
            <v>1600000 · Other Current Assets Accounts:1603000 · Refundable Deposits:1603050 · Diyatha Uyana</v>
          </cell>
          <cell r="C81">
            <v>72000</v>
          </cell>
          <cell r="D81">
            <v>0</v>
          </cell>
        </row>
        <row r="82">
          <cell r="B82" t="str">
            <v>1600000 · Other Current Assets Accounts:1603000 · Refundable Deposits:1603060 · Kloudip</v>
          </cell>
          <cell r="C82">
            <v>64000</v>
          </cell>
          <cell r="D82">
            <v>0</v>
          </cell>
        </row>
        <row r="83">
          <cell r="B83" t="str">
            <v>1600000 · Other Current Assets Accounts:1603000 · Refundable Deposits:1603900 · Sundries</v>
          </cell>
          <cell r="C83">
            <v>72300</v>
          </cell>
          <cell r="D83">
            <v>0</v>
          </cell>
        </row>
        <row r="84">
          <cell r="B84" t="str">
            <v>1600000 · Other Current Assets Accounts:1604000 · VAT Receivable</v>
          </cell>
          <cell r="C84">
            <v>2356494.89</v>
          </cell>
          <cell r="D84">
            <v>0</v>
          </cell>
        </row>
        <row r="85">
          <cell r="B85" t="str">
            <v>1600000 · Other Current Assets Accounts:1604010 · ESC Receivable</v>
          </cell>
          <cell r="C85">
            <v>237808</v>
          </cell>
          <cell r="D85">
            <v>0</v>
          </cell>
        </row>
        <row r="86">
          <cell r="B86" t="str">
            <v>1600000 · Other Current Assets Accounts:1605000 · Prepayments:1605010 · Insurance</v>
          </cell>
          <cell r="C86">
            <v>1092038</v>
          </cell>
          <cell r="D86">
            <v>0</v>
          </cell>
        </row>
        <row r="87">
          <cell r="B87" t="str">
            <v>1600000 · Other Current Assets Accounts:1605000 · Prepayments:1605030 · Leases</v>
          </cell>
          <cell r="C87">
            <v>202397.09</v>
          </cell>
          <cell r="D87">
            <v>0</v>
          </cell>
        </row>
        <row r="88">
          <cell r="B88" t="str">
            <v>1600000 · Other Current Assets Accounts:1606000 · CIS International (Pvt) Ltd</v>
          </cell>
          <cell r="C88">
            <v>18398582.140000001</v>
          </cell>
          <cell r="D88">
            <v>0</v>
          </cell>
        </row>
        <row r="89">
          <cell r="B89" t="str">
            <v>1600000 · Other Current Assets Accounts:1606010 · Teknowledge Shared Services (Pv</v>
          </cell>
          <cell r="C89">
            <v>49599709.520000003</v>
          </cell>
          <cell r="D89">
            <v>0</v>
          </cell>
        </row>
        <row r="90">
          <cell r="B90" t="str">
            <v>1600000 · Other Current Assets Accounts:1606020 · Siam Tropical Fish</v>
          </cell>
          <cell r="C90">
            <v>3560272.24</v>
          </cell>
          <cell r="D90">
            <v>0</v>
          </cell>
        </row>
        <row r="91">
          <cell r="B91" t="str">
            <v>1600000 · Other Current Assets Accounts:1606030 · Ocenic Engineering Ltd.</v>
          </cell>
          <cell r="C91">
            <v>0</v>
          </cell>
          <cell r="D91">
            <v>0</v>
          </cell>
        </row>
        <row r="92">
          <cell r="B92" t="str">
            <v>1600000 · Other Current Assets Accounts:1606040 · Colombo Tropical Fish Internati</v>
          </cell>
          <cell r="C92">
            <v>10373726.800000001</v>
          </cell>
          <cell r="D92">
            <v>0</v>
          </cell>
        </row>
        <row r="93">
          <cell r="B93" t="str">
            <v>1600000 · Other Current Assets Accounts:1606050 · TFI - UK Ltd.</v>
          </cell>
          <cell r="C93">
            <v>31501</v>
          </cell>
          <cell r="D93">
            <v>0</v>
          </cell>
        </row>
        <row r="94">
          <cell r="B94" t="str">
            <v>1600000 · Other Current Assets Accounts:1606060 · TFM - Tropical Fish Maldives</v>
          </cell>
          <cell r="C94">
            <v>9855592.2699999996</v>
          </cell>
          <cell r="D94">
            <v>0</v>
          </cell>
        </row>
        <row r="95">
          <cell r="B95" t="str">
            <v>1600000 · Other Current Assets Accounts:1606070 · CIS Maldives</v>
          </cell>
          <cell r="C95">
            <v>0</v>
          </cell>
          <cell r="D95">
            <v>543983</v>
          </cell>
        </row>
        <row r="96">
          <cell r="B96" t="str">
            <v>1600000 · Other Current Assets Accounts:1607000 · Disposal of Fixed Assets</v>
          </cell>
          <cell r="C96">
            <v>0</v>
          </cell>
          <cell r="D96">
            <v>0</v>
          </cell>
        </row>
        <row r="97">
          <cell r="B97" t="str">
            <v>1000000 · Non Current Assets</v>
          </cell>
          <cell r="C97">
            <v>0</v>
          </cell>
          <cell r="D97">
            <v>500000</v>
          </cell>
        </row>
        <row r="98">
          <cell r="B98" t="str">
            <v>1000000 · Non Current Assets:1100000 · Property, Plant &amp; Equipment:1111000 · Land and Buildings:Cost @ Wadduwa Land -06</v>
          </cell>
          <cell r="C98">
            <v>2305600</v>
          </cell>
          <cell r="D98">
            <v>0</v>
          </cell>
        </row>
        <row r="99">
          <cell r="B99" t="str">
            <v>1000000 · Non Current Assets:1100000 · Property, Plant &amp; Equipment:1111000 · Land and Buildings:1111010 · Cost - Land at Wagawatta,Horana</v>
          </cell>
          <cell r="C99">
            <v>3681068</v>
          </cell>
          <cell r="D99">
            <v>0</v>
          </cell>
        </row>
        <row r="100">
          <cell r="B100" t="str">
            <v>1000000 · Non Current Assets:1100000 · Property, Plant &amp; Equipment:1111000 · Land and Buildings:1111020 · Cost - Land at Wadduwa - 1</v>
          </cell>
          <cell r="C100">
            <v>25331753</v>
          </cell>
          <cell r="D100">
            <v>0</v>
          </cell>
        </row>
        <row r="101">
          <cell r="B101" t="str">
            <v>1000000 · Non Current Assets:1100000 · Property, Plant &amp; Equipment:1111000 · Land and Buildings:1111021 · Cost - Land at Wadduwa - 2</v>
          </cell>
          <cell r="C101">
            <v>3389962</v>
          </cell>
          <cell r="D101">
            <v>0</v>
          </cell>
        </row>
        <row r="102">
          <cell r="B102" t="str">
            <v>1000000 · Non Current Assets:1100000 · Property, Plant &amp; Equipment:1111000 · Land and Buildings:1111023 · Cost - Land @ Wadduwa (4)</v>
          </cell>
          <cell r="C102">
            <v>2942736</v>
          </cell>
          <cell r="D102">
            <v>0</v>
          </cell>
        </row>
        <row r="103">
          <cell r="B103" t="str">
            <v>1000000 · Non Current Assets:1100000 · Property, Plant &amp; Equipment:1111000 · Land and Buildings:1111024 · Cost Land @ Wadduwa - 5</v>
          </cell>
          <cell r="C103">
            <v>1041000</v>
          </cell>
          <cell r="D103">
            <v>0</v>
          </cell>
        </row>
        <row r="104">
          <cell r="B104" t="str">
            <v>1000000 · Non Current Assets:1100000 · Property, Plant &amp; Equipment:1111000 · Land and Buildings:1111025 · Cost - Land at Wadduwa - 6</v>
          </cell>
          <cell r="C104">
            <v>104500</v>
          </cell>
          <cell r="D104">
            <v>0</v>
          </cell>
        </row>
        <row r="105">
          <cell r="B105" t="str">
            <v>1000000 · Non Current Assets:1100000 · Property, Plant &amp; Equipment:1111000 · Land and Buildings:1111050 · Cost - Land at Ingiriya - 1</v>
          </cell>
          <cell r="C105">
            <v>12559000</v>
          </cell>
          <cell r="D105">
            <v>0</v>
          </cell>
        </row>
        <row r="106">
          <cell r="B106" t="str">
            <v>1000000 · Non Current Assets:1100000 · Property, Plant &amp; Equipment:1111000 · Land and Buildings:1111051 · Cost - Land @ Ingiriya - 2</v>
          </cell>
          <cell r="C106">
            <v>3768000</v>
          </cell>
          <cell r="D106">
            <v>0</v>
          </cell>
        </row>
        <row r="107">
          <cell r="B107" t="str">
            <v>1000000 · Non Current Assets:1100000 · Property, Plant &amp; Equipment:1111000 · Land and Buildings:1111052 · Cost @ Nawala Land</v>
          </cell>
          <cell r="C107">
            <v>46694800</v>
          </cell>
          <cell r="D107">
            <v>0</v>
          </cell>
        </row>
        <row r="108">
          <cell r="B108" t="str">
            <v>1000000 · Non Current Assets:1100000 · Property, Plant &amp; Equipment:1111000 · Land and Buildings:1111100 · Cost - Office Building</v>
          </cell>
          <cell r="C108">
            <v>5462728.5</v>
          </cell>
          <cell r="D108">
            <v>0</v>
          </cell>
        </row>
        <row r="109">
          <cell r="B109" t="str">
            <v>1000000 · Non Current Assets:1100000 · Property, Plant &amp; Equipment:1111000 · Land and Buildings:1111101 · Cost - Lightning Protector</v>
          </cell>
          <cell r="C109">
            <v>0</v>
          </cell>
          <cell r="D109">
            <v>0</v>
          </cell>
        </row>
        <row r="110">
          <cell r="B110" t="str">
            <v>1000000 · Non Current Assets:1100000 · Property, Plant &amp; Equipment:1111000 · Land and Buildings:1111102 · Cost - Security Hut</v>
          </cell>
          <cell r="C110">
            <v>0</v>
          </cell>
          <cell r="D110">
            <v>0</v>
          </cell>
        </row>
        <row r="111">
          <cell r="B111" t="str">
            <v>1000000 · Non Current Assets:1100000 · Property, Plant &amp; Equipment:1111000 · Land and Buildings:1111103 · 03 Phase Electricity Connection</v>
          </cell>
          <cell r="C111">
            <v>0</v>
          </cell>
          <cell r="D111">
            <v>0</v>
          </cell>
        </row>
        <row r="112">
          <cell r="B112" t="str">
            <v>1000000 · Non Current Assets:1100000 · Property, Plant &amp; Equipment:1111000 · Land and Buildings:1111110 · Cost - Quarters</v>
          </cell>
          <cell r="C112">
            <v>1215000</v>
          </cell>
          <cell r="D112">
            <v>0</v>
          </cell>
        </row>
        <row r="113">
          <cell r="B113" t="str">
            <v>1000000 · Non Current Assets:1100000 · Property, Plant &amp; Equipment:1111000 · Land and Buildings:1111120 · Cost - Packing Area 1 &amp; 2</v>
          </cell>
          <cell r="C113">
            <v>973873</v>
          </cell>
          <cell r="D113">
            <v>0</v>
          </cell>
        </row>
        <row r="114">
          <cell r="B114" t="str">
            <v>1000000 · Non Current Assets:1100000 · Property, Plant &amp; Equipment:1111000 · Land and Buildings:1111130 · Condition,Breading,Sales &amp; Livi</v>
          </cell>
          <cell r="C114">
            <v>11098350.4</v>
          </cell>
          <cell r="D114">
            <v>0</v>
          </cell>
        </row>
        <row r="115">
          <cell r="B115" t="str">
            <v>1000000 · Non Current Assets:1100000 · Property, Plant &amp; Equipment:1111000 · Land and Buildings:1111140 · Cost - Fish Tanks</v>
          </cell>
          <cell r="C115">
            <v>5941467.7400000002</v>
          </cell>
          <cell r="D115">
            <v>0</v>
          </cell>
        </row>
        <row r="116">
          <cell r="B116" t="str">
            <v>1000000 · Non Current Assets:1100000 · Property, Plant &amp; Equipment:1111000 · Land and Buildings:1111150 · Cost - Anemone Fish Tanks</v>
          </cell>
          <cell r="C116">
            <v>1129916</v>
          </cell>
          <cell r="D116">
            <v>0</v>
          </cell>
        </row>
        <row r="117">
          <cell r="B117" t="str">
            <v>1000000 · Non Current Assets:1100000 · Property, Plant &amp; Equipment:1111000 · Land and Buildings:1111200 · Cost - Buildings @ Wadduwa</v>
          </cell>
          <cell r="C117">
            <v>9077116.2899999991</v>
          </cell>
          <cell r="D117">
            <v>0</v>
          </cell>
        </row>
        <row r="118">
          <cell r="B118" t="str">
            <v>1000000 · Non Current Assets:1100000 · Property, Plant &amp; Equipment:1111000 · Land and Buildings:1111220 · Cost - Fish Tanks @ Wadduwa</v>
          </cell>
          <cell r="C118">
            <v>1254039.8999999999</v>
          </cell>
          <cell r="D118">
            <v>0</v>
          </cell>
        </row>
        <row r="119">
          <cell r="B119" t="str">
            <v>1000000 · Non Current Assets:1100000 · Property, Plant &amp; Equipment:1111000 · Land and Buildings:1111310 · Cost - Madala Ponds</v>
          </cell>
          <cell r="C119">
            <v>1701432.81</v>
          </cell>
          <cell r="D119">
            <v>0</v>
          </cell>
        </row>
        <row r="120">
          <cell r="B120" t="str">
            <v>1000000 · Non Current Assets:1100000 · Property, Plant &amp; Equipment:1111000 · Land and Buildings:1111900 · Acc. Dep.- Buildings</v>
          </cell>
          <cell r="C120">
            <v>0</v>
          </cell>
          <cell r="D120">
            <v>12517345.52</v>
          </cell>
        </row>
        <row r="121">
          <cell r="B121" t="str">
            <v>1000000 · Non Current Assets:1100000 · Property, Plant &amp; Equipment:1112000 · Motor Vehicles:1112010 · Cost - Mortor Vehicle - Other</v>
          </cell>
          <cell r="C121">
            <v>4026800</v>
          </cell>
          <cell r="D121">
            <v>0</v>
          </cell>
        </row>
        <row r="122">
          <cell r="B122" t="str">
            <v>1000000 · Non Current Assets:1100000 · Property, Plant &amp; Equipment:1112000 · Motor Vehicles:1112050 · Cost - Double Cab</v>
          </cell>
          <cell r="C122">
            <v>0</v>
          </cell>
          <cell r="D122">
            <v>0</v>
          </cell>
        </row>
        <row r="123">
          <cell r="B123" t="str">
            <v>1000000 · Non Current Assets:1100000 · Property, Plant &amp; Equipment:1112000 · Motor Vehicles:1112060 · Cost - Motor Car - KN-9583 Toyo</v>
          </cell>
          <cell r="C123">
            <v>0</v>
          </cell>
          <cell r="D123">
            <v>0</v>
          </cell>
        </row>
        <row r="124">
          <cell r="B124" t="str">
            <v>1000000 · Non Current Assets:1100000 · Property, Plant &amp; Equipment:1112000 · Motor Vehicles:1112100 · Cost - Lorry LE-6012 Lease Hold</v>
          </cell>
          <cell r="C124">
            <v>2955300</v>
          </cell>
          <cell r="D124">
            <v>0</v>
          </cell>
        </row>
        <row r="125">
          <cell r="B125" t="str">
            <v>1000000 · Non Current Assets:1100000 · Property, Plant &amp; Equipment:1112000 · Motor Vehicles:1112110 · Cost - CrewCabLK-7144Lease Hold</v>
          </cell>
          <cell r="C125">
            <v>5477500</v>
          </cell>
          <cell r="D125">
            <v>0</v>
          </cell>
        </row>
        <row r="126">
          <cell r="B126" t="str">
            <v>1000000 · Non Current Assets:1100000 · Property, Plant &amp; Equipment:1112000 · Motor Vehicles:1112120 · Cost - Truck PP 9611 (CTF)</v>
          </cell>
          <cell r="C126">
            <v>136390</v>
          </cell>
          <cell r="D126">
            <v>0</v>
          </cell>
        </row>
        <row r="127">
          <cell r="B127" t="str">
            <v>1000000 · Non Current Assets:1100000 · Property, Plant &amp; Equipment:1112000 · Motor Vehicles:1112130 · Cost - Jeep JG-5321 Lease Hold</v>
          </cell>
          <cell r="C127">
            <v>0</v>
          </cell>
          <cell r="D127">
            <v>0</v>
          </cell>
        </row>
        <row r="128">
          <cell r="B128" t="str">
            <v>1000000 · Non Current Assets:1100000 · Property, Plant &amp; Equipment:1112000 · Motor Vehicles:1112140 · Cost - Toyota Pick-Up LK-0500</v>
          </cell>
          <cell r="C128">
            <v>3927826</v>
          </cell>
          <cell r="D128">
            <v>0</v>
          </cell>
        </row>
        <row r="129">
          <cell r="B129" t="str">
            <v>1000000 · Non Current Assets:1100000 · Property, Plant &amp; Equipment:1112000 · Motor Vehicles:1112150 · Cost - Susuki Swift WP KF-6766</v>
          </cell>
          <cell r="C129">
            <v>2202963</v>
          </cell>
          <cell r="D129">
            <v>0</v>
          </cell>
        </row>
        <row r="130">
          <cell r="B130" t="str">
            <v>1000000 · Non Current Assets:1100000 · Property, Plant &amp; Equipment:1112000 · Motor Vehicles:1112160 · Cost - Mahindra Cab LC-4972</v>
          </cell>
          <cell r="C130">
            <v>625000</v>
          </cell>
          <cell r="D130">
            <v>0</v>
          </cell>
        </row>
        <row r="131">
          <cell r="B131" t="str">
            <v>1000000 · Non Current Assets:1100000 · Property, Plant &amp; Equipment:1112000 · Motor Vehicles:1112500 · Cost - Motor Bikes</v>
          </cell>
          <cell r="C131">
            <v>287680</v>
          </cell>
          <cell r="D131">
            <v>0</v>
          </cell>
        </row>
        <row r="132">
          <cell r="B132" t="str">
            <v>1000000 · Non Current Assets:1100000 · Property, Plant &amp; Equipment:1112000 · Motor Vehicles:1112900 · Acc. Dep.- Motor Vehicles</v>
          </cell>
          <cell r="C132">
            <v>0</v>
          </cell>
          <cell r="D132">
            <v>13535461.699999999</v>
          </cell>
        </row>
        <row r="133">
          <cell r="B133" t="str">
            <v>1000000 · Non Current Assets:1100000 · Property, Plant &amp; Equipment:1113000 · Computers and Accessories:1113010 · Cost - Computers &amp; Accessories</v>
          </cell>
          <cell r="C133">
            <v>8357281.8799999999</v>
          </cell>
          <cell r="D133">
            <v>0</v>
          </cell>
        </row>
        <row r="134">
          <cell r="B134" t="str">
            <v>1000000 · Non Current Assets:1100000 · Property, Plant &amp; Equipment:1113000 · Computers and Accessories:1113020 · Cost - Safty Camera System</v>
          </cell>
          <cell r="C134">
            <v>1414657.14</v>
          </cell>
          <cell r="D134">
            <v>0</v>
          </cell>
        </row>
        <row r="135">
          <cell r="B135" t="str">
            <v>1000000 · Non Current Assets:1100000 · Property, Plant &amp; Equipment:1113000 · Computers and Accessories:1113030 · Cost - Access Conrol System</v>
          </cell>
          <cell r="C135">
            <v>732194.3</v>
          </cell>
          <cell r="D135">
            <v>0</v>
          </cell>
        </row>
        <row r="136">
          <cell r="B136" t="str">
            <v>1000000 · Non Current Assets:1100000 · Property, Plant &amp; Equipment:1113000 · Computers and Accessories:1113500 · Cost - Software &amp; Programs</v>
          </cell>
          <cell r="C136">
            <v>780451.89</v>
          </cell>
          <cell r="D136">
            <v>0</v>
          </cell>
        </row>
        <row r="137">
          <cell r="B137" t="str">
            <v>1000000 · Non Current Assets:1100000 · Property, Plant &amp; Equipment:1113000 · Computers and Accessories:1113900 · Acc. Dep.- Computers &amp; Access.</v>
          </cell>
          <cell r="C137">
            <v>0</v>
          </cell>
          <cell r="D137">
            <v>10143616.85</v>
          </cell>
        </row>
        <row r="138">
          <cell r="B138" t="str">
            <v>1000000 · Non Current Assets:1100000 · Property, Plant &amp; Equipment:1114000 · Office Equipments</v>
          </cell>
          <cell r="C138">
            <v>5166900.6399999997</v>
          </cell>
          <cell r="D138">
            <v>0</v>
          </cell>
        </row>
        <row r="139">
          <cell r="B139" t="str">
            <v>1000000 · Non Current Assets:1100000 · Property, Plant &amp; Equipment:1114000 · Office Equipments:1114010 · Cost - Office Equipment</v>
          </cell>
          <cell r="C139">
            <v>3503759.18</v>
          </cell>
          <cell r="D139">
            <v>0</v>
          </cell>
        </row>
        <row r="140">
          <cell r="B140" t="str">
            <v>1000000 · Non Current Assets:1100000 · Property, Plant &amp; Equipment:1114000 · Office Equipments:1114900 · Acc. Dep.- Office Equipments</v>
          </cell>
          <cell r="C140">
            <v>0</v>
          </cell>
          <cell r="D140">
            <v>1796864.65</v>
          </cell>
        </row>
        <row r="141">
          <cell r="B141" t="str">
            <v>1000000 · Non Current Assets:1100000 · Property, Plant &amp; Equipment:1115000 · Furniture &amp; Fittings</v>
          </cell>
          <cell r="C141">
            <v>17610</v>
          </cell>
          <cell r="D141">
            <v>0</v>
          </cell>
        </row>
        <row r="142">
          <cell r="B142" t="str">
            <v>1000000 · Non Current Assets:1100000 · Property, Plant &amp; Equipment:1115000 · Furniture &amp; Fittings:1115010 · Cost - Furniture &amp; Fittings</v>
          </cell>
          <cell r="C142">
            <v>3762864.45</v>
          </cell>
          <cell r="D142">
            <v>0</v>
          </cell>
        </row>
        <row r="143">
          <cell r="B143" t="str">
            <v>1000000 · Non Current Assets:1100000 · Property, Plant &amp; Equipment:1115000 · Furniture &amp; Fittings:1115900 · Acc. Dep.- Furniture &amp; Fittings</v>
          </cell>
          <cell r="C143">
            <v>0</v>
          </cell>
          <cell r="D143">
            <v>2302521.27</v>
          </cell>
        </row>
        <row r="144">
          <cell r="B144" t="str">
            <v>1000000 · Non Current Assets:1100000 · Property, Plant &amp; Equipment:1116000 · Farm Equipments:1116010 · Cost - Fram Equipments</v>
          </cell>
          <cell r="C144">
            <v>6968568.1600000001</v>
          </cell>
          <cell r="D144">
            <v>0</v>
          </cell>
        </row>
        <row r="145">
          <cell r="B145" t="str">
            <v>1000000 · Non Current Assets:1100000 · Property, Plant &amp; Equipment:1116000 · Farm Equipments:1116020 · Cost - Generator Lease Hold</v>
          </cell>
          <cell r="C145">
            <v>1245339.33</v>
          </cell>
          <cell r="D145">
            <v>0</v>
          </cell>
        </row>
        <row r="146">
          <cell r="B146" t="str">
            <v>1000000 · Non Current Assets:1100000 · Property, Plant &amp; Equipment:1116000 · Farm Equipments:1116030 · Cost - Farm Motor and Blowers</v>
          </cell>
          <cell r="C146">
            <v>762532.92</v>
          </cell>
          <cell r="D146">
            <v>0</v>
          </cell>
        </row>
        <row r="147">
          <cell r="B147" t="str">
            <v>1000000 · Non Current Assets:1100000 · Property, Plant &amp; Equipment:1116000 · Farm Equipments:1116900 · Acc. Dep.- Fram Equipments</v>
          </cell>
          <cell r="C147">
            <v>0</v>
          </cell>
          <cell r="D147">
            <v>6924817.9000000004</v>
          </cell>
        </row>
        <row r="148">
          <cell r="B148" t="str">
            <v>1000000 · Non Current Assets:1100000 · Property, Plant &amp; Equipment:1117000 · Wadduwa Equipments:1116040 · Cost - Wadduwa Equipments</v>
          </cell>
          <cell r="C148">
            <v>3643695.18</v>
          </cell>
          <cell r="D148">
            <v>0</v>
          </cell>
        </row>
        <row r="149">
          <cell r="B149" t="str">
            <v>1000000 · Non Current Assets:1100000 · Property, Plant &amp; Equipment:1117000 · Wadduwa Equipments:1117020 · Cost - Wadduwa Furniture &amp; Fitt</v>
          </cell>
          <cell r="C149">
            <v>88872.5</v>
          </cell>
          <cell r="D149">
            <v>0</v>
          </cell>
        </row>
        <row r="150">
          <cell r="B150" t="str">
            <v>1000000 · Non Current Assets:1100000 · Property, Plant &amp; Equipment:1117000 · Wadduwa Equipments:1117900 · Acc. Dep.- Wadduwa Equipments</v>
          </cell>
          <cell r="C150">
            <v>0</v>
          </cell>
          <cell r="D150">
            <v>2097787.63</v>
          </cell>
        </row>
        <row r="151">
          <cell r="B151" t="str">
            <v>1000000 · Non Current Assets:1100000 · Property, Plant &amp; Equipment:1118000 · Construction-Agri Machenery/Equ:1118010 · Cost - Cons./ Agri Machineries</v>
          </cell>
          <cell r="C151">
            <v>10491381.93</v>
          </cell>
          <cell r="D151">
            <v>0</v>
          </cell>
        </row>
        <row r="152">
          <cell r="B152" t="str">
            <v>1000000 · Non Current Assets:1100000 · Property, Plant &amp; Equipment:1118000 · Construction-Agri Machenery/Equ:1118020 · Cost -Agri/Cons. Machinery Yard</v>
          </cell>
          <cell r="C152">
            <v>159575</v>
          </cell>
          <cell r="D152">
            <v>0</v>
          </cell>
        </row>
        <row r="153">
          <cell r="B153" t="str">
            <v>1000000 · Non Current Assets:1100000 · Property, Plant &amp; Equipment:1118000 · Construction-Agri Machenery/Equ:1118900 · Acc. Dep.- Agri/ Construction M</v>
          </cell>
          <cell r="C153">
            <v>0</v>
          </cell>
          <cell r="D153">
            <v>6742559.6399999997</v>
          </cell>
        </row>
        <row r="154">
          <cell r="B154" t="str">
            <v>1000000 · Non Current Assets:1120000 · Work In Progress</v>
          </cell>
          <cell r="C154">
            <v>233100</v>
          </cell>
          <cell r="D154">
            <v>0</v>
          </cell>
        </row>
        <row r="155">
          <cell r="B155" t="str">
            <v>1000000 · Non Current Assets:1120000 · Work In Progress:1120010 · Cost - Wadduwa Land (WIP)</v>
          </cell>
          <cell r="C155">
            <v>774735</v>
          </cell>
          <cell r="D155">
            <v>0</v>
          </cell>
        </row>
        <row r="156">
          <cell r="B156" t="str">
            <v>1000000 · Non Current Assets:1120000 · Work In Progress:1120020 · Cost - Wadduwa New Land (WIP)</v>
          </cell>
          <cell r="C156">
            <v>0</v>
          </cell>
          <cell r="D156">
            <v>0</v>
          </cell>
        </row>
        <row r="157">
          <cell r="B157" t="str">
            <v>1000000 · Non Current Assets:1120000 · Work In Progress:1120030 · Cost - Ingiriya Project (WIP)</v>
          </cell>
          <cell r="C157">
            <v>5709278.1699999999</v>
          </cell>
          <cell r="D157">
            <v>0</v>
          </cell>
        </row>
        <row r="158">
          <cell r="B158" t="str">
            <v>1000000 · Non Current Assets:1120000 · Work In Progress:1120040 · Cost - Diyatha Uyana Project</v>
          </cell>
          <cell r="C158">
            <v>1324113.5900000001</v>
          </cell>
          <cell r="D158">
            <v>0</v>
          </cell>
        </row>
        <row r="159">
          <cell r="B159" t="str">
            <v>1000000 · Non Current Assets:1120000 · Work In Progress:1120050 · Cost - Kalpitiya Project - WIP</v>
          </cell>
          <cell r="C159">
            <v>706531.5</v>
          </cell>
          <cell r="D159">
            <v>0</v>
          </cell>
        </row>
        <row r="160">
          <cell r="B160" t="str">
            <v>1000000 · Non Current Assets:1120000 · Work In Progress:1120060 · Cost-Horana Adjoining Land(WIP)</v>
          </cell>
          <cell r="C160">
            <v>2389341</v>
          </cell>
          <cell r="D160">
            <v>0</v>
          </cell>
        </row>
        <row r="161">
          <cell r="B161" t="str">
            <v>1000000 · Non Current Assets:1120000 · Work In Progress:1120070 · Cost - Trinco Project</v>
          </cell>
          <cell r="C161">
            <v>726683</v>
          </cell>
          <cell r="D161">
            <v>0</v>
          </cell>
        </row>
        <row r="162">
          <cell r="B162" t="str">
            <v>1000000 · Non Current Assets:1120000 · Work In Progress:1120080 · Cost - Wadduwa Building (WIP)</v>
          </cell>
          <cell r="C162">
            <v>1749730.19</v>
          </cell>
          <cell r="D162">
            <v>0</v>
          </cell>
        </row>
        <row r="163">
          <cell r="B163" t="str">
            <v>1000000 · Non Current Assets:1200000 · Fixed Deposits</v>
          </cell>
          <cell r="C163">
            <v>0</v>
          </cell>
          <cell r="D163">
            <v>0</v>
          </cell>
        </row>
        <row r="164">
          <cell r="B164" t="str">
            <v>1000000 · Non Current Assets:1300000 · Investment - Long Term:1300010 · Aquisition of CTF</v>
          </cell>
          <cell r="C164">
            <v>2000000</v>
          </cell>
          <cell r="D164">
            <v>0</v>
          </cell>
        </row>
        <row r="165">
          <cell r="B165" t="str">
            <v>1000000 · Non Current Assets:1300000 · Investment - Long Term:130020 · Impairement Provision</v>
          </cell>
          <cell r="C165">
            <v>0</v>
          </cell>
          <cell r="D165">
            <v>2000000</v>
          </cell>
        </row>
        <row r="166">
          <cell r="B166" t="str">
            <v>1500000 · Development Projects:1500010 · Liverock Project 2009/10</v>
          </cell>
          <cell r="C166">
            <v>0</v>
          </cell>
          <cell r="D166">
            <v>0</v>
          </cell>
        </row>
        <row r="167">
          <cell r="B167" t="str">
            <v>2300000 · Accounts Payable</v>
          </cell>
          <cell r="C167">
            <v>0</v>
          </cell>
          <cell r="D167">
            <v>42990353.740000002</v>
          </cell>
        </row>
        <row r="168">
          <cell r="B168" t="str">
            <v>2600000 · Accounts Payable 2</v>
          </cell>
          <cell r="C168">
            <v>0</v>
          </cell>
          <cell r="D168">
            <v>29000</v>
          </cell>
        </row>
        <row r="169">
          <cell r="B169" t="str">
            <v>2700000 · Bill discounting facility - BOC</v>
          </cell>
          <cell r="C169">
            <v>0</v>
          </cell>
          <cell r="D169">
            <v>32089874.969999999</v>
          </cell>
        </row>
        <row r="170">
          <cell r="B170" t="str">
            <v>2400000 · Credit Cards:2400010 · C.I. Sam 5179-6400-1008-4108</v>
          </cell>
          <cell r="C170">
            <v>0</v>
          </cell>
          <cell r="D170">
            <v>336099.34</v>
          </cell>
        </row>
        <row r="171">
          <cell r="B171" t="str">
            <v>2400000 · Credit Cards:2400020 · H.K.V. Sam 5179-6400-1008-4157</v>
          </cell>
          <cell r="C171">
            <v>0</v>
          </cell>
          <cell r="D171">
            <v>250652.26</v>
          </cell>
        </row>
        <row r="172">
          <cell r="B172" t="str">
            <v>Amount due in one year:2201051 · LOFC Loan Rs.25Mn</v>
          </cell>
          <cell r="C172">
            <v>0</v>
          </cell>
          <cell r="D172">
            <v>7295724</v>
          </cell>
        </row>
        <row r="173">
          <cell r="B173" t="str">
            <v>Amount due in one year:2201053 · LOFC Loan Rs. 10Mn</v>
          </cell>
          <cell r="C173">
            <v>0</v>
          </cell>
          <cell r="D173">
            <v>9624995.5999999996</v>
          </cell>
        </row>
        <row r="174">
          <cell r="B174" t="str">
            <v>Amount due in one year:2201054 · LOFC Loan Rs. 5Mn</v>
          </cell>
          <cell r="C174">
            <v>0</v>
          </cell>
          <cell r="D174">
            <v>1427400</v>
          </cell>
        </row>
        <row r="175">
          <cell r="B175" t="str">
            <v>Amount due in one year:2201056 · NDB Leasing-Susuki Swift KF6766</v>
          </cell>
          <cell r="C175">
            <v>0</v>
          </cell>
          <cell r="D175">
            <v>600160.6</v>
          </cell>
        </row>
        <row r="176">
          <cell r="B176" t="str">
            <v>Amount due in one year:2201058 · PB Loan Rs. 25Mn Nawala Land</v>
          </cell>
          <cell r="C176">
            <v>0</v>
          </cell>
          <cell r="D176">
            <v>8452056</v>
          </cell>
        </row>
        <row r="177">
          <cell r="B177" t="str">
            <v>Amount due in one year:5501057 · NDB Leasing-ToyotaPickUpLK-0050</v>
          </cell>
          <cell r="C177">
            <v>0</v>
          </cell>
          <cell r="D177">
            <v>767469.57</v>
          </cell>
        </row>
        <row r="178">
          <cell r="B178" t="str">
            <v>2100000 · Payroll Liabilities:2100010 · Salary Control Account</v>
          </cell>
          <cell r="C178">
            <v>0</v>
          </cell>
          <cell r="D178">
            <v>12197097.789999999</v>
          </cell>
        </row>
        <row r="179">
          <cell r="B179" t="str">
            <v>2100000 · Payroll Liabilities:2100020 · PAYE Tax Payable</v>
          </cell>
          <cell r="C179">
            <v>0</v>
          </cell>
          <cell r="D179">
            <v>124038</v>
          </cell>
        </row>
        <row r="180">
          <cell r="B180" t="str">
            <v>2100000 · Payroll Liabilities:2100030 · Stamp Duty Payable</v>
          </cell>
          <cell r="C180">
            <v>0</v>
          </cell>
          <cell r="D180">
            <v>0</v>
          </cell>
        </row>
        <row r="181">
          <cell r="B181" t="str">
            <v>2100000 · Payroll Liabilities:2100040 · EPF Payable</v>
          </cell>
          <cell r="C181">
            <v>0</v>
          </cell>
          <cell r="D181">
            <v>22623.38</v>
          </cell>
        </row>
        <row r="182">
          <cell r="B182" t="str">
            <v>2100000 · Payroll Liabilities:2100050 · ETF Payable</v>
          </cell>
          <cell r="C182">
            <v>70068.289999999994</v>
          </cell>
          <cell r="D182">
            <v>0</v>
          </cell>
        </row>
        <row r="183">
          <cell r="B183" t="str">
            <v>2100000 · Payroll Liabilities:2100060 · Retirement Benifits Obligations</v>
          </cell>
          <cell r="C183">
            <v>0</v>
          </cell>
          <cell r="D183">
            <v>2676639.5</v>
          </cell>
        </row>
        <row r="184">
          <cell r="B184" t="str">
            <v>2200000 · Other Current Liabilities:2200010 · Intercompany Loan CISSL</v>
          </cell>
          <cell r="C184">
            <v>0</v>
          </cell>
          <cell r="D184">
            <v>0</v>
          </cell>
        </row>
        <row r="185">
          <cell r="B185" t="str">
            <v>2200000 · Other Current Liabilities:2200020 · WHT Payable</v>
          </cell>
          <cell r="C185">
            <v>0</v>
          </cell>
          <cell r="D185">
            <v>0</v>
          </cell>
        </row>
        <row r="186">
          <cell r="B186" t="str">
            <v>2200000 · Other Current Liabilities:2200030 · Value Added Tax Control A/C</v>
          </cell>
          <cell r="C186">
            <v>0</v>
          </cell>
          <cell r="D186">
            <v>367634.82</v>
          </cell>
        </row>
        <row r="187">
          <cell r="B187" t="str">
            <v>2200000 · Other Current Liabilities:2200050 · Audit Fees Payable</v>
          </cell>
          <cell r="C187">
            <v>0</v>
          </cell>
          <cell r="D187">
            <v>157590.96</v>
          </cell>
        </row>
        <row r="188">
          <cell r="B188" t="str">
            <v>2200000 · Other Current Liabilities:2200060 · ESC Payable</v>
          </cell>
          <cell r="C188">
            <v>0</v>
          </cell>
          <cell r="D188">
            <v>0</v>
          </cell>
        </row>
        <row r="189">
          <cell r="B189" t="str">
            <v>2200000 · Other Current Liabilities:2200070 · Professional Fees Payable</v>
          </cell>
          <cell r="C189">
            <v>0</v>
          </cell>
          <cell r="D189">
            <v>0</v>
          </cell>
        </row>
        <row r="190">
          <cell r="B190" t="str">
            <v>2200000 · Other Current Liabilities:2200095 · Annual Bonus Payable</v>
          </cell>
          <cell r="C190">
            <v>0</v>
          </cell>
          <cell r="D190">
            <v>2129113.5099999998</v>
          </cell>
        </row>
        <row r="191">
          <cell r="B191" t="str">
            <v>2200000 · Other Current Liabilities:2201000 · Short Term Browwings:2201010 · Associated Mortor Finance CoLtd</v>
          </cell>
          <cell r="C191">
            <v>0</v>
          </cell>
          <cell r="D191">
            <v>0</v>
          </cell>
        </row>
        <row r="192">
          <cell r="B192" t="str">
            <v>2200000 · Other Current Liabilities:2201000 · Short Term Browwings:2201020 · LOFC Lease Creditor - Cab</v>
          </cell>
          <cell r="C192">
            <v>0</v>
          </cell>
          <cell r="D192">
            <v>0</v>
          </cell>
        </row>
        <row r="193">
          <cell r="B193" t="str">
            <v>2200000 · Other Current Liabilities:2201000 · Short Term Browwings:2201030 · LOFC Loan (7.5 Mn)</v>
          </cell>
          <cell r="C193">
            <v>0</v>
          </cell>
          <cell r="D193">
            <v>0</v>
          </cell>
        </row>
        <row r="194">
          <cell r="B194" t="str">
            <v>2200000 · Other Current Liabilities:2201000 · Short Term Browwings:2201040 · LOFC- Short Term 1Mn</v>
          </cell>
          <cell r="C194">
            <v>0.17</v>
          </cell>
          <cell r="D194">
            <v>0</v>
          </cell>
        </row>
        <row r="195">
          <cell r="B195" t="str">
            <v>2200000 · Other Current Liabilities:2201000 · Short Term Browwings:2201050 · LOFC - Revolving (5Mn)</v>
          </cell>
          <cell r="C195">
            <v>0</v>
          </cell>
          <cell r="D195">
            <v>5076316.09</v>
          </cell>
        </row>
        <row r="196">
          <cell r="B196" t="str">
            <v>2200000 · Other Current Liabilities:2201000 · Short Term Browwings:2201060 · BOC - Export Bill Purchases</v>
          </cell>
          <cell r="C196">
            <v>0</v>
          </cell>
          <cell r="D196">
            <v>0</v>
          </cell>
        </row>
        <row r="197">
          <cell r="B197" t="str">
            <v>2200000 · Other Current Liabilities:2201000 · Short Term Browwings:2201070 · BOC AMAX Facility for CIS A/c</v>
          </cell>
          <cell r="C197">
            <v>0</v>
          </cell>
          <cell r="D197">
            <v>8046368.6900000004</v>
          </cell>
        </row>
        <row r="198">
          <cell r="B198" t="str">
            <v>2200000 · Other Current Liabilities:2201000 · Short Term Browwings:2201080 · Loan from Mr.Chanaka</v>
          </cell>
          <cell r="C198">
            <v>0</v>
          </cell>
          <cell r="D198">
            <v>0</v>
          </cell>
        </row>
        <row r="199">
          <cell r="B199" t="str">
            <v>2200000 · Other Current Liabilities:2201000 · Short Term Browwings:2201095 · Loan from - Rasika Wickramasing</v>
          </cell>
          <cell r="C199">
            <v>0</v>
          </cell>
          <cell r="D199">
            <v>0</v>
          </cell>
        </row>
        <row r="200">
          <cell r="B200" t="str">
            <v>2200000 · Other Current Liabilities:2202000 · Directors Current Accounts</v>
          </cell>
          <cell r="C200">
            <v>0</v>
          </cell>
          <cell r="D200">
            <v>51379</v>
          </cell>
        </row>
        <row r="201">
          <cell r="B201" t="str">
            <v>2200000 · Other Current Liabilities:2202000 · Directors Current Accounts:Dir Cur A/c - Indrani Wimalasen</v>
          </cell>
          <cell r="C201">
            <v>0</v>
          </cell>
          <cell r="D201">
            <v>885000</v>
          </cell>
        </row>
        <row r="202">
          <cell r="B202" t="str">
            <v>2200000 · Other Current Liabilities:2202000 · Directors Current Accounts:2203040 · Mr. Samarasinghe - Temp Loan</v>
          </cell>
          <cell r="C202">
            <v>0</v>
          </cell>
          <cell r="D202">
            <v>4458000</v>
          </cell>
        </row>
        <row r="203">
          <cell r="B203" t="str">
            <v>2200000 · Other Current Liabilities:2202000 · Directors Current Accounts:2203050 · Charitha Samarasinghe Current A</v>
          </cell>
          <cell r="C203">
            <v>0</v>
          </cell>
          <cell r="D203">
            <v>10745324.65</v>
          </cell>
        </row>
        <row r="204">
          <cell r="B204" t="str">
            <v>2200000 · Other Current Liabilities:2203010 · CIS INTERNATIONAL HOLDINGS</v>
          </cell>
          <cell r="C204">
            <v>11786646.91</v>
          </cell>
          <cell r="D204">
            <v>0</v>
          </cell>
        </row>
        <row r="205">
          <cell r="B205" t="str">
            <v>2200000 · Other Current Liabilities:2203020 · Orient Logistics (Pvt) Ltd</v>
          </cell>
          <cell r="C205">
            <v>0</v>
          </cell>
          <cell r="D205">
            <v>1280297.82</v>
          </cell>
        </row>
        <row r="206">
          <cell r="B206" t="str">
            <v>2200000 · Other Current Liabilities:2203030 · CIS INTERNATIONAL HOLDINGS CORP</v>
          </cell>
          <cell r="C206">
            <v>0</v>
          </cell>
          <cell r="D206">
            <v>11180732.300000001</v>
          </cell>
        </row>
        <row r="207">
          <cell r="B207" t="str">
            <v>2200000 · Other Current Liabilities:2209000 · Petty Cash Advances - Farm Mgt.</v>
          </cell>
          <cell r="C207">
            <v>0</v>
          </cell>
          <cell r="D207">
            <v>0</v>
          </cell>
        </row>
        <row r="208">
          <cell r="B208" t="str">
            <v>2200080 · Customer Advances</v>
          </cell>
          <cell r="C208">
            <v>0</v>
          </cell>
          <cell r="D208">
            <v>10000</v>
          </cell>
        </row>
        <row r="209">
          <cell r="B209" t="str">
            <v>2203060 · Maldives Current Liability A/c</v>
          </cell>
          <cell r="C209">
            <v>0</v>
          </cell>
          <cell r="D209">
            <v>973331.92</v>
          </cell>
        </row>
        <row r="210">
          <cell r="B210" t="str">
            <v>2203070 · Siam Tropical Fish Co.,Ltd</v>
          </cell>
          <cell r="C210">
            <v>0</v>
          </cell>
          <cell r="D210">
            <v>683991.07</v>
          </cell>
        </row>
        <row r="211">
          <cell r="B211" t="str">
            <v>2000000 · Long Term Liabilities:2000001 · LOFC Long Term Loan - 10 Mn Loa</v>
          </cell>
          <cell r="C211">
            <v>0</v>
          </cell>
          <cell r="D211">
            <v>633343.4</v>
          </cell>
        </row>
        <row r="212">
          <cell r="B212" t="str">
            <v>2000000 · Long Term Liabilities:2000002 · LOFC Long Term Loan - 25 Mn Loa</v>
          </cell>
          <cell r="C212">
            <v>0</v>
          </cell>
          <cell r="D212">
            <v>14176327</v>
          </cell>
        </row>
        <row r="213">
          <cell r="B213" t="str">
            <v>2000000 · Long Term Liabilities:2000003 · LOFC Long Term Loans - 15 Mn</v>
          </cell>
          <cell r="C213">
            <v>0</v>
          </cell>
          <cell r="D213">
            <v>9166307.5999999996</v>
          </cell>
        </row>
        <row r="214">
          <cell r="B214" t="str">
            <v>2000000 · Long Term Liabilities:2000004 · LOFC Long Term Loan - 2M</v>
          </cell>
          <cell r="C214">
            <v>0</v>
          </cell>
          <cell r="D214">
            <v>2000000</v>
          </cell>
        </row>
        <row r="215">
          <cell r="B215" t="str">
            <v>2000000 · Long Term Liabilities:2000010 · LOFC Lease Creditor - Generator</v>
          </cell>
          <cell r="C215">
            <v>0</v>
          </cell>
          <cell r="D215">
            <v>0</v>
          </cell>
        </row>
        <row r="216">
          <cell r="B216" t="str">
            <v>2000000 · Long Term Liabilities:2000011 · LOFC Term Loan - 3 Mn</v>
          </cell>
          <cell r="C216">
            <v>0</v>
          </cell>
          <cell r="D216">
            <v>0</v>
          </cell>
        </row>
        <row r="217">
          <cell r="B217" t="str">
            <v>2000000 · Long Term Liabilities:2000012 · LOFC Loan - 3M (Secondary)</v>
          </cell>
          <cell r="C217">
            <v>0</v>
          </cell>
          <cell r="D217">
            <v>0</v>
          </cell>
        </row>
        <row r="218">
          <cell r="B218" t="str">
            <v>2000000 · Long Term Liabilities:2000013 · LOFC New Loan Rs.5 mn</v>
          </cell>
          <cell r="C218">
            <v>0</v>
          </cell>
          <cell r="D218">
            <v>3459293</v>
          </cell>
        </row>
        <row r="219">
          <cell r="B219" t="str">
            <v>2000000 · Long Term Liabilities:2000020 · HNB Lease Creditor - Lorry</v>
          </cell>
          <cell r="C219">
            <v>0</v>
          </cell>
          <cell r="D219">
            <v>0</v>
          </cell>
        </row>
        <row r="220">
          <cell r="B220" t="str">
            <v>2000000 · Long Term Liabilities:2000030 · HNB Lease Creditor - Car</v>
          </cell>
          <cell r="C220">
            <v>0</v>
          </cell>
          <cell r="D220">
            <v>0</v>
          </cell>
        </row>
        <row r="221">
          <cell r="B221" t="str">
            <v>2000000 · Long Term Liabilities:2000040 · HNB Loan - 003040063762</v>
          </cell>
          <cell r="C221">
            <v>0</v>
          </cell>
          <cell r="D221">
            <v>0</v>
          </cell>
        </row>
        <row r="222">
          <cell r="B222" t="str">
            <v>2000000 · Long Term Liabilities:2000050 · HNB Loan - 003040084598</v>
          </cell>
          <cell r="C222">
            <v>0</v>
          </cell>
          <cell r="D222">
            <v>0</v>
          </cell>
        </row>
        <row r="223">
          <cell r="B223" t="str">
            <v>2000000 · Long Term Liabilities:2000060 · LB Finance Lease - Crew Cab</v>
          </cell>
          <cell r="C223">
            <v>0</v>
          </cell>
          <cell r="D223">
            <v>0</v>
          </cell>
        </row>
        <row r="224">
          <cell r="B224" t="str">
            <v>2000000 · Long Term Liabilities:2000070 · LB Finance Lease - Jeep JG-5321</v>
          </cell>
          <cell r="C224">
            <v>0</v>
          </cell>
          <cell r="D224">
            <v>0</v>
          </cell>
        </row>
        <row r="225">
          <cell r="B225" t="str">
            <v>2000000 · Long Term Liabilities:2000080 · NDB Leasing-SusukiSwift KF-6766</v>
          </cell>
          <cell r="C225">
            <v>0</v>
          </cell>
          <cell r="D225">
            <v>0</v>
          </cell>
        </row>
        <row r="226">
          <cell r="B226" t="str">
            <v>2000000 · Long Term Liabilities:2000090 · NDB Leasing-ToyotaPickUpLK-0050</v>
          </cell>
          <cell r="C226">
            <v>0</v>
          </cell>
          <cell r="D226">
            <v>0</v>
          </cell>
        </row>
        <row r="227">
          <cell r="B227" t="str">
            <v>2000000 · Long Term Liabilities:2000100 · Peoples Bank Loan - Nawala Land</v>
          </cell>
          <cell r="C227">
            <v>0</v>
          </cell>
          <cell r="D227">
            <v>9464610.7799999993</v>
          </cell>
        </row>
        <row r="228">
          <cell r="B228" t="str">
            <v>3000000 · Equity Accounts</v>
          </cell>
          <cell r="C228">
            <v>0</v>
          </cell>
          <cell r="D228">
            <v>0</v>
          </cell>
        </row>
        <row r="229">
          <cell r="B229" t="str">
            <v>3000000 · Equity Accounts:3000010 · Stated Capital</v>
          </cell>
          <cell r="C229">
            <v>0</v>
          </cell>
          <cell r="D229">
            <v>2000020</v>
          </cell>
        </row>
        <row r="230">
          <cell r="B230" t="str">
            <v>3000000 · Equity Accounts:3001000 · Retained Earnings</v>
          </cell>
          <cell r="C230">
            <v>33046</v>
          </cell>
          <cell r="D230">
            <v>0</v>
          </cell>
        </row>
        <row r="231">
          <cell r="B231" t="str">
            <v>3000000 · Equity Accounts:3002000 · Current Earnings</v>
          </cell>
          <cell r="C231">
            <v>137510.44</v>
          </cell>
          <cell r="D231">
            <v>0</v>
          </cell>
        </row>
        <row r="232">
          <cell r="B232" t="str">
            <v>3000000 · Equity Accounts:3004000 · Revaluation Surplus - F / A</v>
          </cell>
          <cell r="C232">
            <v>0</v>
          </cell>
          <cell r="D232">
            <v>24639053.23</v>
          </cell>
        </row>
        <row r="233">
          <cell r="B233" t="str">
            <v>3000000 · Equity Accounts:3009000 · Opening Bal Equity</v>
          </cell>
          <cell r="C233">
            <v>0</v>
          </cell>
          <cell r="D233">
            <v>0</v>
          </cell>
        </row>
        <row r="234">
          <cell r="B234" t="str">
            <v>32000 · Retained Earnings</v>
          </cell>
          <cell r="C234">
            <v>0</v>
          </cell>
          <cell r="D234">
            <v>116334450.05</v>
          </cell>
        </row>
        <row r="235">
          <cell r="B235" t="str">
            <v>4000000 · Sales Income</v>
          </cell>
          <cell r="C235">
            <v>0</v>
          </cell>
          <cell r="D235">
            <v>667616.4</v>
          </cell>
        </row>
        <row r="236">
          <cell r="B236" t="str">
            <v>4000000 · Sales Income:4000010 · Tropical Fish Sales</v>
          </cell>
          <cell r="C236">
            <v>0</v>
          </cell>
          <cell r="D236">
            <v>78368293.040000007</v>
          </cell>
        </row>
        <row r="237">
          <cell r="B237" t="str">
            <v>4000000 · Sales Income:4000020 · Live Rocks (Coral) Sales</v>
          </cell>
          <cell r="C237">
            <v>0</v>
          </cell>
          <cell r="D237">
            <v>16769294.289999999</v>
          </cell>
        </row>
        <row r="238">
          <cell r="B238" t="str">
            <v>4000000 · Sales Income:4000040 · Cartoon + Styrofoam Combination</v>
          </cell>
          <cell r="C238">
            <v>0</v>
          </cell>
          <cell r="D238">
            <v>8694222.7599999998</v>
          </cell>
        </row>
        <row r="239">
          <cell r="B239" t="str">
            <v>4000000 · Sales Income:4000110 · Packing Income - Reimbusable</v>
          </cell>
          <cell r="C239">
            <v>0</v>
          </cell>
          <cell r="D239">
            <v>4770557.88</v>
          </cell>
        </row>
        <row r="240">
          <cell r="B240" t="str">
            <v>4000000 · Sales Income:4000120 · Freight Income - Reimbursable</v>
          </cell>
          <cell r="C240">
            <v>0</v>
          </cell>
          <cell r="D240">
            <v>52665004.060000002</v>
          </cell>
        </row>
        <row r="241">
          <cell r="B241" t="str">
            <v>4000000 · Sales Income:4000130 · Documentation &amp; Handling Income</v>
          </cell>
          <cell r="C241">
            <v>0</v>
          </cell>
          <cell r="D241">
            <v>7404728.9100000001</v>
          </cell>
        </row>
        <row r="242">
          <cell r="B242" t="str">
            <v>4000000 · Sales Income:4001000 · Diyatha Uyana - Sales Outlet:4001010 · Live Fish Sales</v>
          </cell>
          <cell r="C242">
            <v>0</v>
          </cell>
          <cell r="D242">
            <v>65665</v>
          </cell>
        </row>
        <row r="243">
          <cell r="B243" t="str">
            <v>4000000 · Sales Income:4001000 · Diyatha Uyana - Sales Outlet:4001020 · Accessories Sales - Diyatha  Uy</v>
          </cell>
          <cell r="C243">
            <v>0</v>
          </cell>
          <cell r="D243">
            <v>126080</v>
          </cell>
        </row>
        <row r="244">
          <cell r="B244" t="str">
            <v>4000000 · Sales Income:4001000 · Diyatha Uyana - Sales Outlet:4001060 · Live Fish Purchases</v>
          </cell>
          <cell r="C244">
            <v>32955.71</v>
          </cell>
          <cell r="D244">
            <v>0</v>
          </cell>
        </row>
        <row r="245">
          <cell r="B245" t="str">
            <v>4000000 · Sales Income:4001000 · Diyatha Uyana - Sales Outlet:4001070 · Accessories Purchases - Diyatha</v>
          </cell>
          <cell r="C245">
            <v>99518.399999999994</v>
          </cell>
          <cell r="D245">
            <v>0</v>
          </cell>
        </row>
        <row r="246">
          <cell r="B246" t="str">
            <v>4000000 · Sales Income:4001000 · Diyatha Uyana - Sales Outlet:4001090 · Stall Fees &amp; Monthly Charges</v>
          </cell>
          <cell r="C246">
            <v>56390</v>
          </cell>
          <cell r="D246">
            <v>0</v>
          </cell>
        </row>
        <row r="247">
          <cell r="B247" t="str">
            <v>4000000 · Sales Income:4001000 · Diyatha Uyana - Sales Outlet:4001100 · Staff Travelling - Diyatha Uyan</v>
          </cell>
          <cell r="C247">
            <v>2500</v>
          </cell>
          <cell r="D247">
            <v>0</v>
          </cell>
        </row>
        <row r="248">
          <cell r="B248" t="str">
            <v>4000000 · Sales Income:4001000 · Diyatha Uyana - Sales Outlet:4001110 · Staff Meals - Diyatha Uyana</v>
          </cell>
          <cell r="C248">
            <v>66570</v>
          </cell>
          <cell r="D248">
            <v>0</v>
          </cell>
        </row>
        <row r="249">
          <cell r="B249" t="str">
            <v>4000000 · Sales Income:4001000 · Diyatha Uyana - Sales Outlet:4001111 · Staff Welfare - Diyatha Uyana</v>
          </cell>
          <cell r="C249">
            <v>19187.36</v>
          </cell>
          <cell r="D249">
            <v>0</v>
          </cell>
        </row>
        <row r="250">
          <cell r="B250" t="str">
            <v>4000000 · Sales Income:4001000 · Diyatha Uyana - Sales Outlet:4001120 · Traveling &amp; Transport - Diyatha</v>
          </cell>
          <cell r="C250">
            <v>32410</v>
          </cell>
          <cell r="D250">
            <v>0</v>
          </cell>
        </row>
        <row r="251">
          <cell r="B251" t="str">
            <v>4000000 · Sales Income:4001000 · Diyatha Uyana - Sales Outlet:4001130 · Tools, Equip &amp; Maintanance</v>
          </cell>
          <cell r="C251">
            <v>5010</v>
          </cell>
          <cell r="D251">
            <v>0</v>
          </cell>
        </row>
        <row r="252">
          <cell r="B252" t="str">
            <v>4000000 · Sales Income:4001000 · Diyatha Uyana - Sales Outlet:4001200 · Salary &amp; Wages - Diyatha Uyana</v>
          </cell>
          <cell r="C252">
            <v>278000</v>
          </cell>
          <cell r="D252">
            <v>0</v>
          </cell>
        </row>
        <row r="253">
          <cell r="B253" t="str">
            <v>5000 · Cost of Goods Sold</v>
          </cell>
          <cell r="C253">
            <v>31517.86</v>
          </cell>
          <cell r="D253">
            <v>0</v>
          </cell>
        </row>
        <row r="254">
          <cell r="B254" t="str">
            <v>5100000 · Cost of Sales</v>
          </cell>
          <cell r="C254">
            <v>25466</v>
          </cell>
          <cell r="D254">
            <v>0</v>
          </cell>
        </row>
        <row r="255">
          <cell r="B255" t="str">
            <v>5100000 · Cost of Sales:5100100 · Opening Stock:5100120 · Live Fish</v>
          </cell>
          <cell r="C255">
            <v>76427.490000000005</v>
          </cell>
          <cell r="D255">
            <v>0</v>
          </cell>
        </row>
        <row r="256">
          <cell r="B256" t="str">
            <v>5100000 · Cost of Sales:5100200 · Closing Stock:5100220 · Live Fish</v>
          </cell>
          <cell r="C256">
            <v>1259919.76</v>
          </cell>
          <cell r="D256">
            <v>0</v>
          </cell>
        </row>
        <row r="257">
          <cell r="B257" t="str">
            <v>5100000 · Cost of Sales:5101000 · Live Fish, Dry Goods &amp; Packing</v>
          </cell>
          <cell r="C257">
            <v>1360</v>
          </cell>
          <cell r="D257">
            <v>0</v>
          </cell>
        </row>
        <row r="258">
          <cell r="B258" t="str">
            <v>5100000 · Cost of Sales:5101000 · Live Fish, Dry Goods &amp; Packing:5101010 · Live Fish Purchases</v>
          </cell>
          <cell r="C258">
            <v>28750340.190000001</v>
          </cell>
          <cell r="D258">
            <v>0</v>
          </cell>
        </row>
        <row r="259">
          <cell r="B259" t="str">
            <v>5100000 · Cost of Sales:5101000 · Live Fish, Dry Goods &amp; Packing:5101020 · Dried Goods Purchases</v>
          </cell>
          <cell r="C259">
            <v>3255525.96</v>
          </cell>
          <cell r="D259">
            <v>0</v>
          </cell>
        </row>
        <row r="260">
          <cell r="B260" t="str">
            <v>5100000 · Cost of Sales:5101000 · Live Fish, Dry Goods &amp; Packing:5101030 · Salt Purchases</v>
          </cell>
          <cell r="C260">
            <v>236300</v>
          </cell>
          <cell r="D260">
            <v>0</v>
          </cell>
        </row>
        <row r="261">
          <cell r="B261" t="str">
            <v>5100000 · Cost of Sales:5101000 · Live Fish, Dry Goods &amp; Packing:5101040 · Packing Materials</v>
          </cell>
          <cell r="C261">
            <v>2055952.96</v>
          </cell>
          <cell r="D261">
            <v>0</v>
          </cell>
        </row>
        <row r="262">
          <cell r="B262" t="str">
            <v>5100000 · Cost of Sales:5102000 · Project Costs (Coral, Cartoon):5102009 · Coral Rock Purchasing</v>
          </cell>
          <cell r="C262">
            <v>3178113.17</v>
          </cell>
          <cell r="D262">
            <v>0</v>
          </cell>
        </row>
        <row r="263">
          <cell r="B263" t="str">
            <v>5100000 · Cost of Sales:5102000 · Project Costs (Coral, Cartoon):5102010 · Coral Rock Laying &amp; Harvesting</v>
          </cell>
          <cell r="C263">
            <v>458415</v>
          </cell>
          <cell r="D263">
            <v>0</v>
          </cell>
        </row>
        <row r="264">
          <cell r="B264" t="str">
            <v>5100000 · Cost of Sales:5102000 · Project Costs (Coral, Cartoon):5102011 · Casual Labour Expenses</v>
          </cell>
          <cell r="C264">
            <v>617999</v>
          </cell>
          <cell r="D264">
            <v>0</v>
          </cell>
        </row>
        <row r="265">
          <cell r="B265" t="str">
            <v>5100000 · Cost of Sales:5102000 · Project Costs (Coral, Cartoon):5102012 · Farm Lorry Fuel Expenses</v>
          </cell>
          <cell r="C265">
            <v>218915</v>
          </cell>
          <cell r="D265">
            <v>0</v>
          </cell>
        </row>
        <row r="266">
          <cell r="B266" t="str">
            <v>5100000 · Cost of Sales:5102000 · Project Costs (Coral, Cartoon):5102013 · Transpotation Expenses</v>
          </cell>
          <cell r="C266">
            <v>295697.78000000003</v>
          </cell>
          <cell r="D266">
            <v>0</v>
          </cell>
        </row>
        <row r="267">
          <cell r="B267" t="str">
            <v>5100000 · Cost of Sales:5102000 · Project Costs (Coral, Cartoon):5102014 · Staff Welfare</v>
          </cell>
          <cell r="C267">
            <v>297474.51</v>
          </cell>
          <cell r="D267">
            <v>0</v>
          </cell>
        </row>
        <row r="268">
          <cell r="B268" t="str">
            <v>5100000 · Cost of Sales:5102000 · Project Costs (Coral, Cartoon):5102015 · Farm Professional Expenses</v>
          </cell>
          <cell r="C268">
            <v>82234</v>
          </cell>
          <cell r="D268">
            <v>0</v>
          </cell>
        </row>
        <row r="269">
          <cell r="B269" t="str">
            <v>5100000 · Cost of Sales:5102000 · Project Costs (Coral, Cartoon):5102016 · Postage , Printing ,Stationery</v>
          </cell>
          <cell r="C269">
            <v>855</v>
          </cell>
          <cell r="D269">
            <v>0</v>
          </cell>
        </row>
        <row r="270">
          <cell r="B270" t="str">
            <v>5100000 · Cost of Sales:5102000 · Project Costs (Coral, Cartoon):5102017 · Packing Material</v>
          </cell>
          <cell r="C270">
            <v>2327158.6</v>
          </cell>
          <cell r="D270">
            <v>0</v>
          </cell>
        </row>
        <row r="271">
          <cell r="B271" t="str">
            <v>5100000 · Cost of Sales:5102000 · Project Costs (Coral, Cartoon):5102018 · Monthly Fees - Live Care Taking</v>
          </cell>
          <cell r="C271">
            <v>212000</v>
          </cell>
          <cell r="D271">
            <v>0</v>
          </cell>
        </row>
        <row r="272">
          <cell r="B272" t="str">
            <v>5100000 · Cost of Sales:5102000 · Project Costs (Coral, Cartoon):5102019 · Permit Charges - Live Rock</v>
          </cell>
          <cell r="C272">
            <v>3136200</v>
          </cell>
          <cell r="D272">
            <v>0</v>
          </cell>
        </row>
        <row r="273">
          <cell r="B273" t="str">
            <v>5100000 · Cost of Sales:5102000 · Project Costs (Coral, Cartoon):5102020 · Cardboard Cartoon Boxes</v>
          </cell>
          <cell r="C273">
            <v>6401567.6500000004</v>
          </cell>
          <cell r="D273">
            <v>0</v>
          </cell>
        </row>
        <row r="274">
          <cell r="B274" t="str">
            <v>5100000 · Cost of Sales:5103000 · Freight &amp; Handling Charges:5103010 · Export Freight  - Live Fish</v>
          </cell>
          <cell r="C274">
            <v>34907906.100000001</v>
          </cell>
          <cell r="D274">
            <v>0</v>
          </cell>
        </row>
        <row r="275">
          <cell r="B275" t="str">
            <v>5100000 · Cost of Sales:5103000 · Freight &amp; Handling Charges:5103011 · Export Freight - Live Rock</v>
          </cell>
          <cell r="C275">
            <v>8122648.5</v>
          </cell>
          <cell r="D275">
            <v>0</v>
          </cell>
        </row>
        <row r="276">
          <cell r="B276" t="str">
            <v>5100000 · Cost of Sales:5103000 · Freight &amp; Handling Charges:5103012 · Export Freight - Cartoon</v>
          </cell>
          <cell r="C276">
            <v>2128372.9500000002</v>
          </cell>
          <cell r="D276">
            <v>0</v>
          </cell>
        </row>
        <row r="277">
          <cell r="B277" t="str">
            <v>5100000 · Cost of Sales:5103000 · Freight &amp; Handling Charges:5103020 · Handling &amp; Documentation Charge</v>
          </cell>
          <cell r="C277">
            <v>2926238.14</v>
          </cell>
          <cell r="D277">
            <v>0</v>
          </cell>
        </row>
        <row r="278">
          <cell r="B278" t="str">
            <v>5100000 · Cost of Sales:5103000 · Freight &amp; Handling Charges:5103030 · Imports Freight Charges</v>
          </cell>
          <cell r="C278">
            <v>1001504.53</v>
          </cell>
          <cell r="D278">
            <v>0</v>
          </cell>
        </row>
        <row r="279">
          <cell r="B279" t="str">
            <v>5100000 · Cost of Sales:5103000 · Freight &amp; Handling Charges:5103040 · Freight Charges - Maldives Expt</v>
          </cell>
          <cell r="C279">
            <v>777234.02</v>
          </cell>
          <cell r="D279">
            <v>0</v>
          </cell>
        </row>
        <row r="280">
          <cell r="B280" t="str">
            <v>5100000 · Cost of Sales:5104000 · Direct Labour:5104010 · Wages</v>
          </cell>
          <cell r="C280">
            <v>9351653.4900000002</v>
          </cell>
          <cell r="D280">
            <v>0</v>
          </cell>
        </row>
        <row r="281">
          <cell r="B281" t="str">
            <v>5100000 · Cost of Sales:5104000 · Direct Labour:5104020 · Labour EPF</v>
          </cell>
          <cell r="C281">
            <v>1128414.8799999999</v>
          </cell>
          <cell r="D281">
            <v>0</v>
          </cell>
        </row>
        <row r="282">
          <cell r="B282" t="str">
            <v>5100000 · Cost of Sales:5104000 · Direct Labour:5104030 · Labour ETF</v>
          </cell>
          <cell r="C282">
            <v>282103.71999999997</v>
          </cell>
          <cell r="D282">
            <v>0</v>
          </cell>
        </row>
        <row r="283">
          <cell r="B283" t="str">
            <v>5100000 · Cost of Sales:5104000 · Direct Labour:5104040 · Farm Labour Allowance</v>
          </cell>
          <cell r="C283">
            <v>3099722.83</v>
          </cell>
          <cell r="D283">
            <v>0</v>
          </cell>
        </row>
        <row r="284">
          <cell r="B284" t="str">
            <v>5100000 · Cost of Sales:5104000 · Direct Labour:5104050 · Farm Labour OT @ 1.5/hr</v>
          </cell>
          <cell r="C284">
            <v>906497.87</v>
          </cell>
          <cell r="D284">
            <v>0</v>
          </cell>
        </row>
        <row r="285">
          <cell r="B285" t="str">
            <v>5100000 · Cost of Sales:5104000 · Direct Labour:5104060 · Farm Labour OT @ 2/hr</v>
          </cell>
          <cell r="C285">
            <v>361657.43</v>
          </cell>
          <cell r="D285">
            <v>0</v>
          </cell>
        </row>
        <row r="286">
          <cell r="B286" t="str">
            <v>5100000 · Cost of Sales:5105000 · Direct Farm Overheads:5105020 · Fresh Water Transport</v>
          </cell>
          <cell r="C286">
            <v>0</v>
          </cell>
          <cell r="D286">
            <v>0</v>
          </cell>
        </row>
        <row r="287">
          <cell r="B287" t="str">
            <v>5100000 · Cost of Sales:5105000 · Direct Farm Overheads:5105040 · Travel Bata - Airport</v>
          </cell>
          <cell r="C287">
            <v>7750</v>
          </cell>
          <cell r="D287">
            <v>0</v>
          </cell>
        </row>
        <row r="288">
          <cell r="B288" t="str">
            <v>5100000 · Cost of Sales:5106000 · Styrofom Box Project</v>
          </cell>
          <cell r="C288">
            <v>5390</v>
          </cell>
          <cell r="D288">
            <v>0</v>
          </cell>
        </row>
        <row r="289">
          <cell r="B289" t="str">
            <v>5100000 · Cost of Sales:5106000 · Styrofom Box Project:5106003 · Handling &amp; Documentation Charge</v>
          </cell>
          <cell r="C289">
            <v>1420</v>
          </cell>
          <cell r="D289">
            <v>0</v>
          </cell>
        </row>
        <row r="290">
          <cell r="B290" t="str">
            <v>5100000 · Cost of Sales:5106000 · Styrofom Box Project:5106005 · Packing Materials</v>
          </cell>
          <cell r="C290">
            <v>10980</v>
          </cell>
          <cell r="D290">
            <v>0</v>
          </cell>
        </row>
        <row r="291">
          <cell r="B291" t="str">
            <v>5000000 · Expenses:5200000 · Wagawatta Farm Expenses</v>
          </cell>
          <cell r="C291">
            <v>1000</v>
          </cell>
          <cell r="D291">
            <v>0</v>
          </cell>
        </row>
        <row r="292">
          <cell r="B292" t="str">
            <v>5000000 · Expenses:5200000 · Wagawatta Farm Expenses:5201000 · Indirect Expenses:5201010 · Farm Generator Expenses</v>
          </cell>
          <cell r="C292">
            <v>164823.9</v>
          </cell>
          <cell r="D292">
            <v>0</v>
          </cell>
        </row>
        <row r="293">
          <cell r="B293" t="str">
            <v>5000000 · Expenses:5200000 · Wagawatta Farm Expenses:5201000 · Indirect Expenses:5201020 · Farm Electricity Expenses</v>
          </cell>
          <cell r="C293">
            <v>389812.5</v>
          </cell>
          <cell r="D293">
            <v>0</v>
          </cell>
        </row>
        <row r="294">
          <cell r="B294" t="str">
            <v>5000000 · Expenses:5200000 · Wagawatta Farm Expenses:5201000 · Indirect Expenses:5201030 · Farm Casual Labour Expenses</v>
          </cell>
          <cell r="C294">
            <v>84520</v>
          </cell>
          <cell r="D294">
            <v>0</v>
          </cell>
        </row>
        <row r="295">
          <cell r="B295" t="str">
            <v>5000000 · Expenses:5200000 · Wagawatta Farm Expenses:5201000 · Indirect Expenses:5201040 · Farm Staff Welfare</v>
          </cell>
          <cell r="C295">
            <v>194347</v>
          </cell>
          <cell r="D295">
            <v>0</v>
          </cell>
        </row>
        <row r="296">
          <cell r="B296" t="str">
            <v>5000000 · Expenses:5200000 · Wagawatta Farm Expenses:5201000 · Indirect Expenses:5201041 · Drinking Water  - SL Farm</v>
          </cell>
          <cell r="C296">
            <v>47980.800000000003</v>
          </cell>
          <cell r="D296">
            <v>0</v>
          </cell>
        </row>
        <row r="297">
          <cell r="B297" t="str">
            <v>5000000 · Expenses:5200000 · Wagawatta Farm Expenses:5201000 · Indirect Expenses:5201050 · Farm Hotel &amp; Lodging Expenses</v>
          </cell>
          <cell r="C297">
            <v>3255</v>
          </cell>
          <cell r="D297">
            <v>0</v>
          </cell>
        </row>
        <row r="298">
          <cell r="B298" t="str">
            <v>5000000 · Expenses:5200000 · Wagawatta Farm Expenses:5201000 · Indirect Expenses:5201050 · Farm Hotel &amp; Lodging Expenses:5201052 · Foods &amp; Beverages</v>
          </cell>
          <cell r="C298">
            <v>147531</v>
          </cell>
          <cell r="D298">
            <v>0</v>
          </cell>
        </row>
        <row r="299">
          <cell r="B299" t="str">
            <v>5000000 · Expenses:5200000 · Wagawatta Farm Expenses:5201000 · Indirect Expenses:5201060 · Horana farm meals &amp; refreshment</v>
          </cell>
          <cell r="C299">
            <v>895279</v>
          </cell>
          <cell r="D299">
            <v>0</v>
          </cell>
        </row>
        <row r="300">
          <cell r="B300" t="str">
            <v>5000000 · Expenses:5200000 · Wagawatta Farm Expenses:5201000 · Indirect Expenses:5201080 · Transpotation Expenses</v>
          </cell>
          <cell r="C300">
            <v>335352</v>
          </cell>
          <cell r="D300">
            <v>0</v>
          </cell>
        </row>
        <row r="301">
          <cell r="B301" t="str">
            <v>5000000 · Expenses:5200000 · Wagawatta Farm Expenses:5201000 · Indirect Expenses:5201090 · Farm Insurance Expenses:5201091 · Life &amp; General lFram Insurances</v>
          </cell>
          <cell r="C301">
            <v>85219.32</v>
          </cell>
          <cell r="D301">
            <v>0</v>
          </cell>
        </row>
        <row r="302">
          <cell r="B302" t="str">
            <v>5000000 · Expenses:5200000 · Wagawatta Farm Expenses:5201000 · Indirect Expenses:5201090 · Farm Insurance Expenses:5201092 · Vehicle Insurances</v>
          </cell>
          <cell r="C302">
            <v>104658.93</v>
          </cell>
          <cell r="D302">
            <v>0</v>
          </cell>
        </row>
        <row r="303">
          <cell r="B303" t="str">
            <v>5000000 · Expenses:5200000 · Wagawatta Farm Expenses:5201000 · Indirect Expenses:5201100 · Farm Professional Expenses</v>
          </cell>
          <cell r="C303">
            <v>58586.58</v>
          </cell>
          <cell r="D303">
            <v>0</v>
          </cell>
        </row>
        <row r="304">
          <cell r="B304" t="str">
            <v>5000000 · Expenses:5200000 · Wagawatta Farm Expenses:5202000 · Payroll Expenses:5202010 · Farm Management Salary</v>
          </cell>
          <cell r="C304">
            <v>3094149.59</v>
          </cell>
          <cell r="D304">
            <v>0</v>
          </cell>
        </row>
        <row r="305">
          <cell r="B305" t="str">
            <v>5000000 · Expenses:5200000 · Wagawatta Farm Expenses:5202000 · Payroll Expenses:5202020 · Farm Management EPF</v>
          </cell>
          <cell r="C305">
            <v>376261.15</v>
          </cell>
          <cell r="D305">
            <v>0</v>
          </cell>
        </row>
        <row r="306">
          <cell r="B306" t="str">
            <v>5000000 · Expenses:5200000 · Wagawatta Farm Expenses:5202000 · Payroll Expenses:5202030 · Farm Management ETF</v>
          </cell>
          <cell r="C306">
            <v>94065.29</v>
          </cell>
          <cell r="D306">
            <v>0</v>
          </cell>
        </row>
        <row r="307">
          <cell r="B307" t="str">
            <v>5000000 · Expenses:5200000 · Wagawatta Farm Expenses:5202000 · Payroll Expenses:5202040 · Farm Mgt. Other Allowances</v>
          </cell>
          <cell r="C307">
            <v>63017.52</v>
          </cell>
          <cell r="D307">
            <v>0</v>
          </cell>
        </row>
        <row r="308">
          <cell r="B308" t="str">
            <v>5000000 · Expenses:5200000 · Wagawatta Farm Expenses:5202000 · Payroll Expenses:5202050 · Farm Mgt. Car &amp; Fuel  Allowance</v>
          </cell>
          <cell r="C308">
            <v>357265</v>
          </cell>
          <cell r="D308">
            <v>0</v>
          </cell>
        </row>
        <row r="309">
          <cell r="B309" t="str">
            <v>5000000 · Expenses:5200000 · Wagawatta Farm Expenses:5202000 · Payroll Expenses:5202060 · Farm Mgt. Performance Bonus</v>
          </cell>
          <cell r="C309">
            <v>515201.67</v>
          </cell>
          <cell r="D309">
            <v>0</v>
          </cell>
        </row>
        <row r="310">
          <cell r="B310" t="str">
            <v>5000000 · Expenses:5200000 · Wagawatta Farm Expenses:5202000 · Payroll Expenses:5202080 · Farm Excess Comunication</v>
          </cell>
          <cell r="C310">
            <v>0</v>
          </cell>
          <cell r="D310">
            <v>2237.46</v>
          </cell>
        </row>
        <row r="311">
          <cell r="B311" t="str">
            <v>5000000 · Expenses:5200000 · Wagawatta Farm Expenses:5202000 · Payroll Expenses:5202090 · Farm mgt OT 1.5/hr</v>
          </cell>
          <cell r="C311">
            <v>38760.25</v>
          </cell>
          <cell r="D311">
            <v>0</v>
          </cell>
        </row>
        <row r="312">
          <cell r="B312" t="str">
            <v>5000000 · Expenses:5200000 · Wagawatta Farm Expenses:5203000 · Farm Communication Expenses:5203020 · Farm Land Line No.034-3448849</v>
          </cell>
          <cell r="C312">
            <v>32757.34</v>
          </cell>
          <cell r="D312">
            <v>0</v>
          </cell>
        </row>
        <row r="313">
          <cell r="B313" t="str">
            <v>5000000 · Expenses:5200000 · Wagawatta Farm Expenses:5203000 · Farm Communication Expenses:5203030 · Farm Land Line No.034-2255690</v>
          </cell>
          <cell r="C313">
            <v>89788.58</v>
          </cell>
          <cell r="D313">
            <v>0</v>
          </cell>
        </row>
        <row r="314">
          <cell r="B314" t="str">
            <v>5000000 · Expenses:5200000 · Wagawatta Farm Expenses:5203000 · Farm Communication Expenses:5203040 · Farm BroadBand Charges</v>
          </cell>
          <cell r="C314">
            <v>138588.9</v>
          </cell>
          <cell r="D314">
            <v>0</v>
          </cell>
        </row>
        <row r="315">
          <cell r="B315" t="str">
            <v>5000000 · Expenses:5200000 · Wagawatta Farm Expenses:5203000 · Farm Communication Expenses:5203060 · Farm Mobile Charges</v>
          </cell>
          <cell r="C315">
            <v>248644.54</v>
          </cell>
          <cell r="D315">
            <v>0</v>
          </cell>
        </row>
        <row r="316">
          <cell r="B316" t="str">
            <v>5000000 · Expenses:5200000 · Wagawatta Farm Expenses:5203000 · Farm Communication Expenses:5203090 · Horana Farm Leased Line</v>
          </cell>
          <cell r="C316">
            <v>330351.59000000003</v>
          </cell>
          <cell r="D316">
            <v>0</v>
          </cell>
        </row>
        <row r="317">
          <cell r="B317" t="str">
            <v>5000000 · Expenses:5200000 · Wagawatta Farm Expenses:5204000 · Farm Vehicle Expenses:5204010 · Vehicle Repair &amp; Maintanance</v>
          </cell>
          <cell r="C317">
            <v>188956</v>
          </cell>
          <cell r="D317">
            <v>0</v>
          </cell>
        </row>
        <row r="318">
          <cell r="B318" t="str">
            <v>5000000 · Expenses:5200000 · Wagawatta Farm Expenses:5204000 · Farm Vehicle Expenses:5204020 · Vehicle Registration &amp; Renewal</v>
          </cell>
          <cell r="C318">
            <v>18170</v>
          </cell>
          <cell r="D318">
            <v>0</v>
          </cell>
        </row>
        <row r="319">
          <cell r="B319" t="str">
            <v>5000000 · Expenses:5200000 · Wagawatta Farm Expenses:5204000 · Farm Vehicle Expenses:5204030 · Tyres Replacement &amp; Repair</v>
          </cell>
          <cell r="C319">
            <v>34300</v>
          </cell>
          <cell r="D319">
            <v>0</v>
          </cell>
        </row>
        <row r="320">
          <cell r="B320" t="str">
            <v>5000000 · Expenses:5200000 · Wagawatta Farm Expenses:5204000 · Farm Vehicle Expenses:5204040 · Farm Vehicle Services Expenses</v>
          </cell>
          <cell r="C320">
            <v>125065</v>
          </cell>
          <cell r="D320">
            <v>0</v>
          </cell>
        </row>
        <row r="321">
          <cell r="B321" t="str">
            <v>5000000 · Expenses:5200000 · Wagawatta Farm Expenses:5204000 · Farm Vehicle Expenses:5204050 · Farm Bikes Fuel Expenses</v>
          </cell>
          <cell r="C321">
            <v>19585</v>
          </cell>
          <cell r="D321">
            <v>0</v>
          </cell>
        </row>
        <row r="322">
          <cell r="B322" t="str">
            <v>5000000 · Expenses:5200000 · Wagawatta Farm Expenses:5204000 · Farm Vehicle Expenses:5204060 · Farm Van Fuel Expenses</v>
          </cell>
          <cell r="C322">
            <v>11520</v>
          </cell>
          <cell r="D322">
            <v>0</v>
          </cell>
        </row>
        <row r="323">
          <cell r="B323" t="str">
            <v>5000000 · Expenses:5200000 · Wagawatta Farm Expenses:5204000 · Farm Vehicle Expenses:5204070 · Farm Lorry Fuel Expenses</v>
          </cell>
          <cell r="C323">
            <v>398729</v>
          </cell>
          <cell r="D323">
            <v>0</v>
          </cell>
        </row>
        <row r="324">
          <cell r="B324" t="str">
            <v>5000000 · Expenses:5200000 · Wagawatta Farm Expenses:5204000 · Farm Vehicle Expenses:5204090 · Farm Cab Fuel Expenses</v>
          </cell>
          <cell r="C324">
            <v>28360</v>
          </cell>
          <cell r="D324">
            <v>0</v>
          </cell>
        </row>
        <row r="325">
          <cell r="B325" t="str">
            <v>5000000 · Expenses:5200000 · Wagawatta Farm Expenses:5204000 · Farm Vehicle Expenses:5204100 · Horana farm Taxi vehicle fuel</v>
          </cell>
          <cell r="C325">
            <v>77850</v>
          </cell>
          <cell r="D325">
            <v>0</v>
          </cell>
        </row>
        <row r="326">
          <cell r="B326" t="str">
            <v>5000000 · Expenses:5200000 · Wagawatta Farm Expenses:5205000 · Other Farm Overheads:5205010 · Maintenance - Farm Equipments</v>
          </cell>
          <cell r="C326">
            <v>583207.63</v>
          </cell>
          <cell r="D326">
            <v>0</v>
          </cell>
        </row>
        <row r="327">
          <cell r="B327" t="str">
            <v>5000000 · Expenses:5200000 · Wagawatta Farm Expenses:5205000 · Other Farm Overheads:5205020 · Entertainment Expenses</v>
          </cell>
          <cell r="C327">
            <v>200</v>
          </cell>
          <cell r="D327">
            <v>0</v>
          </cell>
        </row>
        <row r="328">
          <cell r="B328" t="str">
            <v>5000000 · Expenses:5200000 · Wagawatta Farm Expenses:5205000 · Other Farm Overheads:5205040 · General Repair &amp; Maintanance</v>
          </cell>
          <cell r="C328">
            <v>1391180</v>
          </cell>
          <cell r="D328">
            <v>0</v>
          </cell>
        </row>
        <row r="329">
          <cell r="B329" t="str">
            <v>5000000 · Expenses:5200000 · Wagawatta Farm Expenses:5205000 · Other Farm Overheads:5205050 · Postage,Printing &amp; Stationeries</v>
          </cell>
          <cell r="C329">
            <v>34430</v>
          </cell>
          <cell r="D329">
            <v>0</v>
          </cell>
        </row>
        <row r="330">
          <cell r="B330" t="str">
            <v>5000000 · Expenses:5200000 · Wagawatta Farm Expenses:5205000 · Other Farm Overheads:5205060 · Security Expenses</v>
          </cell>
          <cell r="C330">
            <v>963186</v>
          </cell>
          <cell r="D330">
            <v>0</v>
          </cell>
        </row>
        <row r="331">
          <cell r="B331" t="str">
            <v>5000000 · Expenses:5200000 · Wagawatta Farm Expenses:5205000 · Other Farm Overheads:5205070 · Supplier Visit Expenses</v>
          </cell>
          <cell r="C331">
            <v>11480</v>
          </cell>
          <cell r="D331">
            <v>0</v>
          </cell>
        </row>
        <row r="332">
          <cell r="B332" t="str">
            <v>5000000 · Expenses:5200000 · Wagawatta Farm Expenses:5205000 · Other Farm Overheads:5205080 · Depreciations - Buildings</v>
          </cell>
          <cell r="C332">
            <v>1808916.72</v>
          </cell>
          <cell r="D332">
            <v>0</v>
          </cell>
        </row>
        <row r="333">
          <cell r="B333" t="str">
            <v>5000000 · Expenses:5200000 · Wagawatta Farm Expenses:5205000 · Other Farm Overheads:5205090 · Depreciations - Motor Vehicles</v>
          </cell>
          <cell r="C333">
            <v>2406351.38</v>
          </cell>
          <cell r="D333">
            <v>0</v>
          </cell>
        </row>
        <row r="334">
          <cell r="B334" t="str">
            <v>5000000 · Expenses:5200000 · Wagawatta Farm Expenses:5205000 · Other Farm Overheads:5205100 · Depreciations - Fram Equipments</v>
          </cell>
          <cell r="C334">
            <v>941618.98</v>
          </cell>
          <cell r="D334">
            <v>0</v>
          </cell>
        </row>
        <row r="335">
          <cell r="B335" t="str">
            <v>5000000 · Expenses:5200000 · Wagawatta Farm Expenses:5205000 · Other Farm Overheads:5205990 · Miscellaneous Expenses</v>
          </cell>
          <cell r="C335">
            <v>29567.02</v>
          </cell>
          <cell r="D335">
            <v>0</v>
          </cell>
        </row>
        <row r="336">
          <cell r="B336" t="str">
            <v>5000000 · Expenses:5200000 · Wagawatta Farm Expenses:5206000 · Finance &amp; Other Charges:5206010 · Long Term Loan Interests</v>
          </cell>
          <cell r="C336">
            <v>3064898.92</v>
          </cell>
          <cell r="D336">
            <v>0</v>
          </cell>
        </row>
        <row r="337">
          <cell r="B337" t="str">
            <v>5000000 · Expenses:5200000 · Wagawatta Farm Expenses:5206000 · Finance &amp; Other Charges:5206020 · Short Term Loan Interests</v>
          </cell>
          <cell r="C337">
            <v>69659.14</v>
          </cell>
          <cell r="D337">
            <v>0</v>
          </cell>
        </row>
        <row r="338">
          <cell r="B338" t="str">
            <v>5000000 · Expenses:5200000 · Wagawatta Farm Expenses:5206000 · Finance &amp; Other Charges:5206030 · Lease Interests</v>
          </cell>
          <cell r="C338">
            <v>108497.66</v>
          </cell>
          <cell r="D338">
            <v>0</v>
          </cell>
        </row>
        <row r="339">
          <cell r="B339" t="str">
            <v>5000000 · Expenses:5200000 · Wagawatta Farm Expenses:5206000 · Finance &amp; Other Charges:5206040 · Bank Charges</v>
          </cell>
          <cell r="C339">
            <v>7050</v>
          </cell>
          <cell r="D339">
            <v>0</v>
          </cell>
        </row>
        <row r="340">
          <cell r="B340" t="str">
            <v>5000000 · Expenses:5200000 · Wagawatta Farm Expenses:5206000 · Finance &amp; Other Charges:5206050 · Debit Tax Expenses</v>
          </cell>
          <cell r="C340">
            <v>2316</v>
          </cell>
          <cell r="D340">
            <v>0</v>
          </cell>
        </row>
        <row r="341">
          <cell r="B341" t="str">
            <v>5000000 · Expenses:5200000 · Wagawatta Farm Expenses:5206000 · Finance &amp; Other Charges:5206100 · Surcharges &amp; Panalties</v>
          </cell>
          <cell r="C341">
            <v>364</v>
          </cell>
          <cell r="D341">
            <v>0</v>
          </cell>
        </row>
        <row r="342">
          <cell r="B342" t="str">
            <v>5000000 · Expenses:5210000 · Wadduwa Farm Expenses</v>
          </cell>
          <cell r="C342">
            <v>430</v>
          </cell>
          <cell r="D342">
            <v>0</v>
          </cell>
        </row>
        <row r="343">
          <cell r="B343" t="str">
            <v>5000000 · Expenses:5210000 · Wadduwa Farm Expenses:5211000 · Wadduwa Administration Expense:5211010 · Generator Expense - Wadduwa</v>
          </cell>
          <cell r="C343">
            <v>53500</v>
          </cell>
          <cell r="D343">
            <v>0</v>
          </cell>
        </row>
        <row r="344">
          <cell r="B344" t="str">
            <v>5000000 · Expenses:5210000 · Wadduwa Farm Expenses:5211000 · Wadduwa Administration Expense:5211011 · Water Moter Fuel Expenses</v>
          </cell>
          <cell r="C344">
            <v>7837</v>
          </cell>
          <cell r="D344">
            <v>0</v>
          </cell>
        </row>
        <row r="345">
          <cell r="B345" t="str">
            <v>5000000 · Expenses:5210000 · Wadduwa Farm Expenses:5211000 · Wadduwa Administration Expense:5211020 · Electricity Expenses</v>
          </cell>
          <cell r="C345">
            <v>1061242.32</v>
          </cell>
          <cell r="D345">
            <v>0</v>
          </cell>
        </row>
        <row r="346">
          <cell r="B346" t="str">
            <v>5000000 · Expenses:5210000 · Wadduwa Farm Expenses:5211000 · Wadduwa Administration Expense:5211030 · Casual Labour Exp. Wadduwa</v>
          </cell>
          <cell r="C346">
            <v>52675</v>
          </cell>
          <cell r="D346">
            <v>0</v>
          </cell>
        </row>
        <row r="347">
          <cell r="B347" t="str">
            <v>5000000 · Expenses:5210000 · Wadduwa Farm Expenses:5211000 · Wadduwa Administration Expense:5211040 · Staff Welfare - Wadduwa</v>
          </cell>
          <cell r="C347">
            <v>910687</v>
          </cell>
          <cell r="D347">
            <v>0</v>
          </cell>
        </row>
        <row r="348">
          <cell r="B348" t="str">
            <v>5000000 · Expenses:5210000 · Wadduwa Farm Expenses:5211000 · Wadduwa Administration Expense:5211041 · Meals &amp; Refreshment - Wadduwa</v>
          </cell>
          <cell r="C348">
            <v>282218.5</v>
          </cell>
          <cell r="D348">
            <v>0</v>
          </cell>
        </row>
        <row r="349">
          <cell r="B349" t="str">
            <v>5000000 · Expenses:5210000 · Wadduwa Farm Expenses:5211000 · Wadduwa Administration Expense:5211050 · Water Charges - Wadduwa</v>
          </cell>
          <cell r="C349">
            <v>19845.97</v>
          </cell>
          <cell r="D349">
            <v>0</v>
          </cell>
        </row>
        <row r="350">
          <cell r="B350" t="str">
            <v>5000000 · Expenses:5210000 · Wadduwa Farm Expenses:5211000 · Wadduwa Administration Expense:5211051 · Drinking Water Bottles</v>
          </cell>
          <cell r="C350">
            <v>92106.2</v>
          </cell>
          <cell r="D350">
            <v>0</v>
          </cell>
        </row>
        <row r="351">
          <cell r="B351" t="str">
            <v>5000000 · Expenses:5210000 · Wadduwa Farm Expenses:5211000 · Wadduwa Administration Expense:5211060 · Professional Fees - Wadduwa</v>
          </cell>
          <cell r="C351">
            <v>26600</v>
          </cell>
          <cell r="D351">
            <v>0</v>
          </cell>
        </row>
        <row r="352">
          <cell r="B352" t="str">
            <v>5000000 · Expenses:5210000 · Wadduwa Farm Expenses:5211000 · Wadduwa Administration Expense:5211061 · Donation &amp; Subscription</v>
          </cell>
          <cell r="C352">
            <v>7500</v>
          </cell>
          <cell r="D352">
            <v>0</v>
          </cell>
        </row>
        <row r="353">
          <cell r="B353" t="str">
            <v>5000000 · Expenses:5210000 · Wadduwa Farm Expenses:5211000 · Wadduwa Administration Expense:5211070 · Insurance Expenses - General</v>
          </cell>
          <cell r="C353">
            <v>25130.76</v>
          </cell>
          <cell r="D353">
            <v>0</v>
          </cell>
        </row>
        <row r="354">
          <cell r="B354" t="str">
            <v>5000000 · Expenses:5210000 · Wadduwa Farm Expenses:5211000 · Wadduwa Administration Expense:5211071 · Accomadation Charges</v>
          </cell>
          <cell r="C354">
            <v>99360</v>
          </cell>
          <cell r="D354">
            <v>0</v>
          </cell>
        </row>
        <row r="355">
          <cell r="B355" t="str">
            <v>5000000 · Expenses:5210000 · Wadduwa Farm Expenses:5211000 · Wadduwa Administration Expense:5211080 · Transportation Expenses</v>
          </cell>
          <cell r="C355">
            <v>240992</v>
          </cell>
          <cell r="D355">
            <v>0</v>
          </cell>
        </row>
        <row r="356">
          <cell r="B356" t="str">
            <v>5000000 · Expenses:5210000 · Wadduwa Farm Expenses:5211000 · Wadduwa Administration Expense:5211081 · Fuel &amp; Oils</v>
          </cell>
          <cell r="C356">
            <v>148915</v>
          </cell>
          <cell r="D356">
            <v>0</v>
          </cell>
        </row>
        <row r="357">
          <cell r="B357" t="str">
            <v>5000000 · Expenses:5210000 · Wadduwa Farm Expenses:5211000 · Wadduwa Administration Expense:5211090 · Local &amp; Foreign Traveling Exp.</v>
          </cell>
          <cell r="C357">
            <v>195150</v>
          </cell>
          <cell r="D357">
            <v>0</v>
          </cell>
        </row>
        <row r="358">
          <cell r="B358" t="str">
            <v>5000000 · Expenses:5210000 · Wadduwa Farm Expenses:5212000 · Wadduwa Salary Expenses:5212010 · Management Salary - Wadduwa</v>
          </cell>
          <cell r="C358">
            <v>1393500</v>
          </cell>
          <cell r="D358">
            <v>0</v>
          </cell>
        </row>
        <row r="359">
          <cell r="B359" t="str">
            <v>5000000 · Expenses:5210000 · Wadduwa Farm Expenses:5212000 · Wadduwa Salary Expenses:5212020 · Management EPF - Wadduwa</v>
          </cell>
          <cell r="C359">
            <v>167220</v>
          </cell>
          <cell r="D359">
            <v>0</v>
          </cell>
        </row>
        <row r="360">
          <cell r="B360" t="str">
            <v>5000000 · Expenses:5210000 · Wadduwa Farm Expenses:5212000 · Wadduwa Salary Expenses:5212030 · Management ETF - Wadduwa</v>
          </cell>
          <cell r="C360">
            <v>41805</v>
          </cell>
          <cell r="D360">
            <v>0</v>
          </cell>
        </row>
        <row r="361">
          <cell r="B361" t="str">
            <v>5000000 · Expenses:5210000 · Wadduwa Farm Expenses:5212000 · Wadduwa Salary Expenses:5212040 · Allowances - Wadduwa</v>
          </cell>
          <cell r="C361">
            <v>822829.7</v>
          </cell>
          <cell r="D361">
            <v>0</v>
          </cell>
        </row>
        <row r="362">
          <cell r="B362" t="str">
            <v>5000000 · Expenses:5210000 · Wadduwa Farm Expenses:5213000 · Communication Expenses - Wadduw:5213010 · Mobile Bills - Wadduwa</v>
          </cell>
          <cell r="C362">
            <v>251826.53</v>
          </cell>
          <cell r="D362">
            <v>0</v>
          </cell>
        </row>
        <row r="363">
          <cell r="B363" t="str">
            <v>5000000 · Expenses:5210000 · Wadduwa Farm Expenses:5213000 · Communication Expenses - Wadduw:5213020 · Broadband Bills - Wadduwa</v>
          </cell>
          <cell r="C363">
            <v>85775.15</v>
          </cell>
          <cell r="D363">
            <v>0</v>
          </cell>
        </row>
        <row r="364">
          <cell r="B364" t="str">
            <v>5000000 · Expenses:5210000 · Wadduwa Farm Expenses:5213000 · Communication Expenses - Wadduw:5213030 · Wadduwa Land Line No.0382285480</v>
          </cell>
          <cell r="C364">
            <v>34279.360000000001</v>
          </cell>
          <cell r="D364">
            <v>0</v>
          </cell>
        </row>
        <row r="365">
          <cell r="B365" t="str">
            <v>5000000 · Expenses:5210000 · Wadduwa Farm Expenses:5213000 · Communication Expenses - Wadduw:5213040 · Waduwa 4G LTE Office</v>
          </cell>
          <cell r="C365">
            <v>57406.95</v>
          </cell>
          <cell r="D365">
            <v>0</v>
          </cell>
        </row>
        <row r="366">
          <cell r="B366" t="str">
            <v>5000000 · Expenses:5210000 · Wadduwa Farm Expenses:5214000 · Wadduwa Vehicle Expenses</v>
          </cell>
          <cell r="C366">
            <v>6000</v>
          </cell>
          <cell r="D366">
            <v>0</v>
          </cell>
        </row>
        <row r="367">
          <cell r="B367" t="str">
            <v>5000000 · Expenses:5210000 · Wadduwa Farm Expenses:5214000 · Wadduwa Vehicle Expenses:5214020 · Tyres Replacement &amp; Repairs-Wad</v>
          </cell>
          <cell r="C367">
            <v>229465</v>
          </cell>
          <cell r="D367">
            <v>0</v>
          </cell>
        </row>
        <row r="368">
          <cell r="B368" t="str">
            <v>5000000 · Expenses:5210000 · Wadduwa Farm Expenses:5214000 · Wadduwa Vehicle Expenses:5214030 · Vehicle Services - Wadduwa</v>
          </cell>
          <cell r="C368">
            <v>126224</v>
          </cell>
          <cell r="D368">
            <v>0</v>
          </cell>
        </row>
        <row r="369">
          <cell r="B369" t="str">
            <v>5000000 · Expenses:5210000 · Wadduwa Farm Expenses:5214000 · Wadduwa Vehicle Expenses:5214040 · Fuel Cab - PP-9611 Wadduwa</v>
          </cell>
          <cell r="C369">
            <v>590</v>
          </cell>
          <cell r="D369">
            <v>0</v>
          </cell>
        </row>
        <row r="370">
          <cell r="B370" t="str">
            <v>5000000 · Expenses:5210000 · Wadduwa Farm Expenses:5214000 · Wadduwa Vehicle Expenses:5214050 · Vehicle Insurance, Licen &amp; Renw</v>
          </cell>
          <cell r="C370">
            <v>75325.759999999995</v>
          </cell>
          <cell r="D370">
            <v>0</v>
          </cell>
        </row>
        <row r="371">
          <cell r="B371" t="str">
            <v>5000000 · Expenses:5210000 · Wadduwa Farm Expenses:5214000 · Wadduwa Vehicle Expenses:5214060 · Fuel for Lorry - LE 6012</v>
          </cell>
          <cell r="C371">
            <v>385729</v>
          </cell>
          <cell r="D371">
            <v>0</v>
          </cell>
        </row>
        <row r="372">
          <cell r="B372" t="str">
            <v>5000000 · Expenses:5210000 · Wadduwa Farm Expenses:5215000 · Wadduwa Overheads:5215030 · Tools &amp; Accessories</v>
          </cell>
          <cell r="C372">
            <v>109462.5</v>
          </cell>
          <cell r="D372">
            <v>0</v>
          </cell>
        </row>
        <row r="373">
          <cell r="B373" t="str">
            <v>5000000 · Expenses:5210000 · Wadduwa Farm Expenses:5215000 · Wadduwa Overheads:5215040 · General Repair &amp; Maintanance</v>
          </cell>
          <cell r="C373">
            <v>224916.5</v>
          </cell>
          <cell r="D373">
            <v>0</v>
          </cell>
        </row>
        <row r="374">
          <cell r="B374" t="str">
            <v>5000000 · Expenses:5210000 · Wadduwa Farm Expenses:5215000 · Wadduwa Overheads:5215050 · Postage, Printing &amp; Stationery</v>
          </cell>
          <cell r="C374">
            <v>72014</v>
          </cell>
          <cell r="D374">
            <v>0</v>
          </cell>
        </row>
        <row r="375">
          <cell r="B375" t="str">
            <v>5000000 · Expenses:5210000 · Wadduwa Farm Expenses:5215000 · Wadduwa Overheads:5215060 · Security Expenses - Wadduwa</v>
          </cell>
          <cell r="C375">
            <v>2000</v>
          </cell>
          <cell r="D375">
            <v>0</v>
          </cell>
        </row>
        <row r="376">
          <cell r="B376" t="str">
            <v>5000000 · Expenses:5210000 · Wadduwa Farm Expenses:5215000 · Wadduwa Overheads:5215070 · Office Rent - Wadduwa</v>
          </cell>
          <cell r="C376">
            <v>40000</v>
          </cell>
          <cell r="D376">
            <v>0</v>
          </cell>
        </row>
        <row r="377">
          <cell r="B377" t="str">
            <v>5000000 · Expenses:5210000 · Wadduwa Farm Expenses:5215000 · Wadduwa Overheads:5215100 · Depreciations - Buildings @ Wad</v>
          </cell>
          <cell r="C377">
            <v>570276.47</v>
          </cell>
          <cell r="D377">
            <v>0</v>
          </cell>
        </row>
        <row r="378">
          <cell r="B378" t="str">
            <v>5000000 · Expenses:5210000 · Wadduwa Farm Expenses:5215000 · Wadduwa Overheads:5215110 · Depriciations - Wadduwa Equipme</v>
          </cell>
          <cell r="C378">
            <v>655881.06999999995</v>
          </cell>
          <cell r="D378">
            <v>0</v>
          </cell>
        </row>
        <row r="379">
          <cell r="B379" t="str">
            <v>5000000 · Expenses:5210000 · Wadduwa Farm Expenses:5216000 · Finance &amp; Others:5216010 · Sundry Expenses</v>
          </cell>
          <cell r="C379">
            <v>90998</v>
          </cell>
          <cell r="D379">
            <v>0</v>
          </cell>
        </row>
        <row r="380">
          <cell r="B380" t="str">
            <v>5000000 · Expenses:5210000 · Wadduwa Farm Expenses:5216000 · Finance &amp; Others:5216020 · Taxes ,Rate &amp; Levies @ Wadduwa</v>
          </cell>
          <cell r="C380">
            <v>81</v>
          </cell>
          <cell r="D380">
            <v>0</v>
          </cell>
        </row>
        <row r="381">
          <cell r="B381" t="str">
            <v>5000000 · Expenses:5210000 · Wadduwa Farm Expenses:5216000 · Finance &amp; Others:5216030 · Bank Charges @ Wadduwa</v>
          </cell>
          <cell r="C381">
            <v>375</v>
          </cell>
          <cell r="D381">
            <v>0</v>
          </cell>
        </row>
        <row r="382">
          <cell r="B382" t="str">
            <v>5000000 · Expenses:5220000 · Madala Site Expenses:5221000 · Madala Administration Expense:5221020 · Water Pumping for Ponds -Madala</v>
          </cell>
          <cell r="C382">
            <v>80850</v>
          </cell>
          <cell r="D382">
            <v>0</v>
          </cell>
        </row>
        <row r="383">
          <cell r="B383" t="str">
            <v>5000000 · Expenses:5220000 · Madala Site Expenses:5221000 · Madala Administration Expense:5221040 · Staff Welfare - Madala</v>
          </cell>
          <cell r="C383">
            <v>132704</v>
          </cell>
          <cell r="D383">
            <v>0</v>
          </cell>
        </row>
        <row r="384">
          <cell r="B384" t="str">
            <v>5000000 · Expenses:5220000 · Madala Site Expenses:5221000 · Madala Administration Expense:5221050 · Mobils Bills - Madala</v>
          </cell>
          <cell r="C384">
            <v>21040.81</v>
          </cell>
          <cell r="D384">
            <v>0</v>
          </cell>
        </row>
        <row r="385">
          <cell r="B385" t="str">
            <v>5000000 · Expenses:5220000 · Madala Site Expenses:5221000 · Madala Administration Expense:5221060 · Broadband  Bills - Madala</v>
          </cell>
          <cell r="C385">
            <v>7606.65</v>
          </cell>
          <cell r="D385">
            <v>0</v>
          </cell>
        </row>
        <row r="386">
          <cell r="B386" t="str">
            <v>5000000 · Expenses:5220000 · Madala Site Expenses:5221000 · Madala Administration Expense:5221070 · Ponds cultur project Expenses</v>
          </cell>
          <cell r="C386">
            <v>24625</v>
          </cell>
          <cell r="D386">
            <v>0</v>
          </cell>
        </row>
        <row r="387">
          <cell r="B387" t="str">
            <v>5000000 · Expenses:5220000 · Madala Site Expenses:5222000 · Madala Staff Salaries</v>
          </cell>
          <cell r="C387">
            <v>545</v>
          </cell>
          <cell r="D387">
            <v>0</v>
          </cell>
        </row>
        <row r="388">
          <cell r="B388" t="str">
            <v>5000000 · Expenses:5220000 · Madala Site Expenses:5225000 · Madala Oveheads:5225010 · Tools &amp; Accessories-Madala</v>
          </cell>
          <cell r="C388">
            <v>8400</v>
          </cell>
          <cell r="D388">
            <v>0</v>
          </cell>
        </row>
        <row r="389">
          <cell r="B389" t="str">
            <v>5000000 · Expenses:5220000 · Madala Site Expenses:5225000 · Madala Oveheads:5225040 · General Repair &amp; Maintanace-Mad</v>
          </cell>
          <cell r="C389">
            <v>26556</v>
          </cell>
          <cell r="D389">
            <v>0</v>
          </cell>
        </row>
        <row r="390">
          <cell r="B390" t="str">
            <v>5000000 · Expenses:5220000 · Madala Site Expenses:5225000 · Madala Oveheads:5225060 · Security Expenses-Madala</v>
          </cell>
          <cell r="C390">
            <v>527418</v>
          </cell>
          <cell r="D390">
            <v>0</v>
          </cell>
        </row>
        <row r="391">
          <cell r="B391" t="str">
            <v>5000000 · Expenses:5220000 · Madala Site Expenses:5225000 · Madala Oveheads:5225100 · Ponds @ Madala - Depreciation</v>
          </cell>
          <cell r="C391">
            <v>113428.8</v>
          </cell>
          <cell r="D391">
            <v>0</v>
          </cell>
        </row>
        <row r="392">
          <cell r="B392" t="str">
            <v>5000000 · Expenses:5230000 · Minuwangoda  Farm Expenses</v>
          </cell>
          <cell r="C392">
            <v>1500</v>
          </cell>
          <cell r="D392">
            <v>0</v>
          </cell>
        </row>
        <row r="393">
          <cell r="B393" t="str">
            <v>5000000 · Expenses:5230000 · Minuwangoda  Farm Expenses:5231000 · Minuwangoda Administration Exp.:5231020 · Electricity Expenses</v>
          </cell>
          <cell r="C393">
            <v>47520.3</v>
          </cell>
          <cell r="D393">
            <v>0</v>
          </cell>
        </row>
        <row r="394">
          <cell r="B394" t="str">
            <v>5000000 · Expenses:5230000 · Minuwangoda  Farm Expenses:5231000 · Minuwangoda Administration Exp.:5231040 · Staff Welfare - Minuwangoda</v>
          </cell>
          <cell r="C394">
            <v>99198</v>
          </cell>
          <cell r="D394">
            <v>0</v>
          </cell>
        </row>
        <row r="395">
          <cell r="B395" t="str">
            <v>5000000 · Expenses:5230000 · Minuwangoda  Farm Expenses:5231000 · Minuwangoda Administration Exp.:5231060 · Proffessional Charges - Minuwan</v>
          </cell>
          <cell r="C395">
            <v>6000</v>
          </cell>
          <cell r="D395">
            <v>0</v>
          </cell>
        </row>
        <row r="396">
          <cell r="B396" t="str">
            <v>5000000 · Expenses:5230000 · Minuwangoda  Farm Expenses:5231000 · Minuwangoda Administration Exp.:5231080 · Travelling &amp; Transport Charges</v>
          </cell>
          <cell r="C396">
            <v>1250</v>
          </cell>
          <cell r="D396">
            <v>0</v>
          </cell>
        </row>
        <row r="397">
          <cell r="B397" t="str">
            <v>5000000 · Expenses:5230000 · Minuwangoda  Farm Expenses:5232000 · Minuwangoda Staff Salaries:5232010 · Management Salary - Minuwangoda</v>
          </cell>
          <cell r="C397">
            <v>469414</v>
          </cell>
          <cell r="D397">
            <v>0</v>
          </cell>
        </row>
        <row r="398">
          <cell r="B398" t="str">
            <v>5000000 · Expenses:5230000 · Minuwangoda  Farm Expenses:5232000 · Minuwangoda Staff Salaries:5232020 · EPF Expenses - Minuwangoda</v>
          </cell>
          <cell r="C398">
            <v>46421.04</v>
          </cell>
          <cell r="D398">
            <v>0</v>
          </cell>
        </row>
        <row r="399">
          <cell r="B399" t="str">
            <v>5000000 · Expenses:5230000 · Minuwangoda  Farm Expenses:5232000 · Minuwangoda Staff Salaries:5232030 · ETF Expenses - Minuwangoda</v>
          </cell>
          <cell r="C399">
            <v>11605.26</v>
          </cell>
          <cell r="D399">
            <v>0</v>
          </cell>
        </row>
        <row r="400">
          <cell r="B400" t="str">
            <v>5000000 · Expenses:5230000 · Minuwangoda  Farm Expenses:5232000 · Minuwangoda Staff Salaries:5232040 · Allowances  - Minuwangoda Staff</v>
          </cell>
          <cell r="C400">
            <v>104176</v>
          </cell>
          <cell r="D400">
            <v>0</v>
          </cell>
        </row>
        <row r="401">
          <cell r="B401" t="str">
            <v>5000000 · Expenses:5230000 · Minuwangoda  Farm Expenses:5233000 · Minuwangoda Communication Expe.:5233010 · Telelephone Charges</v>
          </cell>
          <cell r="C401">
            <v>55991.45</v>
          </cell>
          <cell r="D401">
            <v>0</v>
          </cell>
        </row>
        <row r="402">
          <cell r="B402" t="str">
            <v>5000000 · Expenses:5230000 · Minuwangoda  Farm Expenses:5233000 · Minuwangoda Communication Expe.:5233020 · Mobiles and Broadband Bills</v>
          </cell>
          <cell r="C402">
            <v>13101.64</v>
          </cell>
          <cell r="D402">
            <v>0</v>
          </cell>
        </row>
        <row r="403">
          <cell r="B403" t="str">
            <v>5000000 · Expenses:5230000 · Minuwangoda  Farm Expenses:5234000 · Minuwangoda Vehicle Expenses:5234010 · Vehicle Maintanance Expenses</v>
          </cell>
          <cell r="C403">
            <v>17600</v>
          </cell>
          <cell r="D403">
            <v>0</v>
          </cell>
        </row>
        <row r="404">
          <cell r="B404" t="str">
            <v>5000000 · Expenses:5230000 · Minuwangoda  Farm Expenses:5234000 · Minuwangoda Vehicle Expenses:5234020 · Vehicle Insurance</v>
          </cell>
          <cell r="C404">
            <v>10406.27</v>
          </cell>
          <cell r="D404">
            <v>0</v>
          </cell>
        </row>
        <row r="405">
          <cell r="B405" t="str">
            <v>5000000 · Expenses:5230000 · Minuwangoda  Farm Expenses:5234000 · Minuwangoda Vehicle Expenses:5234050 · Fuel Expenses for Bike</v>
          </cell>
          <cell r="C405">
            <v>3350</v>
          </cell>
          <cell r="D405">
            <v>0</v>
          </cell>
        </row>
        <row r="406">
          <cell r="B406" t="str">
            <v>5000000 · Expenses:5230000 · Minuwangoda  Farm Expenses:5235000 · Minuwangoda  Farm Overheads:5235040 · General Repair &amp; Maintanance</v>
          </cell>
          <cell r="C406">
            <v>43558</v>
          </cell>
          <cell r="D406">
            <v>0</v>
          </cell>
        </row>
        <row r="407">
          <cell r="B407" t="str">
            <v>5000000 · Expenses:5230000 · Minuwangoda  Farm Expenses:5235000 · Minuwangoda  Farm Overheads:5235050 · Stationeries &amp; Postage</v>
          </cell>
          <cell r="C407">
            <v>2255</v>
          </cell>
          <cell r="D407">
            <v>0</v>
          </cell>
        </row>
        <row r="408">
          <cell r="B408" t="str">
            <v>5000000 · Expenses:5230000 · Minuwangoda  Farm Expenses:5235000 · Minuwangoda  Farm Overheads:5235070 · Farm Rent - Minuwangoda</v>
          </cell>
          <cell r="C408">
            <v>400000</v>
          </cell>
          <cell r="D408">
            <v>0</v>
          </cell>
        </row>
        <row r="409">
          <cell r="B409" t="str">
            <v>5000000 · Expenses:5240000 · Horana 2 Rented Farm - Ingiriya</v>
          </cell>
          <cell r="C409">
            <v>1180</v>
          </cell>
          <cell r="D409">
            <v>0</v>
          </cell>
        </row>
        <row r="410">
          <cell r="B410" t="str">
            <v>5000000 · Expenses:5240000 · Horana 2 Rented Farm - Ingiriya:5241000 · Ingiriya Farm Administration:5241030 · Security Charges</v>
          </cell>
          <cell r="C410">
            <v>647292</v>
          </cell>
          <cell r="D410">
            <v>0</v>
          </cell>
        </row>
        <row r="411">
          <cell r="B411" t="str">
            <v>5000000 · Expenses:5240000 · Horana 2 Rented Farm - Ingiriya:5241000 · Ingiriya Farm Administration:5241040 · Staff Welfare</v>
          </cell>
          <cell r="C411">
            <v>4517.7</v>
          </cell>
          <cell r="D411">
            <v>0</v>
          </cell>
        </row>
        <row r="412">
          <cell r="B412" t="str">
            <v>5000000 · Expenses:5240000 · Horana 2 Rented Farm - Ingiriya:5241000 · Ingiriya Farm Administration:5241040 · Staff Welfare:5241041 · meals &amp; refreshment</v>
          </cell>
          <cell r="C412">
            <v>346354</v>
          </cell>
          <cell r="D412">
            <v>0</v>
          </cell>
        </row>
        <row r="413">
          <cell r="B413" t="str">
            <v>5000000 · Expenses:5240000 · Horana 2 Rented Farm - Ingiriya:5241000 · Ingiriya Farm Administration:5241040 · Staff Welfare:5241042 · Transpotation Expenses</v>
          </cell>
          <cell r="C413">
            <v>550</v>
          </cell>
          <cell r="D413">
            <v>0</v>
          </cell>
        </row>
        <row r="414">
          <cell r="B414" t="str">
            <v>5000000 · Expenses:5240000 · Horana 2 Rented Farm - Ingiriya:5241000 · Ingiriya Farm Administration:5241050 · Mobils and Broadbands Bills</v>
          </cell>
          <cell r="C414">
            <v>26974.69</v>
          </cell>
          <cell r="D414">
            <v>0</v>
          </cell>
        </row>
        <row r="415">
          <cell r="B415" t="str">
            <v>5000000 · Expenses:5240000 · Horana 2 Rented Farm - Ingiriya:5242000 · Horana 2 Farm Salary Expenses:5242010 · Management Salary-Horana 2 Farm</v>
          </cell>
          <cell r="C415">
            <v>816189.5</v>
          </cell>
          <cell r="D415">
            <v>0</v>
          </cell>
        </row>
        <row r="416">
          <cell r="B416" t="str">
            <v>5000000 · Expenses:5240000 · Horana 2 Rented Farm - Ingiriya:5242000 · Horana 2 Farm Salary Expenses:5242020 · Management EPF - Horana 2</v>
          </cell>
          <cell r="C416">
            <v>85260</v>
          </cell>
          <cell r="D416">
            <v>0</v>
          </cell>
        </row>
        <row r="417">
          <cell r="B417" t="str">
            <v>5000000 · Expenses:5240000 · Horana 2 Rented Farm - Ingiriya:5242000 · Horana 2 Farm Salary Expenses:5242030 · Management ETF - Horana 2</v>
          </cell>
          <cell r="C417">
            <v>21315</v>
          </cell>
          <cell r="D417">
            <v>0</v>
          </cell>
        </row>
        <row r="418">
          <cell r="B418" t="str">
            <v>5000000 · Expenses:5240000 · Horana 2 Rented Farm - Ingiriya:5245000 · Ingiriya Farm Overheads:5245040 · General Repair &amp; Maintanance</v>
          </cell>
          <cell r="C418">
            <v>50825</v>
          </cell>
          <cell r="D418">
            <v>0</v>
          </cell>
        </row>
        <row r="419">
          <cell r="B419" t="str">
            <v>5000000 · Expenses:5240000 · Horana 2 Rented Farm - Ingiriya:5245000 · Ingiriya Farm Overheads:5245070 · Farm Rent - Horana 2</v>
          </cell>
          <cell r="C419">
            <v>540000</v>
          </cell>
          <cell r="D419">
            <v>0</v>
          </cell>
        </row>
        <row r="420">
          <cell r="B420" t="str">
            <v>5000000 · Expenses:5250000 · Construction Machinery Expenses:5230010 · Rent - Agri-Equipment Yard</v>
          </cell>
          <cell r="C420">
            <v>210000</v>
          </cell>
          <cell r="D420">
            <v>0</v>
          </cell>
        </row>
        <row r="421">
          <cell r="B421" t="str">
            <v>5000000 · Expenses:5250000 · Construction Machinery Expenses:5230020 · Electricity Expenses - Agri-Equ</v>
          </cell>
          <cell r="C421">
            <v>14688.8</v>
          </cell>
          <cell r="D421">
            <v>0</v>
          </cell>
        </row>
        <row r="422">
          <cell r="B422" t="str">
            <v>5000000 · Expenses:5250000 · Construction Machinery Expenses:5230030 · Maintanance - Agri Equipments</v>
          </cell>
          <cell r="C422">
            <v>32540</v>
          </cell>
          <cell r="D422">
            <v>0</v>
          </cell>
        </row>
        <row r="423">
          <cell r="B423" t="str">
            <v>5000000 · Expenses:5250000 · Construction Machinery Expenses:5230040 · Depriciations - Agri/ Construct</v>
          </cell>
          <cell r="C423">
            <v>2214695.71</v>
          </cell>
          <cell r="D423">
            <v>0</v>
          </cell>
        </row>
        <row r="424">
          <cell r="B424" t="str">
            <v>5000000 · Expenses:5250000 · Construction Machinery Expenses:5230060 · Security Expenses - Agri-Equip</v>
          </cell>
          <cell r="C424">
            <v>707370</v>
          </cell>
          <cell r="D424">
            <v>0</v>
          </cell>
        </row>
        <row r="425">
          <cell r="B425" t="str">
            <v>5000000 · Expenses:5260000 · Generator Warehouse Expenses:5260010 · Rent – Generator Warehouse</v>
          </cell>
          <cell r="C425">
            <v>150000</v>
          </cell>
          <cell r="D425">
            <v>0</v>
          </cell>
        </row>
        <row r="426">
          <cell r="B426" t="str">
            <v>5000000 · Expenses:5270000 · Maldives Export Center (MEC):5271000 · MEC - Adminstration Cost</v>
          </cell>
          <cell r="C426">
            <v>0</v>
          </cell>
          <cell r="D426">
            <v>0</v>
          </cell>
        </row>
        <row r="427">
          <cell r="B427" t="str">
            <v>5000000 · Expenses:5270000 · Maldives Export Center (MEC):5271000 · MEC - Adminstration Cost:5271001 · Hotel &amp; Accomadation</v>
          </cell>
          <cell r="C427">
            <v>0</v>
          </cell>
          <cell r="D427">
            <v>0</v>
          </cell>
        </row>
        <row r="428">
          <cell r="B428" t="str">
            <v>5000000 · Expenses:5270000 · Maldives Export Center (MEC):5272000 · MEC- Staff Salary</v>
          </cell>
          <cell r="C428">
            <v>0</v>
          </cell>
          <cell r="D428">
            <v>0</v>
          </cell>
        </row>
        <row r="429">
          <cell r="B429" t="str">
            <v>5000000 · Expenses:5270000 · Maldives Export Center (MEC):5273000 · MEC - Communicaton Expenses</v>
          </cell>
          <cell r="C429">
            <v>0</v>
          </cell>
          <cell r="D429">
            <v>0</v>
          </cell>
        </row>
        <row r="430">
          <cell r="B430" t="str">
            <v>5000000 · Expenses:5270000 · Maldives Export Center (MEC):5274000 · MEC - Vehicle Expenses</v>
          </cell>
          <cell r="C430">
            <v>0</v>
          </cell>
          <cell r="D430">
            <v>0</v>
          </cell>
        </row>
        <row r="431">
          <cell r="B431" t="str">
            <v>5000000 · Expenses:5300000 · Head Office Expenses</v>
          </cell>
          <cell r="C431">
            <v>0</v>
          </cell>
          <cell r="D431">
            <v>0</v>
          </cell>
        </row>
        <row r="432">
          <cell r="B432" t="str">
            <v>5000000 · Expenses:5300000 · Head Office Expenses:5301000 · Payroll Expenses:5301010 · Staff Salaries - Head Office</v>
          </cell>
          <cell r="C432">
            <v>45000</v>
          </cell>
          <cell r="D432">
            <v>0</v>
          </cell>
        </row>
        <row r="433">
          <cell r="B433" t="str">
            <v>5000000 · Expenses:5300000 · Head Office Expenses:5301000 · Payroll Expenses:5301040 · Other Allowances</v>
          </cell>
          <cell r="C433">
            <v>20000</v>
          </cell>
          <cell r="D433">
            <v>0</v>
          </cell>
        </row>
        <row r="434">
          <cell r="B434" t="str">
            <v>5000000 · Expenses:5300000 · Head Office Expenses:5301000 · Payroll Expenses:5301080 · Director Fee</v>
          </cell>
          <cell r="C434">
            <v>2823453</v>
          </cell>
          <cell r="D434">
            <v>0</v>
          </cell>
        </row>
        <row r="435">
          <cell r="B435" t="str">
            <v>5000000 · Expenses:5300000 · Head Office Expenses:5301000 · Payroll Expenses:5301085 · Gratutity Expenses</v>
          </cell>
          <cell r="C435">
            <v>0</v>
          </cell>
          <cell r="D435">
            <v>0</v>
          </cell>
        </row>
        <row r="436">
          <cell r="B436" t="str">
            <v>5000000 · Expenses:5300000 · Head Office Expenses:5301000 · Payroll Expenses:5301090 · Staff Compansation - Head Offic</v>
          </cell>
          <cell r="C436">
            <v>197136</v>
          </cell>
          <cell r="D436">
            <v>0</v>
          </cell>
        </row>
        <row r="437">
          <cell r="B437" t="str">
            <v>5000000 · Expenses:5300000 · Head Office Expenses:5301000 · Payroll Expenses:5301095 · Annual Bonus</v>
          </cell>
          <cell r="C437">
            <v>0</v>
          </cell>
          <cell r="D437">
            <v>0</v>
          </cell>
        </row>
        <row r="438">
          <cell r="B438" t="str">
            <v>5000000 · Expenses:5300000 · Head Office Expenses:5302000 · Direct Administration:5302010 · Audit Fees</v>
          </cell>
          <cell r="C438">
            <v>137499.96</v>
          </cell>
          <cell r="D438">
            <v>0</v>
          </cell>
        </row>
        <row r="439">
          <cell r="B439" t="str">
            <v>5000000 · Expenses:5300000 · Head Office Expenses:5302000 · Direct Administration:5302020 · Professional Fees</v>
          </cell>
          <cell r="C439">
            <v>303562.15000000002</v>
          </cell>
          <cell r="D439">
            <v>0</v>
          </cell>
        </row>
        <row r="440">
          <cell r="B440" t="str">
            <v>5000000 · Expenses:5300000 · Head Office Expenses:5302000 · Direct Administration:5302030 · Staff Welfare</v>
          </cell>
          <cell r="C440">
            <v>0</v>
          </cell>
          <cell r="D440">
            <v>0</v>
          </cell>
        </row>
        <row r="441">
          <cell r="B441" t="str">
            <v>5000000 · Expenses:5300000 · Head Office Expenses:5302000 · Direct Administration:5302040 · Insurance Expenses:5302041 · Insurance Exp. - Life &amp; General</v>
          </cell>
          <cell r="C441">
            <v>0</v>
          </cell>
          <cell r="D441">
            <v>0</v>
          </cell>
        </row>
        <row r="442">
          <cell r="B442" t="str">
            <v>5000000 · Expenses:5300000 · Head Office Expenses:5302000 · Direct Administration:5302040 · Insurance Expenses:5302042 · Insurance Exp. - Vehicles</v>
          </cell>
          <cell r="C442">
            <v>0</v>
          </cell>
          <cell r="D442">
            <v>0</v>
          </cell>
        </row>
        <row r="443">
          <cell r="B443" t="str">
            <v>5000000 · Expenses:5300000 · Head Office Expenses:5302000 · Direct Administration:5302050 · Staff Recruitment &amp; Training</v>
          </cell>
          <cell r="C443">
            <v>0</v>
          </cell>
          <cell r="D443">
            <v>0</v>
          </cell>
        </row>
        <row r="444">
          <cell r="B444" t="str">
            <v>5000000 · Expenses:5300000 · Head Office Expenses:5302000 · Direct Administration:5302060 · BOI Annual Fees</v>
          </cell>
          <cell r="C444">
            <v>75853.11</v>
          </cell>
          <cell r="D444">
            <v>0</v>
          </cell>
        </row>
        <row r="445">
          <cell r="B445" t="str">
            <v>5000000 · Expenses:5300000 · Head Office Expenses:5302000 · Direct Administration:5302070 · Dues &amp; Subscriptions</v>
          </cell>
          <cell r="C445">
            <v>148710.70000000001</v>
          </cell>
          <cell r="D445">
            <v>0</v>
          </cell>
        </row>
        <row r="446">
          <cell r="B446" t="str">
            <v>5000000 · Expenses:5300000 · Head Office Expenses:5302000 · Direct Administration:5302080 · Postage,Printing &amp; Stationeries</v>
          </cell>
          <cell r="C446">
            <v>0</v>
          </cell>
          <cell r="D446">
            <v>0</v>
          </cell>
        </row>
        <row r="447">
          <cell r="B447" t="str">
            <v>5000000 · Expenses:5300000 · Head Office Expenses:5302000 · Direct Administration:5302090 · Computer Equipment Maintenance</v>
          </cell>
          <cell r="C447">
            <v>0</v>
          </cell>
          <cell r="D447">
            <v>18000</v>
          </cell>
        </row>
        <row r="448">
          <cell r="B448" t="str">
            <v>5000000 · Expenses:5300000 · Head Office Expenses:5302000 · Direct Administration:5302100 · General Repairs &amp; Maintenance</v>
          </cell>
          <cell r="C448">
            <v>0</v>
          </cell>
          <cell r="D448">
            <v>0</v>
          </cell>
        </row>
        <row r="449">
          <cell r="B449" t="str">
            <v>5000000 · Expenses:5300000 · Head Office Expenses:5302000 · Direct Administration:5302110 · Rates and Taxes</v>
          </cell>
          <cell r="C449">
            <v>0</v>
          </cell>
          <cell r="D449">
            <v>0</v>
          </cell>
        </row>
        <row r="450">
          <cell r="B450" t="str">
            <v>5000000 · Expenses:5300000 · Head Office Expenses:5302000 · Direct Administration:5302130 · Fuel for Generator</v>
          </cell>
          <cell r="C450">
            <v>0</v>
          </cell>
          <cell r="D450">
            <v>0</v>
          </cell>
        </row>
        <row r="451">
          <cell r="B451" t="str">
            <v>5000000 · Expenses:5300000 · Head Office Expenses:5302000 · Direct Administration:5302140 · H/O Security Charges</v>
          </cell>
          <cell r="C451">
            <v>0</v>
          </cell>
          <cell r="D451">
            <v>0</v>
          </cell>
        </row>
        <row r="452">
          <cell r="B452" t="str">
            <v>5000000 · Expenses:5300000 · Head Office Expenses:5302000 · Direct Administration:5302930 · Head Office Shifting Expenses</v>
          </cell>
          <cell r="C452">
            <v>1472382.8</v>
          </cell>
          <cell r="D452">
            <v>0</v>
          </cell>
        </row>
        <row r="453">
          <cell r="B453" t="str">
            <v>5000000 · Expenses:5300000 · Head Office Expenses:5302000 · Direct Administration:5302935 · Exhibition &amp; Trade fairs</v>
          </cell>
          <cell r="C453">
            <v>200379</v>
          </cell>
          <cell r="D453">
            <v>0</v>
          </cell>
        </row>
        <row r="454">
          <cell r="B454" t="str">
            <v>5000000 · Expenses:5300000 · Head Office Expenses:5302000 · Direct Administration:5302990 · Miscellaneous Expenses</v>
          </cell>
          <cell r="C454">
            <v>0</v>
          </cell>
          <cell r="D454">
            <v>0</v>
          </cell>
        </row>
        <row r="455">
          <cell r="B455" t="str">
            <v>5000000 · Expenses:5300000 · Head Office Expenses:5303000 · Communication Expenses:5303010 · Land Line No.011-2873980</v>
          </cell>
          <cell r="C455">
            <v>0</v>
          </cell>
          <cell r="D455">
            <v>0</v>
          </cell>
        </row>
        <row r="456">
          <cell r="B456" t="str">
            <v>5000000 · Expenses:5300000 · Head Office Expenses:5303000 · Communication Expenses:5303020 · Leased Line Charges</v>
          </cell>
          <cell r="C456">
            <v>0</v>
          </cell>
          <cell r="D456">
            <v>0</v>
          </cell>
        </row>
        <row r="457">
          <cell r="B457" t="str">
            <v>5000000 · Expenses:5300000 · Head Office Expenses:5303000 · Communication Expenses:5303030 · Mobile Bills</v>
          </cell>
          <cell r="C457">
            <v>0</v>
          </cell>
          <cell r="D457">
            <v>0</v>
          </cell>
        </row>
        <row r="458">
          <cell r="B458" t="str">
            <v>5000000 · Expenses:5300000 · Head Office Expenses:5303000 · Communication Expenses:5303040 · Broadband Bills</v>
          </cell>
          <cell r="C458">
            <v>0</v>
          </cell>
          <cell r="D458">
            <v>0</v>
          </cell>
        </row>
        <row r="459">
          <cell r="B459" t="str">
            <v>5000000 · Expenses:5300000 · Head Office Expenses:5303000 · Communication Expenses:5303050 · VPN Charges</v>
          </cell>
          <cell r="C459">
            <v>0</v>
          </cell>
          <cell r="D459">
            <v>0</v>
          </cell>
        </row>
        <row r="460">
          <cell r="B460" t="str">
            <v>5000000 · Expenses:5300000 · Head Office Expenses:5303000 · Communication Expenses:5303070 · VOIP Charges</v>
          </cell>
          <cell r="C460">
            <v>0</v>
          </cell>
          <cell r="D460">
            <v>0</v>
          </cell>
        </row>
        <row r="461">
          <cell r="B461" t="str">
            <v>5000000 · Expenses:5300000 · Head Office Expenses:5303000 · Communication Expenses:5303080 · ADSL Line 0112075525</v>
          </cell>
          <cell r="C461">
            <v>0</v>
          </cell>
          <cell r="D461">
            <v>0</v>
          </cell>
        </row>
        <row r="462">
          <cell r="B462" t="str">
            <v>5000000 · Expenses:5300000 · Head Office Expenses:5303000 · Communication Expenses:5303090 · SLT - Buddhika - 0332245246</v>
          </cell>
          <cell r="C462">
            <v>0</v>
          </cell>
          <cell r="D462">
            <v>0</v>
          </cell>
        </row>
        <row r="463">
          <cell r="B463" t="str">
            <v>5000000 · Expenses:5300000 · Head Office Expenses:5304000 · Utility Expenses:5304010 · Water Bottles - Drinking</v>
          </cell>
          <cell r="C463">
            <v>0</v>
          </cell>
          <cell r="D463">
            <v>0</v>
          </cell>
        </row>
        <row r="464">
          <cell r="B464" t="str">
            <v>5000000 · Expenses:5300000 · Head Office Expenses:5304000 · Utility Expenses:5304020 · Water Charges</v>
          </cell>
          <cell r="C464">
            <v>0</v>
          </cell>
          <cell r="D464">
            <v>0</v>
          </cell>
        </row>
        <row r="465">
          <cell r="B465" t="str">
            <v>5000000 · Expenses:5300000 · Head Office Expenses:5304000 · Utility Expenses:5304030 · Rent - Head Office</v>
          </cell>
          <cell r="C465">
            <v>0</v>
          </cell>
          <cell r="D465">
            <v>0</v>
          </cell>
        </row>
        <row r="466">
          <cell r="B466" t="str">
            <v>5000000 · Expenses:5300000 · Head Office Expenses:5304000 · Utility Expenses:5304040 · Electricity Head Office</v>
          </cell>
          <cell r="C466">
            <v>0</v>
          </cell>
          <cell r="D466">
            <v>0</v>
          </cell>
        </row>
        <row r="467">
          <cell r="B467" t="str">
            <v>5000000 · Expenses:5300000 · Head Office Expenses:5304000 · Utility Expenses:5304060 · Janitorial services</v>
          </cell>
          <cell r="C467">
            <v>0</v>
          </cell>
          <cell r="D467">
            <v>0</v>
          </cell>
        </row>
        <row r="468">
          <cell r="B468" t="str">
            <v>5000000 · Expenses:5300000 · Head Office Expenses:5305000 · Travelling &amp; Transport:5305010 · Vehicle Hire/Lease</v>
          </cell>
          <cell r="C468">
            <v>0</v>
          </cell>
          <cell r="D468">
            <v>0</v>
          </cell>
        </row>
        <row r="469">
          <cell r="B469" t="str">
            <v>5000000 · Expenses:5300000 · Head Office Expenses:5305000 · Travelling &amp; Transport:5305030 · Vehicle Maintenance Expenses</v>
          </cell>
          <cell r="C469">
            <v>0</v>
          </cell>
          <cell r="D469">
            <v>0</v>
          </cell>
        </row>
        <row r="470">
          <cell r="B470" t="str">
            <v>5000000 · Expenses:5300000 · Head Office Expenses:5305000 · Travelling &amp; Transport:5305040 · Foreign Travelling</v>
          </cell>
          <cell r="C470">
            <v>0</v>
          </cell>
          <cell r="D470">
            <v>0</v>
          </cell>
        </row>
        <row r="471">
          <cell r="B471" t="str">
            <v>5000000 · Expenses:5300000 · Head Office Expenses:5305000 · Travelling &amp; Transport:5305050 · Motor Bike Expenses - H/O</v>
          </cell>
          <cell r="C471">
            <v>0</v>
          </cell>
          <cell r="D471">
            <v>0</v>
          </cell>
        </row>
        <row r="472">
          <cell r="B472" t="str">
            <v>5000000 · Expenses:5300000 · Head Office Expenses:5305000 · Travelling &amp; Transport:5305060 · Travelling Charges</v>
          </cell>
          <cell r="C472">
            <v>0</v>
          </cell>
          <cell r="D472">
            <v>0</v>
          </cell>
        </row>
        <row r="473">
          <cell r="B473" t="str">
            <v>5000000 · Expenses:5300000 · Head Office Expenses:5305000 · Travelling &amp; Transport:5305070 · Vehicle License and Renewals</v>
          </cell>
          <cell r="C473">
            <v>0</v>
          </cell>
          <cell r="D473">
            <v>0</v>
          </cell>
        </row>
        <row r="474">
          <cell r="B474" t="str">
            <v>5000000 · Expenses:5300000 · Head Office Expenses:5305000 · Travelling &amp; Transport:5305090 · Fuel Expenses</v>
          </cell>
          <cell r="C474">
            <v>1625</v>
          </cell>
          <cell r="D474">
            <v>0</v>
          </cell>
        </row>
        <row r="475">
          <cell r="B475" t="str">
            <v>5000000 · Expenses:5300000 · Head Office Expenses:5305000 · Travelling &amp; Transport:5305090 · Fuel Expenses:5305091 · Fuel Bike  UQ 3572</v>
          </cell>
          <cell r="C475">
            <v>0</v>
          </cell>
          <cell r="D475">
            <v>0</v>
          </cell>
        </row>
        <row r="476">
          <cell r="B476" t="str">
            <v>5000000 · Expenses:5300000 · Head Office Expenses:5305000 · Travelling &amp; Transport:5305090 · Fuel Expenses:5305092 · Fuel for JR 5522</v>
          </cell>
          <cell r="C476">
            <v>0</v>
          </cell>
          <cell r="D476">
            <v>0</v>
          </cell>
        </row>
        <row r="477">
          <cell r="B477" t="str">
            <v>5000000 · Expenses:5300000 · Head Office Expenses:5305000 · Travelling &amp; Transport:5305090 · Fuel Expenses:5305093 · Fuel KN 9583</v>
          </cell>
          <cell r="C477">
            <v>0</v>
          </cell>
          <cell r="D477">
            <v>1625</v>
          </cell>
        </row>
        <row r="478">
          <cell r="B478" t="str">
            <v>5000000 · Expenses:5300000 · Head Office Expenses:5306000 · Depreciation Expenses:5306020 · Motor Vehicles - Depreciations</v>
          </cell>
          <cell r="C478">
            <v>1795263.72</v>
          </cell>
          <cell r="D478">
            <v>0</v>
          </cell>
        </row>
        <row r="479">
          <cell r="B479" t="str">
            <v>5000000 · Expenses:5300000 · Head Office Expenses:5306000 · Depreciation Expenses:5306030 · Computers &amp; Accessories-Depreci</v>
          </cell>
          <cell r="C479">
            <v>2225655.12</v>
          </cell>
          <cell r="D479">
            <v>0</v>
          </cell>
        </row>
        <row r="480">
          <cell r="B480" t="str">
            <v>5000000 · Expenses:5300000 · Head Office Expenses:5306000 · Depreciation Expenses:5306040 · Office Equipments-Depreciations</v>
          </cell>
          <cell r="C480">
            <v>428772.92</v>
          </cell>
          <cell r="D480">
            <v>0</v>
          </cell>
        </row>
        <row r="481">
          <cell r="B481" t="str">
            <v>5000000 · Expenses:5300000 · Head Office Expenses:5306000 · Depreciation Expenses:5306050 · Furniture &amp; Fittings-Depreciati</v>
          </cell>
          <cell r="C481">
            <v>575248.17000000004</v>
          </cell>
          <cell r="D481">
            <v>0</v>
          </cell>
        </row>
        <row r="482">
          <cell r="B482" t="str">
            <v>5000000 · Expenses:5300000 · Head Office Expenses:5307000 · Selling &amp; Distribution Expenses:5307010 · Advertisment Expenses</v>
          </cell>
          <cell r="C482">
            <v>0</v>
          </cell>
          <cell r="D482">
            <v>0</v>
          </cell>
        </row>
        <row r="483">
          <cell r="B483" t="str">
            <v>5000000 · Expenses:5300000 · Head Office Expenses:5308000 · Finance &amp; Other Charges:5308010 · Debit Tax Expense</v>
          </cell>
          <cell r="C483">
            <v>5020.3500000000004</v>
          </cell>
          <cell r="D483">
            <v>0</v>
          </cell>
        </row>
        <row r="484">
          <cell r="B484" t="str">
            <v>5000000 · Expenses:5300000 · Head Office Expenses:5308000 · Finance &amp; Other Charges:5308020 · Bank Charges</v>
          </cell>
          <cell r="C484">
            <v>1016320.33</v>
          </cell>
          <cell r="D484">
            <v>0</v>
          </cell>
        </row>
        <row r="485">
          <cell r="B485" t="str">
            <v>5000000 · Expenses:5300000 · Head Office Expenses:5308000 · Finance &amp; Other Charges:5308030 · Interest Expense - Overdraft</v>
          </cell>
          <cell r="C485">
            <v>1850124.67</v>
          </cell>
          <cell r="D485">
            <v>0</v>
          </cell>
        </row>
        <row r="486">
          <cell r="B486" t="str">
            <v>5000000 · Expenses:5300000 · Head Office Expenses:5308000 · Finance &amp; Other Charges:5308040 · Loan Interests Expenses</v>
          </cell>
          <cell r="C486">
            <v>14549502.060000001</v>
          </cell>
          <cell r="D486">
            <v>0</v>
          </cell>
        </row>
        <row r="487">
          <cell r="B487" t="str">
            <v>5000000 · Expenses:5300000 · Head Office Expenses:5308000 · Finance &amp; Other Charges:5308050 · Lease Interests Expenses</v>
          </cell>
          <cell r="C487">
            <v>493542.32</v>
          </cell>
          <cell r="D487">
            <v>0</v>
          </cell>
        </row>
        <row r="488">
          <cell r="B488" t="str">
            <v>5000000 · Expenses:5300000 · Head Office Expenses:5308000 · Finance &amp; Other Charges:5308080 · CSR Projects</v>
          </cell>
          <cell r="C488">
            <v>0</v>
          </cell>
          <cell r="D488">
            <v>0</v>
          </cell>
        </row>
        <row r="489">
          <cell r="B489" t="str">
            <v>5000000 · Expenses:5300000 · Head Office Expenses:5308000 · Finance &amp; Other Charges:5308110 · Entertainment Expenses</v>
          </cell>
          <cell r="C489">
            <v>0</v>
          </cell>
          <cell r="D489">
            <v>0</v>
          </cell>
        </row>
        <row r="490">
          <cell r="B490" t="str">
            <v>5000000 · Expenses:5300000 · Head Office Expenses:5308000 · Finance &amp; Other Charges:5309100 · Surcharges &amp; Panalties</v>
          </cell>
          <cell r="C490">
            <v>0</v>
          </cell>
          <cell r="D490">
            <v>0</v>
          </cell>
        </row>
        <row r="491">
          <cell r="B491" t="str">
            <v>4200000 · Other Income Accounts:4200010 · Sales of Discards</v>
          </cell>
          <cell r="C491">
            <v>0</v>
          </cell>
          <cell r="D491">
            <v>9700</v>
          </cell>
        </row>
        <row r="492">
          <cell r="B492" t="str">
            <v>4200000 · Other Income Accounts:4200020 · Sales of Produce</v>
          </cell>
          <cell r="C492">
            <v>0</v>
          </cell>
          <cell r="D492">
            <v>77340</v>
          </cell>
        </row>
        <row r="493">
          <cell r="B493" t="str">
            <v>4200000 · Other Income Accounts:4200030 · Exchange Gain or Loss</v>
          </cell>
          <cell r="C493">
            <v>0</v>
          </cell>
          <cell r="D493">
            <v>4141436.94</v>
          </cell>
        </row>
        <row r="494">
          <cell r="B494" t="str">
            <v>4200000 · Other Income Accounts:4200040 · Interest Income</v>
          </cell>
          <cell r="C494">
            <v>0</v>
          </cell>
          <cell r="D494">
            <v>266.33</v>
          </cell>
        </row>
        <row r="495">
          <cell r="B495" t="str">
            <v>4200000 · Other Income Accounts:4200050 · Profit / (Loss) on Disposals</v>
          </cell>
          <cell r="C495">
            <v>0</v>
          </cell>
          <cell r="D495">
            <v>2851287.3</v>
          </cell>
        </row>
        <row r="496">
          <cell r="B496" t="str">
            <v>4200000 · Other Income Accounts:4200070 · Discount from Vendors</v>
          </cell>
          <cell r="C496">
            <v>0</v>
          </cell>
          <cell r="D496">
            <v>32372.13</v>
          </cell>
        </row>
        <row r="497">
          <cell r="B497" t="str">
            <v>4200000 · Other Income Accounts:4200100 · Extra Ordinary Income</v>
          </cell>
          <cell r="C497">
            <v>0</v>
          </cell>
          <cell r="D497">
            <v>1000</v>
          </cell>
        </row>
        <row r="498">
          <cell r="B498" t="str">
            <v>5400000 · Expenses on Produce Income</v>
          </cell>
          <cell r="C498">
            <v>0</v>
          </cell>
          <cell r="D498">
            <v>0</v>
          </cell>
        </row>
        <row r="499">
          <cell r="B499">
            <v>0</v>
          </cell>
          <cell r="C499">
            <v>604601063.28999996</v>
          </cell>
          <cell r="D499">
            <v>604601063.28999996</v>
          </cell>
        </row>
        <row r="500">
          <cell r="B500">
            <v>0</v>
          </cell>
          <cell r="C500">
            <v>0</v>
          </cell>
          <cell r="D500">
            <v>0</v>
          </cell>
        </row>
      </sheetData>
      <sheetData sheetId="1"/>
      <sheetData sheetId="2"/>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IS"/>
      <sheetName val="Balance Sheet"/>
      <sheetName val="FP"/>
      <sheetName val="EQ"/>
      <sheetName val="CF"/>
      <sheetName val="9"/>
      <sheetName val="10"/>
      <sheetName val="11"/>
      <sheetName val="12"/>
      <sheetName val="PPE"/>
      <sheetName val="11 (2)"/>
      <sheetName val="13"/>
      <sheetName val="14"/>
      <sheetName val="15"/>
      <sheetName val="16"/>
      <sheetName val="17"/>
      <sheetName val="FP-R"/>
      <sheetName val="CI-R"/>
      <sheetName val="R"/>
      <sheetName val="J.E 1"/>
      <sheetName val="J.E.2014"/>
      <sheetName val="TB 2015 i"/>
      <sheetName val="JE"/>
      <sheetName val="TB 2014"/>
      <sheetName val="Sheet2"/>
      <sheetName val="TB 2015 Client"/>
      <sheetName val="Sheet1"/>
      <sheetName val="18"/>
      <sheetName val="19"/>
      <sheetName val="20"/>
      <sheetName val="J.E.2013_x000a_"/>
      <sheetName val="TB 2013"/>
      <sheetName val="NEW TB-for auditors"/>
      <sheetName val="Sheet5"/>
      <sheetName val="index"/>
    </sheetNames>
    <sheetDataSet>
      <sheetData sheetId="0"/>
      <sheetData sheetId="1"/>
      <sheetData sheetId="2"/>
      <sheetData sheetId="3"/>
      <sheetData sheetId="4"/>
      <sheetData sheetId="5"/>
      <sheetData sheetId="6"/>
      <sheetData sheetId="7"/>
      <sheetData sheetId="8">
        <row r="2">
          <cell r="H2" t="str">
            <v>(Expressed in Sri Lankan Rupees)</v>
          </cell>
        </row>
      </sheetData>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00000"/>
      <sheetName val="JE"/>
      <sheetName val="FP"/>
      <sheetName val="EQ"/>
      <sheetName val="CI"/>
      <sheetName val="CF"/>
      <sheetName val="11"/>
      <sheetName val="12"/>
      <sheetName val="PPE"/>
      <sheetName val="12 19"/>
      <sheetName val="20  28"/>
      <sheetName val="24-28"/>
      <sheetName val="Cash in hand at bank"/>
      <sheetName val="2015"/>
      <sheetName val="BS 2016"/>
      <sheetName val="TB 2016"/>
      <sheetName val="IS 2016"/>
      <sheetName val="2014"/>
      <sheetName val="COGS"/>
    </sheetNames>
    <sheetDataSet>
      <sheetData sheetId="0"/>
      <sheetData sheetId="1"/>
      <sheetData sheetId="2">
        <row r="11">
          <cell r="B11">
            <v>11</v>
          </cell>
        </row>
      </sheetData>
      <sheetData sheetId="3"/>
      <sheetData sheetId="4"/>
      <sheetData sheetId="5"/>
      <sheetData sheetId="6"/>
      <sheetData sheetId="7"/>
      <sheetData sheetId="8"/>
      <sheetData sheetId="9">
        <row r="21">
          <cell r="J21">
            <v>19991227.890000001</v>
          </cell>
        </row>
      </sheetData>
      <sheetData sheetId="10"/>
      <sheetData sheetId="11"/>
      <sheetData sheetId="12"/>
      <sheetData sheetId="13"/>
      <sheetData sheetId="14"/>
      <sheetData sheetId="15">
        <row r="111">
          <cell r="C111">
            <v>2305600</v>
          </cell>
        </row>
        <row r="168">
          <cell r="C168">
            <v>0</v>
          </cell>
        </row>
        <row r="169">
          <cell r="C169">
            <v>0</v>
          </cell>
        </row>
        <row r="170">
          <cell r="C170">
            <v>0</v>
          </cell>
        </row>
      </sheetData>
      <sheetData sheetId="16"/>
      <sheetData sheetId="17"/>
      <sheetData sheetId="1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2.vml"/><Relationship Id="rId7" Type="http://schemas.openxmlformats.org/officeDocument/2006/relationships/image" Target="../media/image4.emf"/><Relationship Id="rId2" Type="http://schemas.openxmlformats.org/officeDocument/2006/relationships/drawing" Target="../drawings/drawing5.xml"/><Relationship Id="rId1" Type="http://schemas.openxmlformats.org/officeDocument/2006/relationships/printerSettings" Target="../printerSettings/printerSettings12.bin"/><Relationship Id="rId6" Type="http://schemas.openxmlformats.org/officeDocument/2006/relationships/control" Target="../activeX/activeX4.xml"/><Relationship Id="rId5" Type="http://schemas.openxmlformats.org/officeDocument/2006/relationships/image" Target="../media/image3.emf"/><Relationship Id="rId4" Type="http://schemas.openxmlformats.org/officeDocument/2006/relationships/control" Target="../activeX/activeX3.xml"/></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3.vml"/><Relationship Id="rId7" Type="http://schemas.openxmlformats.org/officeDocument/2006/relationships/image" Target="../media/image6.emf"/><Relationship Id="rId2" Type="http://schemas.openxmlformats.org/officeDocument/2006/relationships/drawing" Target="../drawings/drawing6.xml"/><Relationship Id="rId1" Type="http://schemas.openxmlformats.org/officeDocument/2006/relationships/printerSettings" Target="../printerSettings/printerSettings13.bin"/><Relationship Id="rId6" Type="http://schemas.openxmlformats.org/officeDocument/2006/relationships/control" Target="../activeX/activeX6.xml"/><Relationship Id="rId5" Type="http://schemas.openxmlformats.org/officeDocument/2006/relationships/image" Target="../media/image5.emf"/><Relationship Id="rId4" Type="http://schemas.openxmlformats.org/officeDocument/2006/relationships/control" Target="../activeX/activeX5.xm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3" Type="http://schemas.openxmlformats.org/officeDocument/2006/relationships/vmlDrawing" Target="../drawings/vmlDrawing4.vml"/><Relationship Id="rId7" Type="http://schemas.openxmlformats.org/officeDocument/2006/relationships/image" Target="../media/image8.emf"/><Relationship Id="rId2" Type="http://schemas.openxmlformats.org/officeDocument/2006/relationships/drawing" Target="../drawings/drawing7.xml"/><Relationship Id="rId1" Type="http://schemas.openxmlformats.org/officeDocument/2006/relationships/printerSettings" Target="../printerSettings/printerSettings16.bin"/><Relationship Id="rId6" Type="http://schemas.openxmlformats.org/officeDocument/2006/relationships/control" Target="../activeX/activeX8.xml"/><Relationship Id="rId5" Type="http://schemas.openxmlformats.org/officeDocument/2006/relationships/image" Target="../media/image7.emf"/><Relationship Id="rId4" Type="http://schemas.openxmlformats.org/officeDocument/2006/relationships/control" Target="../activeX/activeX7.xml"/></Relationships>
</file>

<file path=xl/worksheets/_rels/sheet18.xml.rels><?xml version="1.0" encoding="UTF-8" standalone="yes"?>
<Relationships xmlns="http://schemas.openxmlformats.org/package/2006/relationships"><Relationship Id="rId3" Type="http://schemas.openxmlformats.org/officeDocument/2006/relationships/vmlDrawing" Target="../drawings/vmlDrawing5.vml"/><Relationship Id="rId7" Type="http://schemas.openxmlformats.org/officeDocument/2006/relationships/image" Target="../media/image10.emf"/><Relationship Id="rId2" Type="http://schemas.openxmlformats.org/officeDocument/2006/relationships/drawing" Target="../drawings/drawing8.xml"/><Relationship Id="rId1" Type="http://schemas.openxmlformats.org/officeDocument/2006/relationships/printerSettings" Target="../printerSettings/printerSettings17.bin"/><Relationship Id="rId6" Type="http://schemas.openxmlformats.org/officeDocument/2006/relationships/control" Target="../activeX/activeX10.xml"/><Relationship Id="rId5" Type="http://schemas.openxmlformats.org/officeDocument/2006/relationships/image" Target="../media/image9.emf"/><Relationship Id="rId4" Type="http://schemas.openxmlformats.org/officeDocument/2006/relationships/control" Target="../activeX/activeX9.xml"/></Relationships>
</file>

<file path=xl/worksheets/_rels/sheet19.xml.rels><?xml version="1.0" encoding="UTF-8" standalone="yes"?>
<Relationships xmlns="http://schemas.openxmlformats.org/package/2006/relationships"><Relationship Id="rId3" Type="http://schemas.openxmlformats.org/officeDocument/2006/relationships/vmlDrawing" Target="../drawings/vmlDrawing6.vml"/><Relationship Id="rId7" Type="http://schemas.openxmlformats.org/officeDocument/2006/relationships/image" Target="../media/image12.emf"/><Relationship Id="rId2" Type="http://schemas.openxmlformats.org/officeDocument/2006/relationships/drawing" Target="../drawings/drawing9.xml"/><Relationship Id="rId1" Type="http://schemas.openxmlformats.org/officeDocument/2006/relationships/printerSettings" Target="../printerSettings/printerSettings18.bin"/><Relationship Id="rId6" Type="http://schemas.openxmlformats.org/officeDocument/2006/relationships/control" Target="../activeX/activeX12.xml"/><Relationship Id="rId5" Type="http://schemas.openxmlformats.org/officeDocument/2006/relationships/image" Target="../media/image11.emf"/><Relationship Id="rId4" Type="http://schemas.openxmlformats.org/officeDocument/2006/relationships/control" Target="../activeX/activeX1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7" Type="http://schemas.openxmlformats.org/officeDocument/2006/relationships/image" Target="../media/image2.emf"/><Relationship Id="rId2" Type="http://schemas.openxmlformats.org/officeDocument/2006/relationships/drawing" Target="../drawings/drawing2.xml"/><Relationship Id="rId1" Type="http://schemas.openxmlformats.org/officeDocument/2006/relationships/printerSettings" Target="../printerSettings/printerSettings3.bin"/><Relationship Id="rId6" Type="http://schemas.openxmlformats.org/officeDocument/2006/relationships/control" Target="../activeX/activeX2.xml"/><Relationship Id="rId5" Type="http://schemas.openxmlformats.org/officeDocument/2006/relationships/image" Target="../media/image1.emf"/><Relationship Id="rId4" Type="http://schemas.openxmlformats.org/officeDocument/2006/relationships/control" Target="../activeX/activeX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
  <sheetViews>
    <sheetView showGridLines="0" showRowColHeaders="0" showZeros="0" showOutlineSymbols="0" topLeftCell="B28790" zoomScaleNormal="110" zoomScaleSheetLayoutView="70" workbookViewId="0"/>
  </sheetViews>
  <sheetFormatPr defaultRowHeight="12.75" x14ac:dyDescent="0.2"/>
  <sheetData/>
  <phoneticPr fontId="9" type="noConversion"/>
  <pageMargins left="0.75" right="0.75" top="1" bottom="1" header="0.5" footer="0.5"/>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W133"/>
  <sheetViews>
    <sheetView view="pageBreakPreview" zoomScaleSheetLayoutView="100" workbookViewId="0">
      <selection activeCell="J13" sqref="J13"/>
    </sheetView>
  </sheetViews>
  <sheetFormatPr defaultRowHeight="12.75" x14ac:dyDescent="0.2"/>
  <cols>
    <col min="1" max="1" width="4.85546875" style="18" customWidth="1"/>
    <col min="2" max="2" width="43.85546875" style="3" bestFit="1" customWidth="1"/>
    <col min="3" max="3" width="20.140625" style="3" customWidth="1"/>
    <col min="4" max="4" width="22.42578125" style="29" customWidth="1"/>
    <col min="5" max="6" width="0.85546875" style="3" customWidth="1"/>
    <col min="7" max="7" width="9.85546875" style="3" bestFit="1" customWidth="1"/>
    <col min="8" max="8" width="14.140625" style="3" customWidth="1"/>
    <col min="9" max="9" width="11.28515625" style="3" bestFit="1" customWidth="1"/>
    <col min="10" max="10" width="28.5703125" style="3" customWidth="1"/>
    <col min="11" max="11" width="11.140625" style="3" bestFit="1" customWidth="1"/>
    <col min="12" max="14" width="9.140625" style="3"/>
    <col min="15" max="15" width="4.7109375" style="3" customWidth="1"/>
    <col min="16" max="16" width="19.5703125" style="3" customWidth="1"/>
    <col min="17" max="17" width="9.85546875" style="3" bestFit="1" customWidth="1"/>
    <col min="18" max="21" width="9.140625" style="3"/>
    <col min="22" max="22" width="30.42578125" style="3" customWidth="1"/>
    <col min="23" max="23" width="11.140625" style="3" bestFit="1" customWidth="1"/>
    <col min="24" max="16384" width="9.140625" style="3"/>
  </cols>
  <sheetData>
    <row r="1" spans="1:9" ht="12.75" customHeight="1" x14ac:dyDescent="0.2">
      <c r="C1" s="10"/>
      <c r="D1" s="57" t="s">
        <v>1628</v>
      </c>
      <c r="E1" s="17"/>
    </row>
    <row r="2" spans="1:9" ht="12.75" customHeight="1" x14ac:dyDescent="0.2">
      <c r="A2" s="30" t="str">
        <f>CF!A2</f>
        <v>TROPICAL FISH INTERNATIONAL (PRIVATE) LIMITED</v>
      </c>
      <c r="C2" s="10"/>
      <c r="D2" s="343" t="s">
        <v>72</v>
      </c>
      <c r="E2" s="29"/>
    </row>
    <row r="3" spans="1:9" ht="12.75" customHeight="1" x14ac:dyDescent="0.2">
      <c r="A3" s="265"/>
      <c r="B3" s="60"/>
      <c r="C3" s="59"/>
      <c r="D3" s="110"/>
      <c r="E3" s="110"/>
    </row>
    <row r="4" spans="1:9" s="1" customFormat="1" ht="12.75" customHeight="1" x14ac:dyDescent="0.2">
      <c r="A4" s="52" t="s">
        <v>650</v>
      </c>
      <c r="C4" s="15"/>
      <c r="D4" s="344">
        <v>2018</v>
      </c>
      <c r="E4" s="105"/>
    </row>
    <row r="5" spans="1:9" ht="12.75" customHeight="1" x14ac:dyDescent="0.2">
      <c r="A5" s="63"/>
      <c r="B5" s="28"/>
      <c r="C5" s="13"/>
      <c r="D5" s="345"/>
      <c r="E5" s="268"/>
    </row>
    <row r="6" spans="1:9" x14ac:dyDescent="0.2">
      <c r="B6" s="18"/>
      <c r="C6" s="10"/>
      <c r="D6" s="346"/>
      <c r="E6" s="35"/>
    </row>
    <row r="7" spans="1:9" x14ac:dyDescent="0.2">
      <c r="A7" s="30">
        <f>CI!C16</f>
        <v>4</v>
      </c>
      <c r="B7" s="30" t="s">
        <v>785</v>
      </c>
      <c r="C7" s="10"/>
      <c r="D7" s="346"/>
      <c r="E7" s="35"/>
    </row>
    <row r="8" spans="1:9" x14ac:dyDescent="0.2">
      <c r="B8" s="270" t="s">
        <v>264</v>
      </c>
      <c r="C8" s="10"/>
      <c r="D8" s="39">
        <f>'1-4'!E66</f>
        <v>3247328.2900000005</v>
      </c>
      <c r="F8" s="20"/>
    </row>
    <row r="9" spans="1:9" x14ac:dyDescent="0.2">
      <c r="B9" s="89" t="s">
        <v>499</v>
      </c>
      <c r="C9" s="77"/>
      <c r="D9" s="29">
        <f>+'PL JAN-MARCH 2018'!J87+'PL JAN-MARCH 2018'!J136+'PL JAN-MARCH 2018'!J156+'PL JAN-MARCH 2018'!J162</f>
        <v>752989.5</v>
      </c>
      <c r="F9" s="10"/>
    </row>
    <row r="10" spans="1:9" x14ac:dyDescent="0.2">
      <c r="B10" s="89" t="s">
        <v>14</v>
      </c>
      <c r="C10" s="77"/>
      <c r="D10" s="29">
        <f>+'PL JAN-MARCH 2018'!J50+'PL JAN-MARCH 2018'!J101</f>
        <v>43220</v>
      </c>
      <c r="F10" s="10"/>
      <c r="H10" s="283"/>
      <c r="I10" s="276"/>
    </row>
    <row r="11" spans="1:9" x14ac:dyDescent="0.2">
      <c r="B11" s="18" t="s">
        <v>25</v>
      </c>
      <c r="C11" s="10"/>
      <c r="D11" s="29">
        <f>+'PL JAN-MARCH 2018'!J81+'PL JAN-MARCH 2018'!J83+'PL JAN-MARCH 2018'!J84+'PL JAN-MARCH 2018'!J85+'PL JAN-MARCH 2018'!J102+'PL JAN-MARCH 2018'!J113+'PL JAN-MARCH 2018'!J131+'PL JAN-MARCH 2018'!J223</f>
        <v>593949.39</v>
      </c>
      <c r="F11" s="10"/>
      <c r="H11" s="283"/>
      <c r="I11" s="276"/>
    </row>
    <row r="12" spans="1:9" x14ac:dyDescent="0.2">
      <c r="B12" s="18" t="s">
        <v>11</v>
      </c>
      <c r="C12" s="10"/>
      <c r="D12" s="29">
        <f>+'PL JAN-MARCH 2018'!J110</f>
        <v>7400</v>
      </c>
      <c r="F12" s="10"/>
      <c r="H12" s="276"/>
      <c r="I12" s="276"/>
    </row>
    <row r="13" spans="1:9" x14ac:dyDescent="0.2">
      <c r="B13" s="18" t="s">
        <v>500</v>
      </c>
      <c r="C13" s="10"/>
      <c r="D13" s="29">
        <f>+'PL JAN-MARCH 2018'!J74+'PL JAN-MARCH 2018'!J124+'PL JAN-MARCH 2018'!J151+'PL JAN-MARCH 2018'!J167</f>
        <v>155481.17000000001</v>
      </c>
      <c r="F13" s="10"/>
      <c r="H13" s="281"/>
      <c r="I13" s="277"/>
    </row>
    <row r="14" spans="1:9" hidden="1" x14ac:dyDescent="0.2">
      <c r="B14" s="3" t="s">
        <v>501</v>
      </c>
      <c r="C14" s="10"/>
      <c r="F14" s="10"/>
      <c r="H14" s="284"/>
      <c r="I14" s="276"/>
    </row>
    <row r="15" spans="1:9" x14ac:dyDescent="0.2">
      <c r="B15" s="18" t="s">
        <v>502</v>
      </c>
      <c r="C15" s="10"/>
      <c r="D15" s="29">
        <f>+'PL JAN-MARCH 2018'!J137+'PL JAN-MARCH 2018'!J176+'PL JAN-MARCH 2018'!J257</f>
        <v>990513.75</v>
      </c>
      <c r="F15" s="10"/>
      <c r="H15" s="283"/>
      <c r="I15" s="276"/>
    </row>
    <row r="16" spans="1:9" x14ac:dyDescent="0.2">
      <c r="B16" s="18" t="s">
        <v>503</v>
      </c>
      <c r="C16" s="10"/>
      <c r="D16" s="29">
        <f>+'PL JAN-MARCH 2018'!J107+'PL JAN-MARCH 2018'!J253</f>
        <v>152107</v>
      </c>
      <c r="F16" s="10"/>
      <c r="H16" s="283"/>
      <c r="I16" s="276"/>
    </row>
    <row r="17" spans="2:17" x14ac:dyDescent="0.2">
      <c r="B17" s="3" t="s">
        <v>55</v>
      </c>
      <c r="C17" s="10"/>
      <c r="D17" s="29">
        <f>+'PL JAN-MARCH 2018'!J89+'PL JAN-MARCH 2018'!J90+'PL JAN-MARCH 2018'!J91+'PL JAN-MARCH 2018'!J138+'PL JAN-MARCH 2018'!J139+'PL JAN-MARCH 2018'!J157+'PL JAN-MARCH 2018'!J233+'PL JAN-MARCH 2018'!J234+'PL JAN-MARCH 2018'!J235+'PL JAN-MARCH 2018'!J236</f>
        <v>2499427.3199999998</v>
      </c>
      <c r="F17" s="10"/>
      <c r="H17" s="166"/>
      <c r="I17" s="277"/>
    </row>
    <row r="18" spans="2:17" hidden="1" x14ac:dyDescent="0.2">
      <c r="B18" s="6" t="s">
        <v>504</v>
      </c>
      <c r="C18" s="10"/>
      <c r="D18" s="29">
        <v>0</v>
      </c>
      <c r="F18" s="10"/>
      <c r="H18" s="281"/>
      <c r="I18" s="277"/>
    </row>
    <row r="19" spans="2:17" x14ac:dyDescent="0.2">
      <c r="B19" s="18" t="s">
        <v>617</v>
      </c>
      <c r="C19" s="10"/>
      <c r="D19" s="29">
        <f>+'PL JAN-MARCH 2018'!J111</f>
        <v>1430</v>
      </c>
      <c r="F19" s="10"/>
      <c r="H19" s="281"/>
      <c r="I19" s="277"/>
    </row>
    <row r="20" spans="2:17" hidden="1" x14ac:dyDescent="0.2">
      <c r="B20" s="18" t="s">
        <v>46</v>
      </c>
      <c r="C20" s="10"/>
      <c r="D20" s="29">
        <v>0</v>
      </c>
      <c r="F20" s="15"/>
      <c r="H20" s="277"/>
      <c r="I20" s="277"/>
    </row>
    <row r="21" spans="2:17" x14ac:dyDescent="0.2">
      <c r="B21" s="18" t="s">
        <v>505</v>
      </c>
      <c r="C21" s="10"/>
      <c r="D21" s="29">
        <f>+'PL JAN-MARCH 2018'!J239</f>
        <v>7130</v>
      </c>
      <c r="F21" s="15"/>
    </row>
    <row r="22" spans="2:17" x14ac:dyDescent="0.2">
      <c r="B22" s="18" t="s">
        <v>266</v>
      </c>
      <c r="C22" s="10"/>
      <c r="D22" s="29">
        <f>+'PL JAN-MARCH 2018'!J183</f>
        <v>1500000</v>
      </c>
      <c r="F22" s="15"/>
      <c r="H22" s="276"/>
      <c r="I22" s="276"/>
    </row>
    <row r="23" spans="2:17" x14ac:dyDescent="0.2">
      <c r="B23" s="49" t="s">
        <v>15</v>
      </c>
      <c r="C23" s="10"/>
      <c r="D23" s="29">
        <f>+'PL JAN-MARCH 2018'!J109+'PL JAN-MARCH 2018'!J186</f>
        <v>105600</v>
      </c>
      <c r="F23" s="15"/>
      <c r="H23" s="277"/>
      <c r="I23" s="277"/>
    </row>
    <row r="24" spans="2:17" x14ac:dyDescent="0.2">
      <c r="B24" s="18" t="s">
        <v>21</v>
      </c>
      <c r="C24" s="10"/>
      <c r="D24" s="29">
        <f>+'PL JAN-MARCH 2018'!J95+'PL JAN-MARCH 2018'!J144+'PL JAN-MARCH 2018'!J242+'PL JAN-MARCH 2018'!J247</f>
        <v>251885.5</v>
      </c>
      <c r="F24" s="15"/>
      <c r="H24" s="276"/>
      <c r="I24" s="276"/>
    </row>
    <row r="25" spans="2:17" x14ac:dyDescent="0.2">
      <c r="B25" s="18" t="s">
        <v>260</v>
      </c>
      <c r="C25" s="10"/>
      <c r="D25" s="29">
        <f>+'PL JAN-MARCH 2018'!J143+'PL JAN-MARCH 2018'!J193</f>
        <v>37117.68</v>
      </c>
      <c r="F25" s="15"/>
      <c r="I25" s="8"/>
      <c r="J25" s="8"/>
      <c r="K25" s="8"/>
      <c r="L25" s="8"/>
      <c r="M25" s="8"/>
      <c r="N25" s="8"/>
      <c r="O25" s="8"/>
      <c r="P25" s="8"/>
      <c r="Q25" s="8"/>
    </row>
    <row r="26" spans="2:17" x14ac:dyDescent="0.2">
      <c r="B26" s="18" t="s">
        <v>1586</v>
      </c>
      <c r="C26" s="10"/>
      <c r="D26" s="29">
        <f>+'PL JAN-MARCH 2018'!J246</f>
        <v>92.38</v>
      </c>
      <c r="F26" s="15"/>
    </row>
    <row r="27" spans="2:17" x14ac:dyDescent="0.2">
      <c r="B27" s="49" t="s">
        <v>16</v>
      </c>
      <c r="C27" s="10"/>
      <c r="D27" s="29">
        <f>+'PL JAN-MARCH 2018'!J191</f>
        <v>203000</v>
      </c>
      <c r="F27" s="15"/>
      <c r="H27" s="285"/>
      <c r="I27" s="285"/>
    </row>
    <row r="28" spans="2:17" hidden="1" x14ac:dyDescent="0.2">
      <c r="B28" s="49" t="s">
        <v>513</v>
      </c>
      <c r="C28" s="10"/>
      <c r="D28" s="29">
        <v>0</v>
      </c>
      <c r="F28" s="15"/>
    </row>
    <row r="29" spans="2:17" hidden="1" x14ac:dyDescent="0.2">
      <c r="B29" s="3" t="s">
        <v>491</v>
      </c>
      <c r="C29" s="10"/>
      <c r="F29" s="15"/>
    </row>
    <row r="30" spans="2:17" x14ac:dyDescent="0.2">
      <c r="B30" s="18" t="s">
        <v>506</v>
      </c>
      <c r="C30" s="10"/>
      <c r="D30" s="29">
        <f>+'PL JAN-MARCH 2018'!J92+'PL JAN-MARCH 2018'!J97+'PL JAN-MARCH 2018'!J142+'PL JAN-MARCH 2018'!J149+'PL JAN-MARCH 2018'!J152+'PL JAN-MARCH 2018'!J196+'PL JAN-MARCH 2018'!J256</f>
        <v>57340</v>
      </c>
      <c r="F30" s="15"/>
    </row>
    <row r="31" spans="2:17" hidden="1" x14ac:dyDescent="0.2">
      <c r="B31" s="1" t="s">
        <v>635</v>
      </c>
      <c r="C31" s="10"/>
      <c r="D31" s="29">
        <v>0</v>
      </c>
      <c r="F31" s="15"/>
    </row>
    <row r="32" spans="2:17" ht="13.5" thickBot="1" x14ac:dyDescent="0.25">
      <c r="B32" s="6"/>
      <c r="C32" s="10"/>
      <c r="D32" s="42">
        <f>SUM(D8:D31)</f>
        <v>10606011.98</v>
      </c>
      <c r="F32" s="14"/>
      <c r="G32" s="7"/>
    </row>
    <row r="33" spans="1:23" ht="13.5" thickTop="1" x14ac:dyDescent="0.2">
      <c r="B33" s="6"/>
      <c r="C33" s="10"/>
      <c r="D33" s="23"/>
      <c r="E33" s="14"/>
    </row>
    <row r="34" spans="1:23" x14ac:dyDescent="0.2">
      <c r="A34" s="19">
        <f>CI!C18</f>
        <v>5</v>
      </c>
      <c r="B34" s="128" t="s">
        <v>59</v>
      </c>
      <c r="C34" s="59"/>
      <c r="D34" s="110"/>
      <c r="E34" s="60"/>
      <c r="G34" s="7"/>
    </row>
    <row r="35" spans="1:23" x14ac:dyDescent="0.2">
      <c r="A35" s="30"/>
      <c r="B35" s="6" t="s">
        <v>42</v>
      </c>
      <c r="C35" s="10"/>
      <c r="D35" s="29">
        <f>+'PL JAN-MARCH 2018'!J245</f>
        <v>51603.81</v>
      </c>
      <c r="F35" s="15"/>
      <c r="H35" s="7"/>
    </row>
    <row r="36" spans="1:23" x14ac:dyDescent="0.2">
      <c r="A36" s="30"/>
      <c r="B36" s="6" t="s">
        <v>8</v>
      </c>
      <c r="C36" s="10"/>
      <c r="D36" s="29">
        <f>+'PL JAN-MARCH 2018'!J244</f>
        <v>2797422.34</v>
      </c>
      <c r="F36" s="15"/>
      <c r="N36" s="293"/>
      <c r="P36" s="293"/>
      <c r="W36" s="293"/>
    </row>
    <row r="37" spans="1:23" x14ac:dyDescent="0.2">
      <c r="A37" s="30"/>
      <c r="B37" s="6" t="s">
        <v>6</v>
      </c>
      <c r="C37" s="10"/>
      <c r="D37" s="29">
        <f>+'PL JAN-MARCH 2018'!J243+'PL JAN-MARCH 2018'!J247</f>
        <v>126307.16</v>
      </c>
      <c r="F37" s="15"/>
      <c r="N37" s="8"/>
      <c r="P37" s="8"/>
      <c r="W37" s="8"/>
    </row>
    <row r="38" spans="1:23" ht="13.5" thickBot="1" x14ac:dyDescent="0.25">
      <c r="A38" s="30"/>
      <c r="B38" s="4"/>
      <c r="C38" s="10"/>
      <c r="D38" s="42">
        <f>SUM(D35:D37)</f>
        <v>2975333.31</v>
      </c>
      <c r="F38" s="22"/>
      <c r="H38" s="7"/>
      <c r="N38" s="8"/>
      <c r="P38" s="8"/>
      <c r="W38" s="8"/>
    </row>
    <row r="39" spans="1:23" ht="13.5" thickTop="1" x14ac:dyDescent="0.2">
      <c r="A39" s="30"/>
      <c r="B39" s="4"/>
      <c r="C39" s="10"/>
      <c r="D39" s="23"/>
      <c r="E39" s="14"/>
      <c r="G39" s="7"/>
    </row>
    <row r="40" spans="1:23" x14ac:dyDescent="0.2">
      <c r="A40" s="40" t="s">
        <v>48</v>
      </c>
      <c r="C40" s="15"/>
      <c r="D40" s="24"/>
      <c r="E40" s="15"/>
    </row>
    <row r="41" spans="1:23" x14ac:dyDescent="0.2">
      <c r="A41" s="40" t="s">
        <v>495</v>
      </c>
      <c r="C41" s="15"/>
      <c r="D41" s="24"/>
      <c r="E41" s="15"/>
      <c r="K41" s="8"/>
    </row>
    <row r="42" spans="1:23" x14ac:dyDescent="0.2">
      <c r="C42" s="15"/>
      <c r="D42" s="24"/>
      <c r="E42" s="15"/>
    </row>
    <row r="43" spans="1:23" x14ac:dyDescent="0.2">
      <c r="C43" s="15"/>
      <c r="D43" s="24"/>
      <c r="E43" s="15"/>
    </row>
    <row r="44" spans="1:23" x14ac:dyDescent="0.2">
      <c r="C44" s="15"/>
      <c r="D44" s="24"/>
      <c r="E44" s="15"/>
      <c r="K44" s="296"/>
    </row>
    <row r="45" spans="1:23" x14ac:dyDescent="0.2">
      <c r="B45" s="8"/>
      <c r="C45" s="8"/>
      <c r="E45" s="8"/>
      <c r="F45" s="8"/>
      <c r="G45" s="8"/>
      <c r="H45" s="8"/>
      <c r="I45" s="8"/>
      <c r="J45" s="8"/>
      <c r="K45" s="8"/>
    </row>
    <row r="46" spans="1:23" x14ac:dyDescent="0.2">
      <c r="B46" s="8"/>
      <c r="C46" s="8"/>
      <c r="E46" s="8"/>
      <c r="F46" s="8"/>
      <c r="G46" s="8"/>
      <c r="H46" s="8"/>
      <c r="I46" s="8"/>
      <c r="J46" s="8"/>
      <c r="K46" s="8"/>
    </row>
    <row r="47" spans="1:23" x14ac:dyDescent="0.2">
      <c r="B47" s="8"/>
      <c r="C47" s="8"/>
      <c r="E47" s="8"/>
      <c r="F47" s="8"/>
      <c r="G47" s="8"/>
      <c r="H47" s="8"/>
      <c r="I47" s="8"/>
      <c r="J47" s="8"/>
      <c r="K47" s="8"/>
    </row>
    <row r="48" spans="1:23" x14ac:dyDescent="0.2">
      <c r="C48" s="15"/>
      <c r="D48" s="24"/>
      <c r="E48" s="15"/>
    </row>
    <row r="49" spans="3:5" x14ac:dyDescent="0.2">
      <c r="C49" s="15"/>
      <c r="D49" s="24"/>
      <c r="E49" s="15"/>
    </row>
    <row r="50" spans="3:5" x14ac:dyDescent="0.2">
      <c r="C50" s="15"/>
      <c r="D50" s="24"/>
      <c r="E50" s="15"/>
    </row>
    <row r="51" spans="3:5" x14ac:dyDescent="0.2">
      <c r="C51" s="15"/>
      <c r="D51" s="24"/>
      <c r="E51" s="15"/>
    </row>
    <row r="52" spans="3:5" x14ac:dyDescent="0.2">
      <c r="C52" s="15"/>
      <c r="D52" s="24"/>
      <c r="E52" s="15"/>
    </row>
    <row r="53" spans="3:5" x14ac:dyDescent="0.2">
      <c r="C53" s="15"/>
      <c r="D53" s="24"/>
      <c r="E53" s="15"/>
    </row>
    <row r="54" spans="3:5" x14ac:dyDescent="0.2">
      <c r="C54" s="15"/>
      <c r="D54" s="24"/>
      <c r="E54" s="15"/>
    </row>
    <row r="55" spans="3:5" x14ac:dyDescent="0.2">
      <c r="C55" s="15"/>
      <c r="D55" s="24"/>
      <c r="E55" s="15"/>
    </row>
    <row r="56" spans="3:5" x14ac:dyDescent="0.2">
      <c r="C56" s="15"/>
      <c r="D56" s="24"/>
      <c r="E56" s="15"/>
    </row>
    <row r="57" spans="3:5" x14ac:dyDescent="0.2">
      <c r="C57" s="15"/>
      <c r="D57" s="24"/>
      <c r="E57" s="15"/>
    </row>
    <row r="58" spans="3:5" x14ac:dyDescent="0.2">
      <c r="C58" s="15"/>
      <c r="D58" s="24"/>
      <c r="E58" s="15"/>
    </row>
    <row r="59" spans="3:5" x14ac:dyDescent="0.2">
      <c r="C59" s="10"/>
      <c r="E59" s="15"/>
    </row>
    <row r="60" spans="3:5" x14ac:dyDescent="0.2">
      <c r="E60" s="15"/>
    </row>
    <row r="61" spans="3:5" x14ac:dyDescent="0.2">
      <c r="C61" s="10"/>
      <c r="E61" s="15"/>
    </row>
    <row r="62" spans="3:5" x14ac:dyDescent="0.2">
      <c r="C62" s="10"/>
      <c r="E62" s="15"/>
    </row>
    <row r="63" spans="3:5" x14ac:dyDescent="0.2">
      <c r="C63" s="10"/>
      <c r="E63" s="15"/>
    </row>
    <row r="64" spans="3:5" x14ac:dyDescent="0.2">
      <c r="C64" s="10"/>
      <c r="E64" s="15"/>
    </row>
    <row r="65" spans="2:5" x14ac:dyDescent="0.2">
      <c r="C65" s="10"/>
      <c r="E65" s="15"/>
    </row>
    <row r="66" spans="2:5" x14ac:dyDescent="0.2">
      <c r="C66" s="10"/>
      <c r="E66" s="15"/>
    </row>
    <row r="67" spans="2:5" x14ac:dyDescent="0.2">
      <c r="C67" s="10"/>
      <c r="E67" s="15"/>
    </row>
    <row r="68" spans="2:5" x14ac:dyDescent="0.2">
      <c r="C68" s="10"/>
      <c r="E68" s="15"/>
    </row>
    <row r="69" spans="2:5" x14ac:dyDescent="0.2">
      <c r="C69" s="10"/>
      <c r="E69" s="15"/>
    </row>
    <row r="70" spans="2:5" ht="12.75" hidden="1" customHeight="1" x14ac:dyDescent="0.2">
      <c r="B70" s="554" t="s">
        <v>26</v>
      </c>
      <c r="C70" s="554"/>
      <c r="D70" s="554"/>
      <c r="E70" s="554"/>
    </row>
    <row r="71" spans="2:5" hidden="1" x14ac:dyDescent="0.2">
      <c r="B71" s="554"/>
      <c r="C71" s="554"/>
      <c r="D71" s="554"/>
      <c r="E71" s="554"/>
    </row>
    <row r="72" spans="2:5" hidden="1" x14ac:dyDescent="0.2">
      <c r="B72" s="554"/>
      <c r="C72" s="554"/>
      <c r="D72" s="554"/>
      <c r="E72" s="554"/>
    </row>
    <row r="73" spans="2:5" hidden="1" x14ac:dyDescent="0.2">
      <c r="C73" s="10"/>
      <c r="E73" s="10"/>
    </row>
    <row r="74" spans="2:5" hidden="1" x14ac:dyDescent="0.2">
      <c r="C74" s="10"/>
      <c r="E74" s="10"/>
    </row>
    <row r="75" spans="2:5" x14ac:dyDescent="0.2">
      <c r="C75" s="10"/>
      <c r="E75" s="10"/>
    </row>
    <row r="76" spans="2:5" x14ac:dyDescent="0.2">
      <c r="C76" s="10"/>
      <c r="E76" s="10"/>
    </row>
    <row r="77" spans="2:5" x14ac:dyDescent="0.2">
      <c r="C77" s="10"/>
      <c r="E77" s="10"/>
    </row>
    <row r="78" spans="2:5" x14ac:dyDescent="0.2">
      <c r="C78" s="10"/>
      <c r="E78" s="10"/>
    </row>
    <row r="79" spans="2:5" x14ac:dyDescent="0.2">
      <c r="C79" s="10"/>
      <c r="E79" s="10"/>
    </row>
    <row r="86" spans="2:2" x14ac:dyDescent="0.2">
      <c r="B86" s="3" t="s">
        <v>631</v>
      </c>
    </row>
    <row r="112" spans="2:2" x14ac:dyDescent="0.2">
      <c r="B112" s="3" t="s">
        <v>249</v>
      </c>
    </row>
    <row r="133" hidden="1" x14ac:dyDescent="0.2"/>
  </sheetData>
  <mergeCells count="1">
    <mergeCell ref="B70:E72"/>
  </mergeCells>
  <phoneticPr fontId="22" type="noConversion"/>
  <printOptions horizontalCentered="1"/>
  <pageMargins left="0.75" right="0.25" top="0.75" bottom="0.25" header="0.5" footer="0.5"/>
  <pageSetup paperSize="9" scale="97" orientation="portrait" r:id="rId1"/>
  <headerFooter alignWithMargins="0"/>
  <rowBreaks count="1" manualBreakCount="1">
    <brk id="61" max="16383" man="1"/>
  </row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N148"/>
  <sheetViews>
    <sheetView view="pageBreakPreview" zoomScaleSheetLayoutView="100" workbookViewId="0">
      <selection activeCell="M7" sqref="M7"/>
    </sheetView>
  </sheetViews>
  <sheetFormatPr defaultRowHeight="12.75" customHeight="1" x14ac:dyDescent="0.2"/>
  <cols>
    <col min="1" max="1" width="4.7109375" style="30" customWidth="1"/>
    <col min="2" max="2" width="6" style="3" customWidth="1"/>
    <col min="3" max="3" width="9.42578125" style="3" customWidth="1"/>
    <col min="4" max="4" width="21.42578125" style="3" customWidth="1"/>
    <col min="5" max="5" width="20.7109375" style="3" customWidth="1"/>
    <col min="6" max="6" width="0.85546875" style="3" customWidth="1"/>
    <col min="7" max="7" width="15.42578125" style="3" customWidth="1"/>
    <col min="8" max="8" width="1.28515625" style="3" customWidth="1"/>
    <col min="9" max="9" width="15.7109375" style="29" customWidth="1"/>
    <col min="10" max="10" width="0.85546875" style="10" customWidth="1"/>
    <col min="11" max="11" width="12.85546875" style="3" bestFit="1" customWidth="1"/>
    <col min="12" max="14" width="14" style="3" bestFit="1" customWidth="1"/>
    <col min="15" max="21" width="9.140625" style="3"/>
    <col min="22" max="22" width="12" style="3" bestFit="1" customWidth="1"/>
    <col min="23" max="16384" width="9.140625" style="3"/>
  </cols>
  <sheetData>
    <row r="1" spans="1:14" ht="12.75" customHeight="1" x14ac:dyDescent="0.2">
      <c r="A1" s="18"/>
      <c r="C1" s="10"/>
      <c r="I1" s="57" t="s">
        <v>1629</v>
      </c>
      <c r="J1" s="451"/>
    </row>
    <row r="2" spans="1:14" ht="12.75" customHeight="1" x14ac:dyDescent="0.25">
      <c r="A2" s="30" t="s">
        <v>7</v>
      </c>
      <c r="C2" s="10"/>
      <c r="D2" s="10"/>
      <c r="E2" s="10"/>
      <c r="F2" s="10"/>
      <c r="I2" s="449" t="s">
        <v>72</v>
      </c>
      <c r="J2" s="29"/>
    </row>
    <row r="3" spans="1:14" ht="12.75" customHeight="1" x14ac:dyDescent="0.2">
      <c r="A3" s="265"/>
      <c r="B3" s="60"/>
      <c r="C3" s="59"/>
      <c r="D3" s="59"/>
      <c r="E3" s="59"/>
      <c r="F3" s="59"/>
      <c r="G3" s="60"/>
      <c r="H3" s="60"/>
      <c r="I3" s="110"/>
      <c r="J3" s="110"/>
    </row>
    <row r="4" spans="1:14" s="1" customFormat="1" ht="12.75" customHeight="1" x14ac:dyDescent="0.2">
      <c r="A4" s="52" t="s">
        <v>650</v>
      </c>
      <c r="C4" s="15"/>
      <c r="I4" s="344" t="s">
        <v>853</v>
      </c>
      <c r="J4" s="105"/>
    </row>
    <row r="5" spans="1:14" ht="12.75" customHeight="1" x14ac:dyDescent="0.25">
      <c r="A5" s="63"/>
      <c r="B5" s="28"/>
      <c r="C5" s="13"/>
      <c r="D5" s="450"/>
      <c r="E5" s="450"/>
      <c r="F5" s="450"/>
      <c r="G5" s="28"/>
      <c r="H5" s="28"/>
      <c r="I5" s="37"/>
      <c r="J5" s="28"/>
    </row>
    <row r="6" spans="1:14" ht="12.75" customHeight="1" x14ac:dyDescent="0.25">
      <c r="A6" s="18"/>
      <c r="B6" s="1"/>
      <c r="C6" s="72"/>
      <c r="D6" s="72"/>
      <c r="E6" s="102"/>
      <c r="F6" s="101"/>
      <c r="G6" s="287"/>
      <c r="H6" s="287"/>
      <c r="I6" s="133"/>
      <c r="J6" s="103"/>
    </row>
    <row r="7" spans="1:14" ht="12.75" customHeight="1" x14ac:dyDescent="0.2">
      <c r="A7" s="30">
        <f>FP!B34</f>
        <v>11</v>
      </c>
      <c r="B7" s="4" t="str">
        <f>FP!A34</f>
        <v>Retirement Benefits Obligation</v>
      </c>
      <c r="E7" s="21"/>
      <c r="G7" s="15"/>
      <c r="I7" s="24"/>
      <c r="J7" s="24"/>
    </row>
    <row r="8" spans="1:14" ht="12.75" customHeight="1" x14ac:dyDescent="0.2">
      <c r="B8" s="4" t="s">
        <v>314</v>
      </c>
      <c r="E8" s="21"/>
      <c r="G8" s="15"/>
      <c r="I8" s="24">
        <f>+'BS MARCH 31'!H233</f>
        <v>3344994</v>
      </c>
      <c r="J8" s="23"/>
    </row>
    <row r="9" spans="1:14" ht="12.75" customHeight="1" x14ac:dyDescent="0.2">
      <c r="B9" s="1" t="s">
        <v>764</v>
      </c>
      <c r="E9" s="21"/>
      <c r="G9" s="15"/>
      <c r="I9" s="24"/>
      <c r="J9" s="24"/>
      <c r="K9" s="8"/>
    </row>
    <row r="10" spans="1:14" ht="12.75" customHeight="1" x14ac:dyDescent="0.2">
      <c r="B10" s="1" t="s">
        <v>765</v>
      </c>
      <c r="E10" s="21"/>
      <c r="G10" s="15"/>
      <c r="I10" s="15"/>
      <c r="J10" s="24"/>
      <c r="K10" s="444"/>
      <c r="N10" s="8"/>
    </row>
    <row r="11" spans="1:14" ht="12.75" customHeight="1" thickBot="1" x14ac:dyDescent="0.25">
      <c r="B11" s="4" t="s">
        <v>315</v>
      </c>
      <c r="E11" s="21"/>
      <c r="G11" s="15"/>
      <c r="I11" s="42">
        <f>SUM(I8:I10)</f>
        <v>3344994</v>
      </c>
      <c r="J11" s="23"/>
      <c r="K11" s="8"/>
    </row>
    <row r="12" spans="1:14" ht="12.75" customHeight="1" thickTop="1" x14ac:dyDescent="0.2">
      <c r="B12" s="4"/>
      <c r="E12" s="21"/>
      <c r="G12" s="15"/>
      <c r="I12" s="23"/>
      <c r="J12" s="23"/>
    </row>
    <row r="13" spans="1:14" ht="12.75" hidden="1" customHeight="1" x14ac:dyDescent="0.2">
      <c r="B13" s="555" t="s">
        <v>766</v>
      </c>
      <c r="C13" s="555"/>
      <c r="D13" s="555"/>
      <c r="E13" s="555"/>
      <c r="F13" s="555"/>
      <c r="G13" s="555"/>
      <c r="H13" s="555"/>
      <c r="I13" s="555"/>
      <c r="J13" s="555"/>
    </row>
    <row r="14" spans="1:14" ht="12.75" hidden="1" customHeight="1" x14ac:dyDescent="0.2">
      <c r="B14" s="555"/>
      <c r="C14" s="555"/>
      <c r="D14" s="555"/>
      <c r="E14" s="555"/>
      <c r="F14" s="555"/>
      <c r="G14" s="555"/>
      <c r="H14" s="555"/>
      <c r="I14" s="555"/>
      <c r="J14" s="555"/>
    </row>
    <row r="15" spans="1:14" ht="12.75" hidden="1" customHeight="1" x14ac:dyDescent="0.2">
      <c r="B15" s="555"/>
      <c r="C15" s="555"/>
      <c r="D15" s="555"/>
      <c r="E15" s="555"/>
      <c r="F15" s="555"/>
      <c r="G15" s="555"/>
      <c r="H15" s="555"/>
      <c r="I15" s="555"/>
      <c r="J15" s="555"/>
    </row>
    <row r="16" spans="1:14" ht="12.75" hidden="1" customHeight="1" x14ac:dyDescent="0.2">
      <c r="B16" s="288" t="s">
        <v>767</v>
      </c>
      <c r="E16" s="21"/>
      <c r="G16" s="15"/>
      <c r="I16" s="23"/>
      <c r="J16" s="23"/>
    </row>
    <row r="17" spans="1:10" ht="12.75" hidden="1" customHeight="1" x14ac:dyDescent="0.2">
      <c r="B17" s="288" t="s">
        <v>768</v>
      </c>
      <c r="E17" s="21"/>
      <c r="G17" s="15"/>
      <c r="I17" s="23"/>
      <c r="J17" s="23"/>
    </row>
    <row r="18" spans="1:10" ht="12.75" hidden="1" customHeight="1" x14ac:dyDescent="0.2">
      <c r="B18" s="288" t="s">
        <v>769</v>
      </c>
      <c r="E18" s="21"/>
      <c r="G18" s="15"/>
      <c r="I18" s="23"/>
      <c r="J18" s="23"/>
    </row>
    <row r="19" spans="1:10" ht="12.75" hidden="1" customHeight="1" x14ac:dyDescent="0.2">
      <c r="B19" s="288" t="s">
        <v>770</v>
      </c>
      <c r="E19" s="21"/>
      <c r="G19" s="15"/>
      <c r="I19" s="23"/>
      <c r="J19" s="23"/>
    </row>
    <row r="20" spans="1:10" ht="12.75" hidden="1" customHeight="1" x14ac:dyDescent="0.2">
      <c r="B20" s="288" t="s">
        <v>771</v>
      </c>
      <c r="E20" s="21"/>
      <c r="G20" s="15"/>
      <c r="I20" s="23"/>
      <c r="J20" s="23"/>
    </row>
    <row r="21" spans="1:10" ht="12.75" hidden="1" customHeight="1" x14ac:dyDescent="0.2">
      <c r="C21" s="1"/>
      <c r="D21" s="1"/>
      <c r="E21" s="21"/>
      <c r="G21" s="15"/>
      <c r="I21" s="24"/>
      <c r="J21" s="15"/>
    </row>
    <row r="22" spans="1:10" ht="12.75" customHeight="1" x14ac:dyDescent="0.2">
      <c r="A22" s="18"/>
      <c r="C22" s="10"/>
      <c r="I22" s="57"/>
      <c r="J22" s="451"/>
    </row>
    <row r="23" spans="1:10" ht="12.75" customHeight="1" x14ac:dyDescent="0.25">
      <c r="A23" s="127"/>
      <c r="B23" s="105"/>
      <c r="C23" s="105"/>
      <c r="E23" s="106"/>
      <c r="F23" s="23"/>
      <c r="G23" s="67"/>
      <c r="H23" s="23"/>
      <c r="I23" s="133"/>
      <c r="J23" s="29"/>
    </row>
    <row r="24" spans="1:10" ht="12.75" customHeight="1" x14ac:dyDescent="0.2">
      <c r="A24" s="291">
        <v>12</v>
      </c>
      <c r="B24" s="52" t="s">
        <v>9</v>
      </c>
      <c r="C24" s="67"/>
      <c r="D24" s="1"/>
      <c r="E24" s="114"/>
      <c r="F24" s="23"/>
      <c r="G24" s="131"/>
      <c r="H24" s="23"/>
      <c r="I24" s="114"/>
      <c r="J24" s="110"/>
    </row>
    <row r="25" spans="1:10" s="1" customFormat="1" ht="12.75" customHeight="1" x14ac:dyDescent="0.2">
      <c r="A25" s="107"/>
      <c r="B25" s="3" t="s">
        <v>1500</v>
      </c>
      <c r="C25" s="3"/>
      <c r="D25" s="3"/>
      <c r="E25" s="114"/>
      <c r="F25" s="23"/>
      <c r="G25" s="44"/>
      <c r="H25" s="23"/>
      <c r="I25" s="24">
        <f>'BS MARCH 31'!X243</f>
        <v>-92705.83</v>
      </c>
      <c r="J25" s="105"/>
    </row>
    <row r="26" spans="1:10" ht="12.75" customHeight="1" x14ac:dyDescent="0.2">
      <c r="A26" s="107"/>
      <c r="B26" s="3" t="s">
        <v>309</v>
      </c>
      <c r="E26" s="114"/>
      <c r="F26" s="23"/>
      <c r="G26" s="44" t="s">
        <v>763</v>
      </c>
      <c r="H26" s="23"/>
      <c r="I26" s="114">
        <v>0</v>
      </c>
      <c r="J26" s="28"/>
    </row>
    <row r="27" spans="1:10" s="1" customFormat="1" ht="12.75" customHeight="1" x14ac:dyDescent="0.25">
      <c r="A27" s="107"/>
      <c r="B27" s="58" t="s">
        <v>643</v>
      </c>
      <c r="C27" s="98"/>
      <c r="D27" s="3"/>
      <c r="E27" s="114"/>
      <c r="F27" s="23"/>
      <c r="G27" s="24"/>
      <c r="H27" s="29"/>
      <c r="I27" s="29">
        <f>+'BS MARCH 31'!X244</f>
        <v>-38019467.450000003</v>
      </c>
      <c r="J27" s="24"/>
    </row>
    <row r="28" spans="1:10" s="1" customFormat="1" ht="12.75" customHeight="1" x14ac:dyDescent="0.25">
      <c r="A28" s="107"/>
      <c r="B28" s="58" t="s">
        <v>1594</v>
      </c>
      <c r="C28" s="98"/>
      <c r="D28" s="3"/>
      <c r="E28" s="114"/>
      <c r="F28" s="23"/>
      <c r="G28" s="24"/>
      <c r="H28" s="29"/>
      <c r="I28" s="29">
        <f>+'BS MARCH 31'!X245</f>
        <v>-152501.68</v>
      </c>
      <c r="J28" s="24"/>
    </row>
    <row r="29" spans="1:10" s="1" customFormat="1" ht="12.75" customHeight="1" x14ac:dyDescent="0.25">
      <c r="A29" s="107"/>
      <c r="B29" s="58" t="s">
        <v>1595</v>
      </c>
      <c r="C29" s="98"/>
      <c r="D29" s="3"/>
      <c r="E29" s="114"/>
      <c r="F29" s="23"/>
      <c r="G29" s="24"/>
      <c r="H29" s="29"/>
      <c r="I29" s="29">
        <f>+'BS MARCH 31'!H247</f>
        <v>220790.84</v>
      </c>
      <c r="J29" s="24"/>
    </row>
    <row r="30" spans="1:10" s="1" customFormat="1" ht="12.75" customHeight="1" x14ac:dyDescent="0.25">
      <c r="A30" s="107"/>
      <c r="B30" s="58" t="s">
        <v>1596</v>
      </c>
      <c r="C30" s="98"/>
      <c r="D30" s="3"/>
      <c r="E30" s="114"/>
      <c r="F30" s="23"/>
      <c r="G30" s="24"/>
      <c r="H30" s="29"/>
      <c r="I30" s="29">
        <f>+'BS MARCH 31'!X220</f>
        <v>6256137.7300000004</v>
      </c>
      <c r="J30" s="24"/>
    </row>
    <row r="31" spans="1:10" ht="12.75" customHeight="1" thickBot="1" x14ac:dyDescent="0.3">
      <c r="A31" s="107"/>
      <c r="C31" s="98"/>
      <c r="E31" s="104"/>
      <c r="F31" s="23"/>
      <c r="G31" s="286"/>
      <c r="H31" s="23"/>
      <c r="I31" s="132">
        <f>SUM(I25:I30)</f>
        <v>-31787746.389999997</v>
      </c>
      <c r="J31" s="24"/>
    </row>
    <row r="32" spans="1:10" ht="18" customHeight="1" thickTop="1" x14ac:dyDescent="0.25">
      <c r="A32" s="30">
        <v>13</v>
      </c>
      <c r="B32" s="540" t="s">
        <v>1597</v>
      </c>
      <c r="C32" s="540"/>
      <c r="D32" s="540"/>
      <c r="E32" s="455"/>
      <c r="F32" s="455"/>
      <c r="G32" s="455"/>
      <c r="H32" s="455"/>
      <c r="I32" s="454"/>
      <c r="J32" s="456"/>
    </row>
    <row r="33" spans="1:10" ht="15.75" x14ac:dyDescent="0.2">
      <c r="A33" s="9"/>
      <c r="B33" s="58" t="s">
        <v>1598</v>
      </c>
      <c r="C33" s="58"/>
      <c r="D33" s="58"/>
      <c r="E33" s="9"/>
      <c r="F33" s="9"/>
      <c r="G33" s="9"/>
      <c r="H33" s="9"/>
      <c r="I33" s="53">
        <f>+'BS MARCH 31'!W268</f>
        <v>11599969.24</v>
      </c>
      <c r="J33" s="456"/>
    </row>
    <row r="34" spans="1:10" ht="15.75" x14ac:dyDescent="0.2">
      <c r="A34" s="9"/>
      <c r="B34" s="58" t="s">
        <v>1599</v>
      </c>
      <c r="C34" s="58"/>
      <c r="D34" s="58"/>
      <c r="E34" s="9"/>
      <c r="F34" s="9"/>
      <c r="G34" s="9"/>
      <c r="H34" s="9"/>
      <c r="I34" s="53">
        <f>+'BS MARCH 31'!W269</f>
        <v>12699028.67</v>
      </c>
      <c r="J34" s="456"/>
    </row>
    <row r="35" spans="1:10" s="453" customFormat="1" ht="15.75" x14ac:dyDescent="0.2">
      <c r="A35" s="9"/>
      <c r="B35" s="58" t="s">
        <v>1600</v>
      </c>
      <c r="C35" s="58"/>
      <c r="D35" s="58"/>
      <c r="E35" s="9"/>
      <c r="F35" s="9"/>
      <c r="G35" s="9"/>
      <c r="H35" s="9"/>
      <c r="I35" s="53">
        <f>+'BS MARCH 31'!W270</f>
        <v>623893</v>
      </c>
      <c r="J35" s="503"/>
    </row>
    <row r="36" spans="1:10" s="453" customFormat="1" ht="15.75" x14ac:dyDescent="0.2">
      <c r="A36" s="9"/>
      <c r="B36" s="58" t="s">
        <v>1601</v>
      </c>
      <c r="C36" s="58"/>
      <c r="D36" s="58"/>
      <c r="E36" s="9"/>
      <c r="F36" s="9"/>
      <c r="G36" s="9"/>
      <c r="H36" s="9"/>
      <c r="I36" s="53">
        <f>+'BS MARCH 31'!W271</f>
        <v>3112210.4</v>
      </c>
      <c r="J36" s="503"/>
    </row>
    <row r="37" spans="1:10" ht="15.75" x14ac:dyDescent="0.25">
      <c r="A37" s="9"/>
      <c r="B37" s="58" t="s">
        <v>1602</v>
      </c>
      <c r="C37" s="58"/>
      <c r="D37" s="58"/>
      <c r="E37" s="9"/>
      <c r="F37" s="9"/>
      <c r="G37" s="9"/>
      <c r="H37" s="9"/>
      <c r="I37" s="53">
        <f>+'BS MARCH 31'!W272</f>
        <v>3018767</v>
      </c>
      <c r="J37" s="457"/>
    </row>
    <row r="38" spans="1:10" ht="15.75" x14ac:dyDescent="0.25">
      <c r="A38" s="9"/>
      <c r="B38" s="58" t="s">
        <v>1603</v>
      </c>
      <c r="C38" s="58"/>
      <c r="D38" s="58"/>
      <c r="E38" s="9"/>
      <c r="F38" s="9"/>
      <c r="G38" s="9"/>
      <c r="H38" s="9"/>
      <c r="I38" s="53">
        <f>+'BS MARCH 31'!W273</f>
        <v>8067466.6100000003</v>
      </c>
      <c r="J38" s="457"/>
    </row>
    <row r="39" spans="1:10" ht="15.75" x14ac:dyDescent="0.25">
      <c r="A39" s="9"/>
      <c r="B39" s="58" t="s">
        <v>1604</v>
      </c>
      <c r="C39" s="58"/>
      <c r="D39" s="58"/>
      <c r="E39" s="9"/>
      <c r="F39" s="9"/>
      <c r="G39" s="9"/>
      <c r="H39" s="9"/>
      <c r="I39" s="53">
        <f>+'BS MARCH 31'!W274</f>
        <v>1483227</v>
      </c>
      <c r="J39" s="457"/>
    </row>
    <row r="40" spans="1:10" ht="15.75" x14ac:dyDescent="0.2">
      <c r="A40" s="9"/>
      <c r="B40" s="58" t="s">
        <v>1605</v>
      </c>
      <c r="C40" s="58"/>
      <c r="D40" s="58"/>
      <c r="E40" s="9"/>
      <c r="F40" s="9"/>
      <c r="G40" s="9"/>
      <c r="H40" s="9"/>
      <c r="I40" s="53">
        <f>+'BS MARCH 31'!W275</f>
        <v>4999495.21</v>
      </c>
      <c r="J40" s="504"/>
    </row>
    <row r="41" spans="1:10" ht="15.75" x14ac:dyDescent="0.2">
      <c r="A41" s="9"/>
      <c r="B41" s="58" t="s">
        <v>1606</v>
      </c>
      <c r="C41" s="58"/>
      <c r="D41" s="58"/>
      <c r="E41" s="9"/>
      <c r="F41" s="9"/>
      <c r="G41" s="9"/>
      <c r="H41" s="9"/>
      <c r="I41" s="53">
        <f>+'BS MARCH 31'!W276</f>
        <v>2146011</v>
      </c>
      <c r="J41" s="504"/>
    </row>
    <row r="42" spans="1:10" ht="15.75" x14ac:dyDescent="0.2">
      <c r="A42" s="9"/>
      <c r="B42" s="58" t="s">
        <v>1607</v>
      </c>
      <c r="C42" s="58"/>
      <c r="D42" s="58"/>
      <c r="E42" s="9"/>
      <c r="F42" s="9"/>
      <c r="G42" s="9"/>
      <c r="H42" s="9"/>
      <c r="I42" s="53">
        <f>+'BS MARCH 31'!W277</f>
        <v>-644705.51</v>
      </c>
      <c r="J42" s="504"/>
    </row>
    <row r="43" spans="1:10" ht="15.75" x14ac:dyDescent="0.25">
      <c r="A43" s="9"/>
      <c r="B43" s="58" t="s">
        <v>1608</v>
      </c>
      <c r="C43" s="58"/>
      <c r="D43" s="58"/>
      <c r="E43" s="9"/>
      <c r="F43" s="9"/>
      <c r="G43" s="9"/>
      <c r="H43" s="9"/>
      <c r="I43" s="53">
        <f>+'BS MARCH 31'!W278</f>
        <v>1907595</v>
      </c>
      <c r="J43" s="457"/>
    </row>
    <row r="44" spans="1:10" ht="15.75" x14ac:dyDescent="0.25">
      <c r="A44" s="9"/>
      <c r="B44" s="58" t="s">
        <v>1609</v>
      </c>
      <c r="C44" s="58"/>
      <c r="D44" s="58"/>
      <c r="E44" s="9"/>
      <c r="F44" s="9"/>
      <c r="G44" s="9"/>
      <c r="H44" s="9"/>
      <c r="I44" s="53">
        <f>+'BS MARCH 31'!W279</f>
        <v>-573103.56000000006</v>
      </c>
      <c r="J44" s="505"/>
    </row>
    <row r="45" spans="1:10" ht="15.75" x14ac:dyDescent="0.25">
      <c r="A45" s="9"/>
      <c r="B45" s="58" t="s">
        <v>1610</v>
      </c>
      <c r="C45" s="58"/>
      <c r="D45" s="58"/>
      <c r="E45" s="9"/>
      <c r="F45" s="9"/>
      <c r="G45" s="9"/>
      <c r="H45" s="9"/>
      <c r="I45" s="53">
        <f>+'BS MARCH 31'!W280</f>
        <v>7916666.9400000004</v>
      </c>
      <c r="J45" s="457"/>
    </row>
    <row r="46" spans="1:10" ht="15.75" x14ac:dyDescent="0.25">
      <c r="A46" s="9"/>
      <c r="B46" s="58" t="s">
        <v>1611</v>
      </c>
      <c r="C46" s="58"/>
      <c r="D46" s="58"/>
      <c r="E46" s="9"/>
      <c r="F46" s="9"/>
      <c r="G46" s="9"/>
      <c r="H46" s="9"/>
      <c r="I46" s="53">
        <f>+'BS MARCH 31'!W281</f>
        <v>8882471.7699999996</v>
      </c>
      <c r="J46" s="457"/>
    </row>
    <row r="47" spans="1:10" ht="15.75" x14ac:dyDescent="0.25">
      <c r="A47" s="9"/>
      <c r="B47" s="58" t="s">
        <v>1612</v>
      </c>
      <c r="C47" s="58"/>
      <c r="D47" s="58"/>
      <c r="E47" s="9"/>
      <c r="F47" s="9"/>
      <c r="G47" s="9"/>
      <c r="H47" s="9"/>
      <c r="I47" s="53">
        <f>+'BS MARCH 31'!W282</f>
        <v>534840</v>
      </c>
      <c r="J47" s="457"/>
    </row>
    <row r="48" spans="1:10" ht="15.75" x14ac:dyDescent="0.25">
      <c r="A48" s="9"/>
      <c r="B48" s="58" t="s">
        <v>1613</v>
      </c>
      <c r="C48" s="58"/>
      <c r="D48" s="58"/>
      <c r="E48" s="9"/>
      <c r="F48" s="9"/>
      <c r="G48" s="9"/>
      <c r="H48" s="9"/>
      <c r="I48" s="53">
        <f>+'BS MARCH 31'!W283</f>
        <v>2702394.97</v>
      </c>
      <c r="J48" s="457"/>
    </row>
    <row r="49" spans="1:12" ht="15.75" x14ac:dyDescent="0.2">
      <c r="A49" s="9"/>
      <c r="B49" s="58" t="s">
        <v>1614</v>
      </c>
      <c r="C49" s="58"/>
      <c r="D49" s="58"/>
      <c r="E49" s="9"/>
      <c r="F49" s="9"/>
      <c r="G49" s="9"/>
      <c r="H49" s="9"/>
      <c r="I49" s="53">
        <f>+'BS MARCH 31'!W284</f>
        <v>2025870</v>
      </c>
      <c r="J49" s="508"/>
    </row>
    <row r="50" spans="1:12" ht="15.75" x14ac:dyDescent="0.2">
      <c r="A50" s="9"/>
      <c r="B50" s="58" t="s">
        <v>1615</v>
      </c>
      <c r="C50" s="58"/>
      <c r="D50" s="58"/>
      <c r="E50" s="9"/>
      <c r="F50" s="9"/>
      <c r="G50" s="9"/>
      <c r="H50" s="9"/>
      <c r="I50" s="53">
        <f>+'BS MARCH 31'!W285</f>
        <v>-458685.94</v>
      </c>
      <c r="J50" s="458"/>
    </row>
    <row r="51" spans="1:12" ht="15.75" x14ac:dyDescent="0.25">
      <c r="A51" s="9"/>
      <c r="B51" s="58" t="s">
        <v>1616</v>
      </c>
      <c r="C51" s="58"/>
      <c r="D51" s="58"/>
      <c r="E51" s="9"/>
      <c r="F51" s="9"/>
      <c r="G51" s="9"/>
      <c r="H51" s="9"/>
      <c r="I51" s="53">
        <f>+'BS MARCH 31'!W286</f>
        <v>24728190.48</v>
      </c>
      <c r="J51" s="506"/>
    </row>
    <row r="52" spans="1:12" ht="15.75" x14ac:dyDescent="0.25">
      <c r="A52" s="9"/>
      <c r="B52" s="58" t="s">
        <v>1617</v>
      </c>
      <c r="C52" s="58"/>
      <c r="D52" s="58"/>
      <c r="E52" s="9"/>
      <c r="F52" s="9"/>
      <c r="G52" s="9"/>
      <c r="H52" s="9"/>
      <c r="I52" s="53">
        <f>+'BS MARCH 31'!W287</f>
        <v>-2574759.83</v>
      </c>
      <c r="J52" s="506"/>
    </row>
    <row r="53" spans="1:12" ht="15.75" x14ac:dyDescent="0.25">
      <c r="A53" s="9"/>
      <c r="B53" s="58" t="s">
        <v>1618</v>
      </c>
      <c r="C53" s="58"/>
      <c r="D53" s="58"/>
      <c r="E53" s="9"/>
      <c r="F53" s="9"/>
      <c r="G53" s="9"/>
      <c r="H53" s="9"/>
      <c r="I53" s="53">
        <f>+'BS MARCH 31'!W288</f>
        <v>7465797</v>
      </c>
      <c r="J53" s="506"/>
    </row>
    <row r="54" spans="1:12" ht="15.75" x14ac:dyDescent="0.25">
      <c r="A54" s="9"/>
      <c r="B54" s="58" t="s">
        <v>1619</v>
      </c>
      <c r="C54" s="58"/>
      <c r="D54" s="58"/>
      <c r="E54" s="9"/>
      <c r="F54" s="9"/>
      <c r="G54" s="9"/>
      <c r="H54" s="9"/>
      <c r="I54" s="53">
        <f>+'BS MARCH 31'!W289</f>
        <v>-142352.51</v>
      </c>
      <c r="J54" s="457"/>
      <c r="L54" s="10"/>
    </row>
    <row r="55" spans="1:12" ht="12.75" customHeight="1" x14ac:dyDescent="0.2">
      <c r="A55" s="9"/>
      <c r="B55" s="58" t="s">
        <v>1620</v>
      </c>
      <c r="C55" s="58"/>
      <c r="D55" s="58"/>
      <c r="E55" s="9"/>
      <c r="F55" s="9"/>
      <c r="G55" s="9"/>
      <c r="H55" s="9"/>
      <c r="I55" s="53">
        <f>+'BS MARCH 31'!W290</f>
        <v>-142637.07</v>
      </c>
      <c r="J55" s="507"/>
    </row>
    <row r="56" spans="1:12" ht="12.75" customHeight="1" thickBot="1" x14ac:dyDescent="0.25">
      <c r="A56" s="9"/>
      <c r="B56" s="9"/>
      <c r="C56" s="9"/>
      <c r="D56" s="9"/>
      <c r="E56" s="9"/>
      <c r="F56" s="9"/>
      <c r="G56" s="9"/>
      <c r="H56" s="9"/>
      <c r="I56" s="541">
        <f>SUM(I33:I55)</f>
        <v>99377649.870000005</v>
      </c>
      <c r="J56" s="507"/>
    </row>
    <row r="57" spans="1:12" ht="12.75" customHeight="1" thickTop="1" x14ac:dyDescent="0.2">
      <c r="A57" s="9"/>
      <c r="B57" s="9"/>
      <c r="C57" s="9"/>
      <c r="D57" s="9"/>
      <c r="E57" s="9"/>
      <c r="F57" s="9"/>
      <c r="G57" s="9"/>
      <c r="H57" s="9"/>
      <c r="I57" s="9"/>
      <c r="J57" s="507"/>
    </row>
    <row r="58" spans="1:12" ht="12.75" customHeight="1" x14ac:dyDescent="0.25">
      <c r="A58" s="30">
        <v>14</v>
      </c>
      <c r="B58" s="265" t="s">
        <v>62</v>
      </c>
      <c r="C58" s="290"/>
      <c r="D58" s="60"/>
      <c r="E58" s="110"/>
      <c r="F58" s="110"/>
      <c r="G58" s="110"/>
      <c r="H58" s="110"/>
      <c r="I58" s="421"/>
      <c r="J58" s="39"/>
    </row>
    <row r="59" spans="1:12" ht="12.75" customHeight="1" x14ac:dyDescent="0.25">
      <c r="A59" s="18"/>
      <c r="B59" s="1" t="s">
        <v>632</v>
      </c>
      <c r="C59" s="25"/>
      <c r="E59" s="29"/>
      <c r="F59" s="29"/>
      <c r="G59" s="29"/>
      <c r="H59" s="29"/>
      <c r="I59" s="66">
        <f>+'BS MARCH 31'!Y218+'BS MARCH 31'!Y219</f>
        <v>53306016.979999997</v>
      </c>
      <c r="J59" s="39"/>
    </row>
    <row r="60" spans="1:12" ht="12.75" customHeight="1" x14ac:dyDescent="0.25">
      <c r="A60" s="18"/>
      <c r="B60" s="1" t="s">
        <v>633</v>
      </c>
      <c r="C60" s="25"/>
      <c r="E60" s="29"/>
      <c r="F60" s="29"/>
      <c r="G60" s="39" t="str">
        <f>"(Note "&amp;B65&amp;")"</f>
        <v>(Note 14.1)</v>
      </c>
      <c r="H60" s="29"/>
      <c r="I60" s="66">
        <f>+I70</f>
        <v>272000</v>
      </c>
      <c r="J60" s="39"/>
    </row>
    <row r="61" spans="1:12" ht="12.75" customHeight="1" x14ac:dyDescent="0.25">
      <c r="A61" s="18"/>
      <c r="B61" s="1" t="s">
        <v>761</v>
      </c>
      <c r="C61" s="25"/>
      <c r="E61" s="29"/>
      <c r="F61" s="29"/>
      <c r="G61" s="29"/>
      <c r="H61" s="29"/>
      <c r="I61" s="66">
        <f>+'BS MARCH 31'!Y239+'BS MARCH 31'!Y259+'BS MARCH 31'!Y260+'BS MARCH 31'!Y261+'BS MARCH 31'!Y262+'BS MARCH 31'!Y263+'BS MARCH 31'!Y246</f>
        <v>1051240</v>
      </c>
      <c r="J61" s="39"/>
    </row>
    <row r="62" spans="1:12" ht="12.75" customHeight="1" x14ac:dyDescent="0.25">
      <c r="A62" s="18"/>
      <c r="B62" s="1" t="s">
        <v>762</v>
      </c>
      <c r="C62" s="25"/>
      <c r="E62" s="29"/>
      <c r="F62" s="29"/>
      <c r="G62" s="39" t="str">
        <f>"(Note "&amp;B72&amp;")"</f>
        <v>(Note 14.2)</v>
      </c>
      <c r="H62" s="29"/>
      <c r="I62" s="66">
        <f>+I83</f>
        <v>31258719.440000005</v>
      </c>
      <c r="J62" s="115"/>
    </row>
    <row r="63" spans="1:12" ht="12.75" customHeight="1" thickBot="1" x14ac:dyDescent="0.3">
      <c r="A63" s="18"/>
      <c r="B63" s="1"/>
      <c r="C63" s="25"/>
      <c r="E63" s="29"/>
      <c r="F63" s="29"/>
      <c r="G63" s="29"/>
      <c r="H63" s="29"/>
      <c r="I63" s="99">
        <f>SUM(I59:I62)</f>
        <v>85887976.420000002</v>
      </c>
      <c r="J63" s="39"/>
      <c r="K63" s="10">
        <f>+I63-'BS MARCH 31'!Y302</f>
        <v>0</v>
      </c>
    </row>
    <row r="64" spans="1:12" ht="12.75" customHeight="1" thickTop="1" x14ac:dyDescent="0.25">
      <c r="A64" s="3"/>
      <c r="C64" s="25"/>
      <c r="E64" s="29"/>
      <c r="F64" s="29"/>
      <c r="G64" s="29"/>
      <c r="H64" s="29"/>
      <c r="I64" s="39"/>
      <c r="J64" s="39"/>
    </row>
    <row r="65" spans="1:10" ht="12.75" customHeight="1" x14ac:dyDescent="0.2">
      <c r="B65" s="30">
        <f>A58+0.1</f>
        <v>14.1</v>
      </c>
      <c r="C65" s="4" t="s">
        <v>633</v>
      </c>
      <c r="E65" s="29"/>
      <c r="F65" s="29"/>
      <c r="G65" s="29"/>
      <c r="H65" s="29"/>
      <c r="I65" s="66"/>
      <c r="J65" s="39"/>
    </row>
    <row r="66" spans="1:10" ht="12.75" customHeight="1" x14ac:dyDescent="0.2">
      <c r="B66" s="18"/>
      <c r="C66" s="3" t="s">
        <v>508</v>
      </c>
      <c r="E66" s="29"/>
      <c r="F66" s="29"/>
      <c r="G66" s="29"/>
      <c r="H66" s="29"/>
      <c r="I66" s="66"/>
      <c r="J66" s="39"/>
    </row>
    <row r="67" spans="1:10" ht="12.75" customHeight="1" x14ac:dyDescent="0.2">
      <c r="B67" s="18"/>
      <c r="C67" s="3" t="s">
        <v>634</v>
      </c>
      <c r="E67" s="29"/>
      <c r="F67" s="29"/>
      <c r="G67" s="29"/>
      <c r="H67" s="29"/>
      <c r="I67" s="66"/>
      <c r="J67" s="39"/>
    </row>
    <row r="68" spans="1:10" ht="12.75" customHeight="1" x14ac:dyDescent="0.2">
      <c r="B68" s="18"/>
      <c r="C68" s="58" t="s">
        <v>619</v>
      </c>
      <c r="E68" s="29"/>
      <c r="F68" s="29"/>
      <c r="G68" s="29"/>
      <c r="H68" s="29"/>
      <c r="I68" s="66"/>
      <c r="J68" s="39"/>
    </row>
    <row r="69" spans="1:10" ht="12.75" customHeight="1" x14ac:dyDescent="0.2">
      <c r="B69" s="18"/>
      <c r="C69" s="3" t="s">
        <v>1498</v>
      </c>
      <c r="E69" s="29"/>
      <c r="F69" s="29"/>
      <c r="G69" s="29"/>
      <c r="H69" s="29"/>
      <c r="I69" s="66">
        <f>+'BS MARCH 31'!Y237</f>
        <v>272000</v>
      </c>
      <c r="J69" s="39"/>
    </row>
    <row r="70" spans="1:10" ht="12.75" customHeight="1" thickBot="1" x14ac:dyDescent="0.3">
      <c r="A70" s="18"/>
      <c r="C70" s="25"/>
      <c r="E70" s="29"/>
      <c r="F70" s="29"/>
      <c r="G70" s="29"/>
      <c r="H70" s="29"/>
      <c r="I70" s="99">
        <f>SUM(I66:I69)</f>
        <v>272000</v>
      </c>
      <c r="J70" s="39"/>
    </row>
    <row r="71" spans="1:10" ht="12.75" customHeight="1" thickTop="1" x14ac:dyDescent="0.25">
      <c r="A71" s="18"/>
      <c r="C71" s="25"/>
      <c r="E71" s="29"/>
      <c r="F71" s="29"/>
      <c r="G71" s="29"/>
      <c r="H71" s="29"/>
      <c r="I71" s="286"/>
      <c r="J71" s="39"/>
    </row>
    <row r="72" spans="1:10" ht="12.75" customHeight="1" x14ac:dyDescent="0.2">
      <c r="B72" s="30">
        <f>B65+0.1</f>
        <v>14.2</v>
      </c>
      <c r="C72" s="2" t="s">
        <v>762</v>
      </c>
      <c r="E72" s="29"/>
      <c r="F72" s="29"/>
      <c r="G72" s="29"/>
      <c r="H72" s="29"/>
      <c r="I72" s="286"/>
      <c r="J72" s="39"/>
    </row>
    <row r="73" spans="1:10" ht="12.75" customHeight="1" x14ac:dyDescent="0.2">
      <c r="B73" s="18"/>
      <c r="C73" s="18" t="s">
        <v>615</v>
      </c>
      <c r="E73" s="29"/>
      <c r="F73" s="29"/>
      <c r="G73" s="29"/>
      <c r="H73" s="29"/>
      <c r="I73" s="66">
        <f>+'BS MARCH 31'!Y231</f>
        <v>85071.3</v>
      </c>
      <c r="J73" s="39"/>
    </row>
    <row r="74" spans="1:10" ht="12.75" customHeight="1" x14ac:dyDescent="0.2">
      <c r="B74" s="18"/>
      <c r="C74" s="18" t="s">
        <v>616</v>
      </c>
      <c r="E74" s="29"/>
      <c r="F74" s="29"/>
      <c r="G74" s="29"/>
      <c r="H74" s="29"/>
      <c r="I74" s="66">
        <f>+'BS MARCH 31'!Y232</f>
        <v>47803.34</v>
      </c>
      <c r="J74" s="39"/>
    </row>
    <row r="75" spans="1:10" ht="12.75" customHeight="1" x14ac:dyDescent="0.2">
      <c r="B75" s="18"/>
      <c r="C75" s="3" t="s">
        <v>85</v>
      </c>
      <c r="E75" s="29"/>
      <c r="F75" s="29"/>
      <c r="G75" s="29"/>
      <c r="H75" s="29"/>
      <c r="I75" s="66">
        <f>+'BS MARCH 31'!Y230</f>
        <v>30215030.09</v>
      </c>
      <c r="J75" s="39"/>
    </row>
    <row r="76" spans="1:10" ht="12.75" customHeight="1" x14ac:dyDescent="0.2">
      <c r="B76" s="18"/>
      <c r="C76" s="3" t="s">
        <v>1622</v>
      </c>
      <c r="E76" s="29"/>
      <c r="F76" s="29"/>
      <c r="G76" s="29"/>
      <c r="H76" s="29"/>
      <c r="I76" s="66">
        <f>+'BS MARCH 31'!Y240</f>
        <v>-301000</v>
      </c>
      <c r="J76" s="39"/>
    </row>
    <row r="77" spans="1:10" ht="12.75" customHeight="1" x14ac:dyDescent="0.2">
      <c r="B77" s="18"/>
      <c r="C77" s="3" t="s">
        <v>41</v>
      </c>
      <c r="E77" s="29"/>
      <c r="F77" s="29"/>
      <c r="G77" s="29"/>
      <c r="H77" s="29"/>
      <c r="I77" s="66">
        <f>+'BS MARCH 31'!Y241</f>
        <v>600892.18999999994</v>
      </c>
      <c r="J77" s="39"/>
    </row>
    <row r="78" spans="1:10" ht="12.75" customHeight="1" x14ac:dyDescent="0.2">
      <c r="B78" s="18"/>
      <c r="C78" s="3" t="s">
        <v>511</v>
      </c>
      <c r="E78" s="29"/>
      <c r="F78" s="29"/>
      <c r="G78" s="29"/>
      <c r="H78" s="29"/>
      <c r="I78" s="66"/>
      <c r="J78" s="39"/>
    </row>
    <row r="79" spans="1:10" ht="12.75" customHeight="1" x14ac:dyDescent="0.2">
      <c r="B79" s="18"/>
      <c r="C79" s="3" t="s">
        <v>22</v>
      </c>
      <c r="E79" s="29"/>
      <c r="F79" s="29"/>
      <c r="G79" s="29"/>
      <c r="H79" s="29"/>
      <c r="I79" s="66">
        <f>+'BS MARCH 31'!Y238</f>
        <v>26670.92</v>
      </c>
      <c r="J79" s="39"/>
    </row>
    <row r="80" spans="1:10" ht="12.75" customHeight="1" x14ac:dyDescent="0.2">
      <c r="B80" s="18"/>
      <c r="C80" s="3" t="s">
        <v>1621</v>
      </c>
      <c r="E80" s="29"/>
      <c r="F80" s="29"/>
      <c r="G80" s="29"/>
      <c r="H80" s="29"/>
      <c r="I80" s="66">
        <f>+'BS MARCH 31'!Y236</f>
        <v>-2500</v>
      </c>
      <c r="J80" s="39"/>
    </row>
    <row r="81" spans="1:10" ht="16.5" customHeight="1" x14ac:dyDescent="0.2">
      <c r="B81" s="18"/>
      <c r="C81" s="3" t="s">
        <v>490</v>
      </c>
      <c r="E81" s="29"/>
      <c r="F81" s="29"/>
      <c r="G81" s="29"/>
      <c r="H81" s="29"/>
      <c r="I81" s="66">
        <f>+'BS MARCH 31'!Y226</f>
        <v>586751.6</v>
      </c>
      <c r="J81" s="39"/>
    </row>
    <row r="82" spans="1:10" ht="12.75" customHeight="1" x14ac:dyDescent="0.2">
      <c r="B82" s="18"/>
      <c r="C82" s="448" t="s">
        <v>1045</v>
      </c>
      <c r="E82" s="29"/>
      <c r="F82" s="29"/>
      <c r="G82" s="29"/>
      <c r="H82" s="29"/>
      <c r="I82" s="66"/>
      <c r="J82" s="39"/>
    </row>
    <row r="83" spans="1:10" ht="12.75" customHeight="1" thickBot="1" x14ac:dyDescent="0.3">
      <c r="A83" s="18"/>
      <c r="C83" s="25"/>
      <c r="E83" s="29"/>
      <c r="F83" s="29"/>
      <c r="G83" s="29"/>
      <c r="H83" s="29"/>
      <c r="I83" s="99">
        <f>SUM(I73:I82)</f>
        <v>31258719.440000005</v>
      </c>
      <c r="J83" s="39"/>
    </row>
    <row r="84" spans="1:10" ht="12.75" customHeight="1" thickTop="1" x14ac:dyDescent="0.25">
      <c r="A84" s="18"/>
      <c r="C84" s="25"/>
      <c r="E84" s="29"/>
      <c r="F84" s="29"/>
      <c r="G84" s="29"/>
      <c r="H84" s="29"/>
      <c r="I84" s="66"/>
      <c r="J84" s="39"/>
    </row>
    <row r="85" spans="1:10" ht="12.75" customHeight="1" x14ac:dyDescent="0.25">
      <c r="A85" s="30">
        <v>15</v>
      </c>
      <c r="B85" s="128" t="s">
        <v>79</v>
      </c>
      <c r="C85" s="290"/>
      <c r="D85" s="60"/>
      <c r="E85" s="110"/>
      <c r="F85" s="110"/>
      <c r="G85" s="110"/>
      <c r="H85" s="110"/>
      <c r="I85" s="289"/>
      <c r="J85" s="39"/>
    </row>
    <row r="86" spans="1:10" ht="12.75" customHeight="1" x14ac:dyDescent="0.25">
      <c r="B86" s="58" t="s">
        <v>318</v>
      </c>
      <c r="C86" s="25"/>
      <c r="E86" s="29"/>
      <c r="F86" s="29"/>
      <c r="G86" s="29"/>
      <c r="H86" s="29"/>
      <c r="I86" s="66">
        <f>+'BS MARCH 31'!Z250+'BS MARCH 31'!Z251+'BS MARCH 31'!Z252</f>
        <v>10431304.060000001</v>
      </c>
      <c r="J86" s="39"/>
    </row>
    <row r="87" spans="1:10" ht="12.75" customHeight="1" x14ac:dyDescent="0.25">
      <c r="A87" s="18"/>
      <c r="B87" s="3" t="s">
        <v>78</v>
      </c>
      <c r="C87" s="25"/>
      <c r="E87" s="29"/>
      <c r="F87" s="29"/>
      <c r="G87" s="29"/>
      <c r="H87" s="29"/>
      <c r="I87" s="66">
        <f>+'BS MARCH 31'!Z255</f>
        <v>1137374.92</v>
      </c>
      <c r="J87" s="39"/>
    </row>
    <row r="88" spans="1:10" ht="12.75" customHeight="1" x14ac:dyDescent="0.25">
      <c r="A88" s="18"/>
      <c r="B88" s="3" t="s">
        <v>1499</v>
      </c>
      <c r="C88" s="25"/>
      <c r="E88" s="29"/>
      <c r="F88" s="29"/>
      <c r="G88" s="29"/>
      <c r="H88" s="29"/>
      <c r="I88" s="66">
        <f>+'BS MARCH 31'!Z254</f>
        <v>96340074.5</v>
      </c>
      <c r="J88" s="39"/>
    </row>
    <row r="89" spans="1:10" ht="12.75" customHeight="1" x14ac:dyDescent="0.25">
      <c r="A89" s="18"/>
      <c r="B89" s="3" t="s">
        <v>1625</v>
      </c>
      <c r="C89" s="25"/>
      <c r="E89" s="29"/>
      <c r="F89" s="29"/>
      <c r="G89" s="29"/>
      <c r="H89" s="29"/>
      <c r="I89" s="66">
        <f>+'BS MARCH 31'!Z256</f>
        <v>107410242.23</v>
      </c>
      <c r="J89" s="39"/>
    </row>
    <row r="90" spans="1:10" ht="12.75" customHeight="1" x14ac:dyDescent="0.25">
      <c r="A90" s="18"/>
      <c r="B90" s="3" t="s">
        <v>781</v>
      </c>
      <c r="C90" s="25"/>
      <c r="E90" s="29"/>
      <c r="F90" s="29"/>
      <c r="G90" s="29"/>
      <c r="H90" s="29"/>
      <c r="I90" s="66">
        <f>+'BS MARCH 31'!Z262</f>
        <v>4609157.72</v>
      </c>
      <c r="J90" s="115"/>
    </row>
    <row r="91" spans="1:10" ht="12.75" customHeight="1" x14ac:dyDescent="0.25">
      <c r="A91" s="18"/>
      <c r="B91" s="3" t="s">
        <v>1623</v>
      </c>
      <c r="C91" s="25"/>
      <c r="E91" s="29"/>
      <c r="F91" s="29"/>
      <c r="G91" s="29"/>
      <c r="H91" s="29"/>
      <c r="I91" s="66">
        <f>+'BS MARCH 31'!Z261</f>
        <v>38608</v>
      </c>
      <c r="J91" s="23"/>
    </row>
    <row r="92" spans="1:10" ht="12.75" customHeight="1" x14ac:dyDescent="0.25">
      <c r="A92" s="18"/>
      <c r="B92" s="3" t="s">
        <v>1624</v>
      </c>
      <c r="C92" s="25"/>
      <c r="E92" s="29"/>
      <c r="F92" s="29"/>
      <c r="G92" s="29"/>
      <c r="H92" s="29"/>
      <c r="I92" s="66">
        <f>+'BS MARCH 31'!Z257</f>
        <v>-3318144.12</v>
      </c>
      <c r="J92" s="23"/>
    </row>
    <row r="93" spans="1:10" ht="12.75" customHeight="1" x14ac:dyDescent="0.25">
      <c r="A93" s="18"/>
      <c r="B93" s="1" t="s">
        <v>518</v>
      </c>
      <c r="C93" s="25"/>
      <c r="E93" s="29"/>
      <c r="F93" s="29"/>
      <c r="G93" s="29"/>
      <c r="H93" s="29"/>
      <c r="I93" s="66">
        <f>+'BS MARCH 31'!Z263</f>
        <v>13352356.07</v>
      </c>
    </row>
    <row r="94" spans="1:10" ht="12.75" customHeight="1" thickBot="1" x14ac:dyDescent="0.3">
      <c r="A94" s="3"/>
      <c r="C94" s="25"/>
      <c r="E94" s="29"/>
      <c r="F94" s="29"/>
      <c r="G94" s="29"/>
      <c r="H94" s="29"/>
      <c r="I94" s="99">
        <f>SUM(I86:I93)</f>
        <v>230000973.38</v>
      </c>
    </row>
    <row r="95" spans="1:10" ht="12.75" customHeight="1" thickTop="1" x14ac:dyDescent="0.2">
      <c r="A95" s="30" t="s">
        <v>48</v>
      </c>
      <c r="J95" s="452"/>
    </row>
    <row r="96" spans="1:10" ht="12.75" customHeight="1" x14ac:dyDescent="0.2">
      <c r="A96" s="30" t="s">
        <v>495</v>
      </c>
      <c r="J96" s="452"/>
    </row>
    <row r="97" spans="10:10" ht="12.75" customHeight="1" x14ac:dyDescent="0.2">
      <c r="J97" s="452"/>
    </row>
    <row r="117" spans="2:9" ht="12.75" customHeight="1" x14ac:dyDescent="0.2">
      <c r="I117" s="29" t="e">
        <f>#REF!+#REF!+#REF!+#REF!+#REF!+#REF!+#REF!</f>
        <v>#REF!</v>
      </c>
    </row>
    <row r="119" spans="2:9" ht="12.75" customHeight="1" x14ac:dyDescent="0.2">
      <c r="I119" s="29" t="e">
        <f>#REF!+#REF!+#REF!+#REF!</f>
        <v>#REF!</v>
      </c>
    </row>
    <row r="121" spans="2:9" ht="12.75" customHeight="1" x14ac:dyDescent="0.2">
      <c r="I121" s="29">
        <v>1292013.7781892971</v>
      </c>
    </row>
    <row r="122" spans="2:9" ht="12.75" customHeight="1" x14ac:dyDescent="0.2">
      <c r="B122" s="3" t="s">
        <v>631</v>
      </c>
      <c r="I122" s="29">
        <v>1526722.0926057058</v>
      </c>
    </row>
    <row r="123" spans="2:9" ht="12.75" customHeight="1" x14ac:dyDescent="0.2">
      <c r="I123" s="29" t="e">
        <f>I119+I121+I122</f>
        <v>#REF!</v>
      </c>
    </row>
    <row r="148" spans="2:2" ht="12.75" customHeight="1" x14ac:dyDescent="0.2">
      <c r="B148" s="3" t="s">
        <v>249</v>
      </c>
    </row>
  </sheetData>
  <mergeCells count="1">
    <mergeCell ref="B13:J15"/>
  </mergeCells>
  <phoneticPr fontId="22" type="noConversion"/>
  <printOptions horizontalCentered="1"/>
  <pageMargins left="0.75" right="0.25" top="0.75" bottom="0.25" header="0.5" footer="0.5"/>
  <pageSetup paperSize="9" scale="62" orientation="portrait" r:id="rId1"/>
  <headerFooter alignWithMargins="0"/>
  <rowBreaks count="1" manualBreakCount="1">
    <brk id="40" max="12" man="1"/>
  </rowBreak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A105"/>
  <sheetViews>
    <sheetView view="pageBreakPreview" zoomScaleSheetLayoutView="100" workbookViewId="0">
      <selection activeCell="L13" sqref="L13"/>
    </sheetView>
  </sheetViews>
  <sheetFormatPr defaultRowHeight="12.75" customHeight="1" x14ac:dyDescent="0.2"/>
  <cols>
    <col min="1" max="1" width="8.7109375" style="18" customWidth="1"/>
    <col min="2" max="2" width="8.5703125" style="3" customWidth="1"/>
    <col min="3" max="3" width="25.5703125" style="3" customWidth="1"/>
    <col min="4" max="4" width="14.28515625" style="71" customWidth="1"/>
    <col min="5" max="5" width="0.85546875" style="71" customWidth="1"/>
    <col min="6" max="6" width="14.5703125" style="3" bestFit="1" customWidth="1"/>
    <col min="7" max="7" width="0.85546875" style="1" customWidth="1"/>
    <col min="8" max="8" width="13.5703125" style="3" bestFit="1" customWidth="1"/>
    <col min="9" max="9" width="0.85546875" style="3" customWidth="1"/>
    <col min="10" max="10" width="1.42578125" style="3" customWidth="1"/>
    <col min="11" max="11" width="12" style="1" bestFit="1" customWidth="1"/>
    <col min="12" max="12" width="9.5703125" style="3" bestFit="1" customWidth="1"/>
    <col min="13" max="14" width="12" style="3" bestFit="1" customWidth="1"/>
    <col min="15" max="15" width="11.140625" style="3" bestFit="1" customWidth="1"/>
    <col min="16" max="23" width="9.140625" style="3"/>
    <col min="24" max="27" width="12" style="3" bestFit="1" customWidth="1"/>
    <col min="28" max="16384" width="9.140625" style="3"/>
  </cols>
  <sheetData>
    <row r="1" spans="1:11" ht="12.75" customHeight="1" x14ac:dyDescent="0.2">
      <c r="D1" s="10"/>
      <c r="E1" s="3"/>
      <c r="G1" s="3"/>
      <c r="H1" s="260" t="s">
        <v>1630</v>
      </c>
      <c r="I1" s="260"/>
    </row>
    <row r="2" spans="1:11" ht="12.75" customHeight="1" x14ac:dyDescent="0.2">
      <c r="A2" s="30" t="s">
        <v>7</v>
      </c>
      <c r="D2" s="10"/>
      <c r="E2" s="10"/>
      <c r="F2" s="10"/>
      <c r="G2" s="10"/>
      <c r="H2" s="343" t="s">
        <v>72</v>
      </c>
      <c r="I2" s="29"/>
    </row>
    <row r="3" spans="1:11" ht="12.75" customHeight="1" x14ac:dyDescent="0.2">
      <c r="A3" s="265"/>
      <c r="B3" s="60"/>
      <c r="C3" s="60"/>
      <c r="D3" s="59"/>
      <c r="E3" s="59"/>
      <c r="F3" s="59"/>
      <c r="G3" s="59"/>
      <c r="H3" s="110"/>
      <c r="I3" s="110"/>
    </row>
    <row r="4" spans="1:11" s="1" customFormat="1" ht="12.75" customHeight="1" x14ac:dyDescent="0.2">
      <c r="A4" s="52" t="s">
        <v>854</v>
      </c>
      <c r="D4" s="15"/>
      <c r="H4" s="261"/>
      <c r="I4" s="105"/>
    </row>
    <row r="5" spans="1:11" x14ac:dyDescent="0.2">
      <c r="A5" s="63"/>
      <c r="B5" s="28"/>
      <c r="C5" s="28"/>
      <c r="D5" s="13"/>
      <c r="E5" s="268"/>
      <c r="F5" s="268"/>
      <c r="G5" s="268"/>
      <c r="H5" s="28"/>
      <c r="I5" s="28"/>
    </row>
    <row r="6" spans="1:11" ht="12.75" customHeight="1" x14ac:dyDescent="0.25">
      <c r="A6" s="127"/>
      <c r="B6" s="339"/>
      <c r="C6" s="339"/>
      <c r="D6" s="339"/>
      <c r="E6" s="339"/>
      <c r="F6" s="339"/>
      <c r="G6" s="339"/>
      <c r="H6" s="339"/>
      <c r="I6" s="339"/>
    </row>
    <row r="7" spans="1:11" ht="12.75" customHeight="1" x14ac:dyDescent="0.2">
      <c r="A7" s="30">
        <v>6</v>
      </c>
      <c r="B7" s="128" t="s">
        <v>29</v>
      </c>
      <c r="C7" s="128"/>
      <c r="D7" s="123"/>
      <c r="E7" s="123"/>
      <c r="F7" s="134"/>
      <c r="G7" s="134"/>
      <c r="H7" s="134"/>
      <c r="I7" s="134"/>
    </row>
    <row r="8" spans="1:11" ht="12.75" customHeight="1" x14ac:dyDescent="0.2">
      <c r="B8" s="1" t="s">
        <v>33</v>
      </c>
      <c r="C8" s="1"/>
      <c r="D8" s="72"/>
      <c r="E8" s="72"/>
      <c r="F8" s="15"/>
      <c r="G8" s="14"/>
      <c r="H8" s="29">
        <f>+'BS MARCH 31'!O51+'BS MARCH 31'!O52</f>
        <v>-4934522.3099999996</v>
      </c>
      <c r="J8" s="23"/>
      <c r="K8" s="24"/>
    </row>
    <row r="9" spans="1:11" ht="12.75" customHeight="1" x14ac:dyDescent="0.2">
      <c r="B9" s="1" t="s">
        <v>512</v>
      </c>
      <c r="C9" s="1"/>
      <c r="D9" s="72"/>
      <c r="E9" s="72"/>
      <c r="F9" s="15"/>
      <c r="G9" s="14"/>
      <c r="H9" s="29">
        <f>+'BS MARCH 31'!O53</f>
        <v>3645959.18</v>
      </c>
      <c r="J9" s="23"/>
      <c r="K9" s="24"/>
    </row>
    <row r="10" spans="1:11" ht="12.75" customHeight="1" x14ac:dyDescent="0.2">
      <c r="B10" s="1" t="s">
        <v>310</v>
      </c>
      <c r="C10" s="1"/>
      <c r="D10" s="72"/>
      <c r="E10" s="72"/>
      <c r="F10" s="15"/>
      <c r="G10" s="14"/>
      <c r="H10" s="29">
        <f>+'BS MARCH 31'!O54</f>
        <v>1563295.6</v>
      </c>
      <c r="J10" s="23"/>
      <c r="K10" s="24"/>
    </row>
    <row r="11" spans="1:11" ht="12.75" customHeight="1" x14ac:dyDescent="0.2">
      <c r="B11" s="1" t="s">
        <v>1587</v>
      </c>
      <c r="C11" s="1"/>
      <c r="D11" s="72"/>
      <c r="E11" s="72"/>
      <c r="F11" s="15"/>
      <c r="G11" s="14"/>
      <c r="H11" s="29">
        <f>+'BS MARCH 31'!O55</f>
        <v>2200</v>
      </c>
      <c r="J11" s="23"/>
      <c r="K11" s="24"/>
    </row>
    <row r="12" spans="1:11" ht="12.75" customHeight="1" x14ac:dyDescent="0.2">
      <c r="B12" s="1" t="s">
        <v>1588</v>
      </c>
      <c r="C12" s="1"/>
      <c r="D12" s="72"/>
      <c r="E12" s="72"/>
      <c r="F12" s="15"/>
      <c r="G12" s="14"/>
      <c r="H12" s="29">
        <f>+'BS MARCH 31'!O56</f>
        <v>3560155.11</v>
      </c>
      <c r="J12" s="23"/>
      <c r="K12" s="24"/>
    </row>
    <row r="13" spans="1:11" ht="12.75" customHeight="1" thickBot="1" x14ac:dyDescent="0.25">
      <c r="B13" s="2"/>
      <c r="C13" s="2"/>
      <c r="D13" s="73"/>
      <c r="E13" s="73"/>
      <c r="F13" s="14"/>
      <c r="G13" s="14"/>
      <c r="H13" s="42">
        <f>SUM(H8:H12)</f>
        <v>3837087.5800000005</v>
      </c>
      <c r="J13" s="23"/>
      <c r="K13" s="23"/>
    </row>
    <row r="14" spans="1:11" ht="13.5" thickTop="1" x14ac:dyDescent="0.2">
      <c r="B14" s="2"/>
      <c r="C14" s="2"/>
      <c r="D14" s="73"/>
      <c r="E14" s="73"/>
      <c r="F14" s="15"/>
      <c r="G14" s="14"/>
      <c r="H14" s="33"/>
      <c r="I14" s="23"/>
    </row>
    <row r="15" spans="1:11" ht="12.75" customHeight="1" x14ac:dyDescent="0.2">
      <c r="A15" s="30">
        <v>7</v>
      </c>
      <c r="B15" s="128" t="s">
        <v>17</v>
      </c>
      <c r="C15" s="128"/>
      <c r="D15" s="123"/>
      <c r="E15" s="123"/>
      <c r="F15" s="59"/>
      <c r="G15" s="134"/>
      <c r="H15" s="125"/>
      <c r="I15" s="115"/>
    </row>
    <row r="16" spans="1:11" ht="12.75" customHeight="1" x14ac:dyDescent="0.2">
      <c r="B16" s="1" t="s">
        <v>18</v>
      </c>
      <c r="C16" s="1"/>
      <c r="D16" s="72"/>
      <c r="E16" s="72"/>
      <c r="F16" s="15"/>
      <c r="G16" s="14"/>
      <c r="H16" s="29">
        <f>+'BS MARCH 31'!P45+'BS MARCH 31'!P48</f>
        <v>43589427.369999997</v>
      </c>
      <c r="I16" s="23"/>
    </row>
    <row r="17" spans="1:11" ht="12.75" customHeight="1" x14ac:dyDescent="0.2">
      <c r="B17" s="1" t="s">
        <v>507</v>
      </c>
      <c r="C17" s="1"/>
      <c r="D17" s="72"/>
      <c r="E17" s="72"/>
      <c r="F17" s="14" t="s">
        <v>1490</v>
      </c>
      <c r="G17" s="14"/>
      <c r="H17" s="10">
        <f>+'BS MARCH 31'!P58+'BS MARCH 31'!P59+'BS MARCH 31'!P60+'BS MARCH 31'!P61+'BS MARCH 31'!P62+'BS MARCH 31'!P63+'BS MARCH 31'!P64+'BS MARCH 31'!P65+'BS MARCH 31'!P69+'BS MARCH 31'!P70+'BS MARCH 31'!P72+'BS MARCH 31'!P73+'BS MARCH 31'!P75+'BS MARCH 31'!P76+'BS MARCH 31'!P77+'BS MARCH 31'!P79+'BS MARCH 31'!P80+'BS MARCH 31'!P81+'BS MARCH 31'!P82+'BS MARCH 31'!P83+'BS MARCH 31'!P84+'BS MARCH 31'!P85+'BS MARCH 31'!P86+'BS MARCH 31'!P87+'BS MARCH 31'!P108+'BS MARCH 31'!P109+'BS MARCH 31'!P95</f>
        <v>9302035.4399999995</v>
      </c>
      <c r="I17" s="23"/>
    </row>
    <row r="18" spans="1:11" ht="12.75" customHeight="1" x14ac:dyDescent="0.2">
      <c r="B18" s="1" t="s">
        <v>786</v>
      </c>
      <c r="C18" s="1"/>
      <c r="D18" s="72"/>
      <c r="E18" s="72"/>
      <c r="F18" s="14" t="s">
        <v>1491</v>
      </c>
      <c r="G18" s="14"/>
      <c r="H18" s="7">
        <f>+'BS MARCH 31'!P89+'BS MARCH 31'!P90</f>
        <v>2407388.9900000002</v>
      </c>
    </row>
    <row r="19" spans="1:11" ht="12.75" customHeight="1" x14ac:dyDescent="0.2">
      <c r="B19" s="1" t="s">
        <v>306</v>
      </c>
      <c r="C19" s="1"/>
      <c r="D19" s="72"/>
      <c r="E19" s="72"/>
      <c r="F19" s="14" t="s">
        <v>1492</v>
      </c>
      <c r="G19" s="14"/>
      <c r="H19" s="29">
        <f>+'BS MARCH 31'!P92+'BS MARCH 31'!P93+'BS MARCH 31'!P94</f>
        <v>1141701.31</v>
      </c>
      <c r="I19" s="23"/>
    </row>
    <row r="20" spans="1:11" ht="12.75" customHeight="1" thickBot="1" x14ac:dyDescent="0.25">
      <c r="B20" s="1"/>
      <c r="C20" s="1"/>
      <c r="D20" s="72"/>
      <c r="E20" s="72"/>
      <c r="F20" s="14"/>
      <c r="G20" s="14"/>
      <c r="H20" s="42">
        <f>SUM(H16:H19)</f>
        <v>56440553.109999999</v>
      </c>
      <c r="I20" s="23"/>
    </row>
    <row r="21" spans="1:11" ht="12.75" customHeight="1" thickTop="1" x14ac:dyDescent="0.2">
      <c r="B21" s="1"/>
      <c r="C21" s="1"/>
      <c r="D21" s="72"/>
      <c r="E21" s="72"/>
      <c r="F21" s="14"/>
      <c r="G21" s="14"/>
      <c r="H21" s="29"/>
      <c r="I21" s="23"/>
    </row>
    <row r="22" spans="1:11" ht="12.75" customHeight="1" x14ac:dyDescent="0.2">
      <c r="A22" s="63"/>
      <c r="B22" s="28"/>
      <c r="C22" s="28"/>
      <c r="D22" s="13"/>
      <c r="E22" s="268"/>
      <c r="F22" s="268"/>
      <c r="G22" s="268"/>
      <c r="H22" s="28"/>
      <c r="I22" s="28"/>
    </row>
    <row r="23" spans="1:11" ht="12.75" customHeight="1" x14ac:dyDescent="0.2">
      <c r="B23" s="1"/>
      <c r="C23" s="1"/>
      <c r="D23" s="72"/>
      <c r="E23" s="72"/>
      <c r="F23" s="14"/>
      <c r="G23" s="14"/>
      <c r="H23" s="29"/>
      <c r="I23" s="23"/>
    </row>
    <row r="24" spans="1:11" ht="12.75" customHeight="1" x14ac:dyDescent="0.2">
      <c r="A24" s="30">
        <f>A15</f>
        <v>7</v>
      </c>
      <c r="B24" s="2" t="s">
        <v>788</v>
      </c>
      <c r="C24" s="2"/>
      <c r="D24" s="72"/>
      <c r="E24" s="72"/>
      <c r="F24" s="14"/>
      <c r="G24" s="14"/>
      <c r="H24" s="29"/>
      <c r="I24" s="23"/>
    </row>
    <row r="25" spans="1:11" ht="12.75" customHeight="1" x14ac:dyDescent="0.2">
      <c r="B25" s="30">
        <f>+A15+0.1</f>
        <v>7.1</v>
      </c>
      <c r="C25" s="2" t="s">
        <v>507</v>
      </c>
      <c r="E25" s="72"/>
      <c r="F25" s="14"/>
      <c r="G25" s="14"/>
      <c r="H25" s="29"/>
      <c r="I25" s="23"/>
    </row>
    <row r="26" spans="1:11" ht="12.75" customHeight="1" x14ac:dyDescent="0.2">
      <c r="C26" s="1" t="s">
        <v>19</v>
      </c>
      <c r="E26" s="72"/>
      <c r="F26" s="15"/>
      <c r="G26" s="14"/>
      <c r="H26" s="29">
        <f>+'BS MARCH 31'!P60+'BS MARCH 31'!P61+'BS MARCH 31'!P62+'BS MARCH 31'!P63+'BS MARCH 31'!P64+'BS MARCH 31'!P65+'BS MARCH 31'!P73</f>
        <v>3176058.99</v>
      </c>
      <c r="J26" s="23"/>
      <c r="K26" s="24"/>
    </row>
    <row r="27" spans="1:11" ht="12.75" customHeight="1" x14ac:dyDescent="0.2">
      <c r="B27" s="18"/>
      <c r="C27" s="1" t="s">
        <v>246</v>
      </c>
      <c r="E27" s="72"/>
      <c r="F27" s="15"/>
      <c r="G27" s="15"/>
      <c r="H27" s="29"/>
      <c r="J27" s="23"/>
      <c r="K27" s="24"/>
    </row>
    <row r="28" spans="1:11" ht="12.75" customHeight="1" x14ac:dyDescent="0.2">
      <c r="B28" s="18"/>
      <c r="C28" s="1" t="s">
        <v>1493</v>
      </c>
      <c r="E28" s="72"/>
      <c r="F28" s="15"/>
      <c r="G28" s="15"/>
      <c r="H28" s="29">
        <f>+'BS MARCH 31'!P58+'BS MARCH 31'!P59</f>
        <v>1042269.8</v>
      </c>
      <c r="J28" s="23"/>
      <c r="K28" s="24"/>
    </row>
    <row r="29" spans="1:11" ht="12.75" customHeight="1" x14ac:dyDescent="0.2">
      <c r="B29" s="18"/>
      <c r="C29" s="1" t="s">
        <v>484</v>
      </c>
      <c r="E29" s="72"/>
      <c r="F29" s="15"/>
      <c r="G29" s="15"/>
      <c r="H29" s="29">
        <f>+'BS MARCH 31'!P70</f>
        <v>800</v>
      </c>
      <c r="J29" s="23"/>
      <c r="K29" s="24"/>
    </row>
    <row r="30" spans="1:11" ht="12.75" customHeight="1" x14ac:dyDescent="0.2">
      <c r="B30" s="18"/>
      <c r="C30" s="1" t="s">
        <v>247</v>
      </c>
      <c r="E30" s="72"/>
      <c r="F30" s="15"/>
      <c r="G30" s="14"/>
      <c r="H30" s="29">
        <f>+'BS MARCH 31'!P82</f>
        <v>15000</v>
      </c>
      <c r="J30" s="23"/>
      <c r="K30" s="24"/>
    </row>
    <row r="31" spans="1:11" ht="12.75" customHeight="1" x14ac:dyDescent="0.2">
      <c r="B31" s="18"/>
      <c r="C31" s="1" t="s">
        <v>45</v>
      </c>
      <c r="E31" s="72"/>
      <c r="F31" s="15"/>
      <c r="G31" s="15"/>
      <c r="H31" s="29">
        <f>+'BS MARCH 31'!P95+'BS MARCH 31'!P79+'BS MARCH 31'!P85</f>
        <v>3212059.49</v>
      </c>
      <c r="J31" s="23"/>
      <c r="K31" s="24"/>
    </row>
    <row r="32" spans="1:11" ht="12.75" customHeight="1" x14ac:dyDescent="0.2">
      <c r="B32" s="18"/>
      <c r="C32" s="1" t="s">
        <v>1589</v>
      </c>
      <c r="E32" s="72"/>
      <c r="F32" s="15"/>
      <c r="G32" s="15"/>
      <c r="H32" s="29">
        <f>+'BS MARCH 31'!P69</f>
        <v>1039925</v>
      </c>
      <c r="J32" s="23"/>
      <c r="K32" s="24"/>
    </row>
    <row r="33" spans="1:11" ht="12.75" customHeight="1" x14ac:dyDescent="0.2">
      <c r="B33" s="18"/>
      <c r="C33" s="1" t="s">
        <v>36</v>
      </c>
      <c r="E33" s="72"/>
      <c r="F33" s="15"/>
      <c r="G33" s="15"/>
      <c r="H33" s="29">
        <f>+'BS MARCH 31'!P80</f>
        <v>14500</v>
      </c>
      <c r="J33" s="23"/>
      <c r="K33" s="24"/>
    </row>
    <row r="34" spans="1:11" ht="12.75" customHeight="1" x14ac:dyDescent="0.2">
      <c r="B34" s="18"/>
      <c r="C34" s="1" t="s">
        <v>81</v>
      </c>
      <c r="E34" s="72"/>
      <c r="F34" s="15"/>
      <c r="G34" s="15"/>
      <c r="H34" s="29">
        <f>+'BS MARCH 31'!P81</f>
        <v>64167</v>
      </c>
      <c r="J34" s="23"/>
      <c r="K34" s="24"/>
    </row>
    <row r="35" spans="1:11" ht="12.75" customHeight="1" x14ac:dyDescent="0.2">
      <c r="B35" s="18"/>
      <c r="C35" s="1" t="s">
        <v>1591</v>
      </c>
      <c r="E35" s="72"/>
      <c r="F35" s="15"/>
      <c r="G35" s="15"/>
      <c r="H35" s="29">
        <f>+'BS MARCH 31'!P84</f>
        <v>64000</v>
      </c>
      <c r="J35" s="23"/>
      <c r="K35" s="24"/>
    </row>
    <row r="36" spans="1:11" ht="12.75" customHeight="1" x14ac:dyDescent="0.2">
      <c r="B36" s="18"/>
      <c r="C36" s="1" t="s">
        <v>487</v>
      </c>
      <c r="E36" s="72"/>
      <c r="F36" s="15"/>
      <c r="G36" s="15"/>
      <c r="H36" s="29">
        <f>+'BS MARCH 31'!P83</f>
        <v>72000</v>
      </c>
      <c r="J36" s="23"/>
      <c r="K36" s="24"/>
    </row>
    <row r="37" spans="1:11" ht="12.75" customHeight="1" x14ac:dyDescent="0.2">
      <c r="B37" s="18"/>
      <c r="C37" s="1" t="s">
        <v>1590</v>
      </c>
      <c r="E37" s="72"/>
      <c r="F37" s="15"/>
      <c r="G37" s="15"/>
      <c r="H37" s="29">
        <f>+'BS MARCH 31'!P72</f>
        <v>2000</v>
      </c>
      <c r="J37" s="23"/>
      <c r="K37" s="24"/>
    </row>
    <row r="38" spans="1:11" ht="12.75" customHeight="1" x14ac:dyDescent="0.2">
      <c r="B38" s="18"/>
      <c r="C38" s="1" t="s">
        <v>1494</v>
      </c>
      <c r="E38" s="72"/>
      <c r="F38" s="15"/>
      <c r="G38" s="15"/>
      <c r="H38" s="29">
        <f>+'BS MARCH 31'!P75+'BS MARCH 31'!P76+'BS MARCH 31'!P77</f>
        <v>280504.90000000002</v>
      </c>
      <c r="J38" s="23"/>
      <c r="K38" s="24"/>
    </row>
    <row r="39" spans="1:11" ht="12.75" customHeight="1" x14ac:dyDescent="0.2">
      <c r="B39" s="18"/>
      <c r="C39" s="1" t="s">
        <v>298</v>
      </c>
      <c r="E39" s="72"/>
      <c r="F39" s="15"/>
      <c r="G39" s="15"/>
      <c r="H39" s="29">
        <f>+'BS MARCH 31'!P86</f>
        <v>82300</v>
      </c>
      <c r="J39" s="23"/>
      <c r="K39" s="24"/>
    </row>
    <row r="40" spans="1:11" ht="12.75" customHeight="1" x14ac:dyDescent="0.2">
      <c r="B40" s="18"/>
      <c r="C40" s="1" t="s">
        <v>488</v>
      </c>
      <c r="E40" s="72"/>
      <c r="F40" s="15"/>
      <c r="G40" s="15"/>
      <c r="H40" s="10">
        <f>+'BS MARCH 31'!P87+'BS MARCH 31'!P108</f>
        <v>-86920</v>
      </c>
      <c r="J40" s="23"/>
      <c r="K40" s="24"/>
    </row>
    <row r="41" spans="1:11" ht="12.75" customHeight="1" x14ac:dyDescent="0.2">
      <c r="B41" s="18"/>
      <c r="C41" s="1" t="s">
        <v>1497</v>
      </c>
      <c r="E41" s="72"/>
      <c r="F41" s="15"/>
      <c r="G41" s="15"/>
      <c r="H41" s="10">
        <f>+'BS MARCH 31'!P109</f>
        <v>323370.26</v>
      </c>
      <c r="J41" s="23"/>
      <c r="K41" s="24"/>
    </row>
    <row r="42" spans="1:11" ht="12.75" customHeight="1" thickBot="1" x14ac:dyDescent="0.25">
      <c r="B42" s="1"/>
      <c r="C42" s="1"/>
      <c r="D42" s="72"/>
      <c r="E42" s="72"/>
      <c r="F42" s="15"/>
      <c r="G42" s="15"/>
      <c r="H42" s="42">
        <f>SUM(H26:H41)</f>
        <v>9302035.4400000013</v>
      </c>
      <c r="J42" s="23"/>
      <c r="K42" s="24"/>
    </row>
    <row r="43" spans="1:11" ht="12.75" customHeight="1" thickTop="1" x14ac:dyDescent="0.2">
      <c r="B43" s="1"/>
      <c r="C43" s="1"/>
      <c r="D43" s="72"/>
      <c r="E43" s="72"/>
      <c r="F43" s="15"/>
      <c r="G43" s="15"/>
      <c r="H43" s="29"/>
      <c r="J43" s="23"/>
      <c r="K43" s="24"/>
    </row>
    <row r="44" spans="1:11" s="1" customFormat="1" ht="12.75" customHeight="1" x14ac:dyDescent="0.2">
      <c r="B44" s="52">
        <f>+B25+0.1</f>
        <v>7.1999999999999993</v>
      </c>
      <c r="C44" s="2" t="s">
        <v>786</v>
      </c>
      <c r="D44" s="15"/>
      <c r="E44" s="72"/>
      <c r="F44" s="15"/>
      <c r="G44" s="15"/>
      <c r="H44" s="24"/>
      <c r="J44" s="23"/>
      <c r="K44" s="24"/>
    </row>
    <row r="45" spans="1:11" ht="12.75" customHeight="1" x14ac:dyDescent="0.2">
      <c r="B45" s="18"/>
      <c r="C45" s="1" t="s">
        <v>508</v>
      </c>
      <c r="D45" s="15"/>
      <c r="E45" s="72"/>
      <c r="F45" s="15"/>
      <c r="G45" s="15"/>
      <c r="H45" s="29">
        <f>+'BS MARCH 31'!P89</f>
        <v>2169580.9900000002</v>
      </c>
      <c r="J45" s="23"/>
      <c r="K45" s="24"/>
    </row>
    <row r="46" spans="1:11" ht="12.75" customHeight="1" x14ac:dyDescent="0.2">
      <c r="B46" s="18"/>
      <c r="C46" s="1" t="s">
        <v>509</v>
      </c>
      <c r="D46" s="15"/>
      <c r="E46" s="72"/>
      <c r="F46" s="15"/>
      <c r="G46" s="15"/>
      <c r="H46" s="29">
        <f>+'BS MARCH 31'!P90</f>
        <v>237808</v>
      </c>
      <c r="J46" s="23"/>
      <c r="K46" s="24"/>
    </row>
    <row r="47" spans="1:11" ht="12.75" customHeight="1" thickBot="1" x14ac:dyDescent="0.25">
      <c r="A47" s="1"/>
      <c r="B47" s="72"/>
      <c r="C47" s="72"/>
      <c r="D47" s="15"/>
      <c r="E47" s="72"/>
      <c r="F47" s="15"/>
      <c r="G47" s="15"/>
      <c r="H47" s="42">
        <f>SUM(H45:H46)</f>
        <v>2407388.9900000002</v>
      </c>
      <c r="J47" s="23"/>
      <c r="K47" s="24"/>
    </row>
    <row r="48" spans="1:11" ht="12.75" customHeight="1" thickTop="1" x14ac:dyDescent="0.2">
      <c r="A48" s="1"/>
      <c r="B48" s="72"/>
      <c r="C48" s="72"/>
      <c r="D48" s="15"/>
      <c r="E48" s="72"/>
      <c r="F48" s="15"/>
      <c r="G48" s="15"/>
      <c r="H48" s="29"/>
      <c r="J48" s="23"/>
      <c r="K48" s="24"/>
    </row>
    <row r="49" spans="1:27" s="1" customFormat="1" ht="12.75" customHeight="1" x14ac:dyDescent="0.2">
      <c r="B49" s="52">
        <f>+B44+0.1</f>
        <v>7.2999999999999989</v>
      </c>
      <c r="C49" s="2" t="s">
        <v>306</v>
      </c>
      <c r="D49" s="15"/>
      <c r="E49" s="72"/>
      <c r="F49" s="15"/>
      <c r="G49" s="15"/>
      <c r="H49" s="24"/>
      <c r="J49" s="23"/>
      <c r="K49" s="24"/>
    </row>
    <row r="50" spans="1:27" ht="12.75" customHeight="1" x14ac:dyDescent="0.2">
      <c r="B50" s="18"/>
      <c r="C50" s="1" t="s">
        <v>485</v>
      </c>
      <c r="E50" s="72"/>
      <c r="F50" s="15"/>
      <c r="G50" s="15"/>
      <c r="H50" s="29">
        <f>+'BS MARCH 31'!P92</f>
        <v>565742.34</v>
      </c>
      <c r="J50" s="23"/>
      <c r="K50" s="24"/>
    </row>
    <row r="51" spans="1:27" ht="12.75" customHeight="1" x14ac:dyDescent="0.2">
      <c r="B51" s="18"/>
      <c r="C51" s="1" t="s">
        <v>486</v>
      </c>
      <c r="E51" s="72"/>
      <c r="F51" s="15"/>
      <c r="G51" s="15"/>
      <c r="H51" s="29">
        <f>+'BS MARCH 31'!P93</f>
        <v>202397.09</v>
      </c>
      <c r="J51" s="23"/>
      <c r="K51" s="24"/>
    </row>
    <row r="52" spans="1:27" ht="12.75" customHeight="1" x14ac:dyDescent="0.2">
      <c r="B52" s="18"/>
      <c r="C52" s="1" t="s">
        <v>1495</v>
      </c>
      <c r="E52" s="72"/>
      <c r="F52" s="15"/>
      <c r="G52" s="15"/>
      <c r="H52" s="29">
        <f>+'BS MARCH 31'!P94</f>
        <v>373561.88</v>
      </c>
      <c r="J52" s="23"/>
      <c r="K52" s="24"/>
    </row>
    <row r="53" spans="1:27" ht="12.75" customHeight="1" thickBot="1" x14ac:dyDescent="0.25">
      <c r="B53" s="1"/>
      <c r="C53" s="1"/>
      <c r="D53" s="72"/>
      <c r="E53" s="72"/>
      <c r="F53" s="14"/>
      <c r="G53" s="14"/>
      <c r="H53" s="42">
        <f>SUM(H50:H52)</f>
        <v>1141701.31</v>
      </c>
      <c r="J53" s="23"/>
      <c r="K53" s="23"/>
    </row>
    <row r="54" spans="1:27" ht="13.5" thickTop="1" x14ac:dyDescent="0.2">
      <c r="B54" s="1"/>
      <c r="C54" s="1"/>
      <c r="D54" s="72"/>
      <c r="E54" s="72"/>
      <c r="F54" s="15"/>
      <c r="G54" s="14"/>
      <c r="H54" s="7"/>
      <c r="I54" s="23"/>
    </row>
    <row r="55" spans="1:27" ht="13.5" x14ac:dyDescent="0.25">
      <c r="A55" s="30">
        <v>8</v>
      </c>
      <c r="B55" s="128" t="s">
        <v>0</v>
      </c>
      <c r="C55" s="128"/>
      <c r="D55" s="271"/>
      <c r="E55" s="271"/>
      <c r="F55" s="59"/>
      <c r="G55" s="134"/>
      <c r="H55" s="272"/>
      <c r="I55" s="272"/>
      <c r="N55" s="128"/>
    </row>
    <row r="56" spans="1:27" x14ac:dyDescent="0.2">
      <c r="B56" s="58" t="s">
        <v>256</v>
      </c>
      <c r="C56" s="58"/>
      <c r="D56" s="72"/>
      <c r="E56" s="72"/>
      <c r="F56" s="15"/>
      <c r="G56" s="14"/>
      <c r="H56" s="24">
        <f>+'BS MARCH 31'!Q97</f>
        <v>40034921.460000001</v>
      </c>
      <c r="J56" s="24"/>
      <c r="K56" s="24"/>
      <c r="P56" s="8"/>
      <c r="Q56" s="8"/>
      <c r="R56" s="8"/>
      <c r="T56" s="8"/>
      <c r="V56" s="8"/>
      <c r="X56" s="8"/>
      <c r="Z56" s="10"/>
      <c r="AA56" s="10"/>
    </row>
    <row r="57" spans="1:27" x14ac:dyDescent="0.2">
      <c r="B57" s="1" t="s">
        <v>518</v>
      </c>
      <c r="C57" s="1"/>
      <c r="D57" s="72"/>
      <c r="E57" s="72"/>
      <c r="F57" s="15"/>
      <c r="G57" s="14"/>
      <c r="H57" s="24">
        <f>+'BS MARCH 31'!Q99</f>
        <v>23238457.329999998</v>
      </c>
      <c r="J57" s="24"/>
      <c r="K57" s="24"/>
      <c r="P57" s="8"/>
      <c r="Q57" s="8"/>
      <c r="R57" s="8"/>
      <c r="T57" s="8"/>
      <c r="V57" s="8"/>
      <c r="X57" s="8"/>
      <c r="Z57" s="10"/>
      <c r="AA57" s="10"/>
    </row>
    <row r="58" spans="1:27" x14ac:dyDescent="0.2">
      <c r="B58" s="1" t="s">
        <v>644</v>
      </c>
      <c r="C58" s="1"/>
      <c r="D58" s="72"/>
      <c r="E58" s="72"/>
      <c r="F58" s="15"/>
      <c r="G58" s="14"/>
      <c r="H58" s="24">
        <f>+'BS MARCH 31'!Q98</f>
        <v>194929154.75</v>
      </c>
      <c r="J58" s="24"/>
      <c r="K58" s="24"/>
      <c r="P58" s="8"/>
      <c r="Q58" s="8"/>
      <c r="R58" s="8"/>
      <c r="T58" s="8"/>
      <c r="V58" s="8"/>
      <c r="X58" s="8"/>
      <c r="Z58" s="10"/>
      <c r="AA58" s="10"/>
    </row>
    <row r="59" spans="1:27" x14ac:dyDescent="0.2">
      <c r="B59" s="1" t="s">
        <v>1592</v>
      </c>
      <c r="C59" s="1"/>
      <c r="D59" s="72"/>
      <c r="E59" s="72"/>
      <c r="F59" s="15"/>
      <c r="G59" s="14"/>
      <c r="H59" s="24">
        <f>+'BS MARCH 31'!Q100</f>
        <v>31632</v>
      </c>
      <c r="J59" s="24"/>
      <c r="K59" s="24"/>
      <c r="P59" s="8"/>
      <c r="Q59" s="8"/>
      <c r="R59" s="8"/>
      <c r="T59" s="8"/>
      <c r="V59" s="8"/>
      <c r="X59" s="8"/>
      <c r="Z59" s="10"/>
      <c r="AA59" s="10"/>
    </row>
    <row r="60" spans="1:27" x14ac:dyDescent="0.2">
      <c r="B60" s="1" t="s">
        <v>257</v>
      </c>
      <c r="C60" s="1"/>
      <c r="D60" s="72"/>
      <c r="E60" s="72"/>
      <c r="F60" s="15"/>
      <c r="G60" s="14"/>
      <c r="H60" s="24">
        <f>+'BS MARCH 31'!Q101</f>
        <v>10702787.550000001</v>
      </c>
      <c r="J60" s="24"/>
      <c r="K60" s="24"/>
      <c r="P60" s="8"/>
      <c r="Q60" s="8"/>
      <c r="R60" s="8"/>
      <c r="T60" s="8"/>
      <c r="V60" s="8"/>
      <c r="X60" s="8"/>
      <c r="Z60" s="10"/>
      <c r="AA60" s="10"/>
    </row>
    <row r="61" spans="1:27" x14ac:dyDescent="0.2">
      <c r="B61" s="1" t="s">
        <v>760</v>
      </c>
      <c r="C61" s="1"/>
      <c r="D61" s="72"/>
      <c r="E61" s="72"/>
      <c r="F61" s="15"/>
      <c r="G61" s="14"/>
      <c r="H61" s="24">
        <f>+'BS MARCH 31'!Q102</f>
        <v>136501</v>
      </c>
      <c r="J61" s="24"/>
      <c r="K61" s="24"/>
      <c r="M61" s="10"/>
      <c r="N61" s="58"/>
      <c r="P61" s="8"/>
      <c r="Q61" s="8"/>
      <c r="R61" s="8"/>
      <c r="T61" s="8"/>
      <c r="V61" s="8"/>
      <c r="X61" s="8"/>
      <c r="Z61" s="10"/>
      <c r="AA61" s="10"/>
    </row>
    <row r="62" spans="1:27" x14ac:dyDescent="0.2">
      <c r="B62" s="1" t="s">
        <v>1496</v>
      </c>
      <c r="C62" s="1"/>
      <c r="D62" s="72"/>
      <c r="E62" s="72"/>
      <c r="F62" s="15"/>
      <c r="G62" s="14"/>
      <c r="H62" s="24">
        <f>+'BS MARCH 31'!Q103</f>
        <v>10902230.76</v>
      </c>
      <c r="J62" s="24"/>
      <c r="K62" s="24"/>
      <c r="M62" s="10"/>
      <c r="N62" s="58"/>
      <c r="P62" s="8"/>
      <c r="Q62" s="8"/>
      <c r="R62" s="8"/>
      <c r="T62" s="8"/>
      <c r="V62" s="8"/>
      <c r="X62" s="8"/>
      <c r="Z62" s="10"/>
      <c r="AA62" s="10"/>
    </row>
    <row r="63" spans="1:27" x14ac:dyDescent="0.2">
      <c r="B63" s="1" t="s">
        <v>781</v>
      </c>
      <c r="C63" s="1"/>
      <c r="D63" s="72"/>
      <c r="E63" s="72"/>
      <c r="F63" s="15"/>
      <c r="G63" s="14"/>
      <c r="H63" s="24">
        <f>+'BS MARCH 31'!Q104</f>
        <v>2598059.6</v>
      </c>
      <c r="J63" s="24"/>
      <c r="M63" s="10"/>
      <c r="N63" s="58"/>
      <c r="P63" s="8"/>
      <c r="Q63" s="8"/>
      <c r="R63" s="8"/>
      <c r="T63" s="8"/>
      <c r="V63" s="8"/>
      <c r="X63" s="8"/>
      <c r="Z63" s="10"/>
      <c r="AA63" s="10"/>
    </row>
    <row r="64" spans="1:27" x14ac:dyDescent="0.2">
      <c r="B64" s="1" t="s">
        <v>1593</v>
      </c>
      <c r="C64" s="1"/>
      <c r="D64" s="72"/>
      <c r="E64" s="72"/>
      <c r="F64" s="15"/>
      <c r="G64" s="14"/>
      <c r="H64" s="24">
        <f>+'BS MARCH 31'!Q105</f>
        <v>353050</v>
      </c>
      <c r="J64" s="24"/>
      <c r="M64" s="10"/>
      <c r="N64" s="58"/>
      <c r="P64" s="8"/>
      <c r="Q64" s="8"/>
      <c r="R64" s="8"/>
      <c r="T64" s="8"/>
      <c r="V64" s="8"/>
      <c r="X64" s="8"/>
      <c r="Z64" s="10"/>
      <c r="AA64" s="10"/>
    </row>
    <row r="65" spans="1:27" x14ac:dyDescent="0.2">
      <c r="J65" s="24"/>
      <c r="K65" s="24"/>
      <c r="M65" s="10"/>
      <c r="N65" s="58"/>
      <c r="P65" s="8"/>
      <c r="Q65" s="8"/>
      <c r="R65" s="8"/>
      <c r="T65" s="8"/>
      <c r="V65" s="8"/>
      <c r="X65" s="8"/>
      <c r="Z65" s="10"/>
      <c r="AA65" s="10"/>
    </row>
    <row r="66" spans="1:27" ht="13.5" thickBot="1" x14ac:dyDescent="0.25">
      <c r="D66" s="72"/>
      <c r="E66" s="72"/>
      <c r="F66" s="15"/>
      <c r="G66" s="14"/>
      <c r="H66" s="42">
        <f>SUM(H56:H64)</f>
        <v>282926794.44999999</v>
      </c>
      <c r="J66" s="23"/>
      <c r="K66" s="23"/>
      <c r="P66" s="8"/>
      <c r="Q66" s="8"/>
      <c r="R66" s="8"/>
      <c r="T66" s="8"/>
      <c r="V66" s="8"/>
      <c r="X66" s="8"/>
      <c r="Z66" s="10"/>
      <c r="AA66" s="10"/>
    </row>
    <row r="67" spans="1:27" ht="12.75" customHeight="1" thickTop="1" x14ac:dyDescent="0.25">
      <c r="A67" s="127"/>
      <c r="B67" s="105"/>
      <c r="C67" s="105"/>
      <c r="D67" s="3"/>
      <c r="E67" s="3"/>
      <c r="H67" s="130"/>
      <c r="I67" s="130"/>
      <c r="O67" s="8"/>
      <c r="Q67" s="8"/>
      <c r="S67" s="8"/>
      <c r="U67" s="8"/>
      <c r="W67" s="8"/>
      <c r="Y67" s="8"/>
      <c r="Z67" s="10"/>
      <c r="AA67" s="10"/>
    </row>
    <row r="68" spans="1:27" ht="12.75" hidden="1" customHeight="1" x14ac:dyDescent="0.25">
      <c r="A68" s="19">
        <f>FP!B21</f>
        <v>9</v>
      </c>
      <c r="B68" s="4" t="str">
        <f>+FP!A21</f>
        <v xml:space="preserve">Cash and Cash Equivalents </v>
      </c>
      <c r="C68" s="4"/>
      <c r="D68" s="3"/>
      <c r="E68" s="3"/>
      <c r="H68" s="130"/>
      <c r="I68" s="130"/>
      <c r="P68" s="8"/>
      <c r="Q68" s="8"/>
      <c r="R68" s="8"/>
      <c r="T68" s="8"/>
      <c r="V68" s="8"/>
      <c r="X68" s="8"/>
      <c r="Z68" s="10"/>
      <c r="AA68" s="10"/>
    </row>
    <row r="69" spans="1:27" ht="12.75" hidden="1" customHeight="1" x14ac:dyDescent="0.25">
      <c r="A69" s="19"/>
      <c r="B69" s="4" t="s">
        <v>249</v>
      </c>
      <c r="C69" s="4"/>
      <c r="D69" s="3"/>
      <c r="E69" s="3"/>
      <c r="H69" s="130"/>
      <c r="I69" s="130"/>
      <c r="O69" s="8"/>
      <c r="Q69" s="8"/>
      <c r="S69" s="8"/>
      <c r="U69" s="8"/>
      <c r="W69" s="8"/>
      <c r="Y69" s="8"/>
      <c r="Z69" s="10"/>
      <c r="AA69" s="10"/>
    </row>
    <row r="70" spans="1:27" ht="12.75" hidden="1" customHeight="1" x14ac:dyDescent="0.2">
      <c r="A70" s="129"/>
      <c r="B70" s="3" t="s">
        <v>489</v>
      </c>
      <c r="D70" s="3"/>
      <c r="E70" s="3"/>
      <c r="H70" s="24">
        <v>0</v>
      </c>
      <c r="I70" s="24"/>
    </row>
    <row r="71" spans="1:27" ht="12.75" hidden="1" customHeight="1" x14ac:dyDescent="0.2">
      <c r="A71" s="19"/>
      <c r="B71" s="3" t="s">
        <v>623</v>
      </c>
      <c r="D71" s="3"/>
      <c r="E71" s="3"/>
      <c r="H71" s="24">
        <v>171820.53</v>
      </c>
      <c r="I71" s="24"/>
    </row>
    <row r="72" spans="1:27" ht="12.75" hidden="1" customHeight="1" x14ac:dyDescent="0.2">
      <c r="A72" s="19"/>
      <c r="B72" s="3" t="s">
        <v>624</v>
      </c>
      <c r="D72" s="3"/>
      <c r="E72" s="3"/>
      <c r="H72" s="24">
        <v>67634.34</v>
      </c>
      <c r="I72" s="24"/>
    </row>
    <row r="73" spans="1:27" ht="12.75" hidden="1" customHeight="1" x14ac:dyDescent="0.2">
      <c r="A73" s="19"/>
      <c r="B73" s="3" t="s">
        <v>625</v>
      </c>
      <c r="D73" s="3"/>
      <c r="E73" s="3"/>
      <c r="H73" s="24">
        <v>500113.39</v>
      </c>
      <c r="I73" s="24"/>
    </row>
    <row r="74" spans="1:27" ht="12.75" hidden="1" customHeight="1" x14ac:dyDescent="0.2">
      <c r="A74" s="19"/>
      <c r="B74" s="3" t="s">
        <v>35</v>
      </c>
      <c r="D74" s="3"/>
      <c r="E74" s="3"/>
      <c r="H74" s="24">
        <v>0</v>
      </c>
      <c r="I74" s="24"/>
    </row>
    <row r="75" spans="1:27" ht="12.75" hidden="1" customHeight="1" x14ac:dyDescent="0.2">
      <c r="A75" s="19"/>
      <c r="B75" s="3" t="s">
        <v>626</v>
      </c>
      <c r="D75" s="3"/>
      <c r="E75" s="3"/>
      <c r="H75" s="24">
        <v>1505819.18</v>
      </c>
      <c r="I75" s="24"/>
    </row>
    <row r="76" spans="1:27" ht="12.75" hidden="1" customHeight="1" x14ac:dyDescent="0.2">
      <c r="A76" s="19"/>
      <c r="B76" s="3" t="s">
        <v>627</v>
      </c>
      <c r="D76" s="3"/>
      <c r="E76" s="3"/>
      <c r="H76" s="24">
        <v>11991294.17</v>
      </c>
      <c r="I76" s="24"/>
    </row>
    <row r="77" spans="1:27" ht="12.75" hidden="1" customHeight="1" x14ac:dyDescent="0.2">
      <c r="A77" s="19"/>
      <c r="D77" s="3"/>
      <c r="E77" s="3"/>
      <c r="H77" s="24"/>
      <c r="I77" s="24"/>
    </row>
    <row r="78" spans="1:27" ht="12.75" hidden="1" customHeight="1" x14ac:dyDescent="0.2">
      <c r="A78" s="19"/>
      <c r="B78" s="58" t="s">
        <v>628</v>
      </c>
      <c r="C78" s="58"/>
      <c r="D78" s="3"/>
      <c r="E78" s="3"/>
      <c r="H78" s="24">
        <v>87056.75</v>
      </c>
      <c r="I78" s="24"/>
    </row>
    <row r="79" spans="1:27" ht="12.75" hidden="1" customHeight="1" x14ac:dyDescent="0.2">
      <c r="A79" s="19"/>
      <c r="B79" s="58" t="s">
        <v>629</v>
      </c>
      <c r="C79" s="58"/>
      <c r="D79" s="3"/>
      <c r="E79" s="3"/>
      <c r="H79" s="24">
        <v>1950127.99</v>
      </c>
      <c r="I79" s="24"/>
    </row>
    <row r="80" spans="1:27" ht="12.75" hidden="1" customHeight="1" x14ac:dyDescent="0.2">
      <c r="A80" s="19"/>
      <c r="B80" s="58" t="s">
        <v>630</v>
      </c>
      <c r="C80" s="58"/>
      <c r="D80" s="3"/>
      <c r="E80" s="3"/>
      <c r="H80" s="24">
        <v>40000</v>
      </c>
      <c r="I80" s="24"/>
    </row>
    <row r="81" spans="1:26" ht="12.75" hidden="1" customHeight="1" x14ac:dyDescent="0.2">
      <c r="A81" s="19"/>
      <c r="B81" s="58" t="s">
        <v>618</v>
      </c>
      <c r="C81" s="58"/>
      <c r="D81" s="3"/>
      <c r="E81" s="3"/>
      <c r="H81" s="24">
        <v>109121.25</v>
      </c>
      <c r="I81" s="24"/>
    </row>
    <row r="82" spans="1:26" ht="12.75" hidden="1" customHeight="1" x14ac:dyDescent="0.2">
      <c r="A82" s="19"/>
      <c r="B82" s="58" t="s">
        <v>642</v>
      </c>
      <c r="C82" s="58"/>
      <c r="D82" s="3"/>
      <c r="E82" s="3"/>
      <c r="H82" s="24">
        <v>3534300</v>
      </c>
      <c r="I82" s="24"/>
    </row>
    <row r="83" spans="1:26" ht="12.75" hidden="1" customHeight="1" x14ac:dyDescent="0.2">
      <c r="A83" s="19"/>
      <c r="B83" s="4" t="s">
        <v>307</v>
      </c>
      <c r="C83" s="4"/>
      <c r="D83" s="3"/>
      <c r="E83" s="3"/>
      <c r="H83" s="24"/>
      <c r="I83" s="24"/>
    </row>
    <row r="84" spans="1:26" ht="12.75" hidden="1" customHeight="1" x14ac:dyDescent="0.2">
      <c r="B84" s="3" t="s">
        <v>90</v>
      </c>
      <c r="D84" s="3"/>
      <c r="E84" s="3"/>
      <c r="H84" s="24">
        <v>957521.04</v>
      </c>
      <c r="I84" s="24"/>
    </row>
    <row r="85" spans="1:26" ht="12.75" hidden="1" customHeight="1" thickBot="1" x14ac:dyDescent="0.3">
      <c r="A85" s="127"/>
      <c r="B85" s="105"/>
      <c r="C85" s="105"/>
      <c r="D85" s="3"/>
      <c r="E85" s="3"/>
      <c r="H85" s="115">
        <f>SUM(H70:H84)</f>
        <v>20914808.640000001</v>
      </c>
      <c r="I85" s="23"/>
    </row>
    <row r="86" spans="1:26" ht="12.75" customHeight="1" x14ac:dyDescent="0.2">
      <c r="A86" s="52">
        <f>A55+1</f>
        <v>9</v>
      </c>
      <c r="B86" s="128" t="s">
        <v>71</v>
      </c>
      <c r="C86" s="128"/>
      <c r="D86" s="60"/>
      <c r="E86" s="60"/>
      <c r="F86" s="60"/>
      <c r="G86" s="60"/>
      <c r="H86" s="115"/>
      <c r="I86" s="115"/>
    </row>
    <row r="87" spans="1:26" ht="12.75" customHeight="1" x14ac:dyDescent="0.25">
      <c r="A87" s="127"/>
      <c r="B87" s="273" t="s">
        <v>745</v>
      </c>
      <c r="C87" s="273"/>
      <c r="D87" s="3"/>
      <c r="E87" s="3"/>
      <c r="H87" s="23"/>
      <c r="I87" s="23"/>
    </row>
    <row r="88" spans="1:26" ht="12.75" customHeight="1" x14ac:dyDescent="0.25">
      <c r="A88" s="127"/>
      <c r="B88" s="18" t="s">
        <v>746</v>
      </c>
      <c r="C88" s="18"/>
      <c r="D88" s="3"/>
      <c r="E88" s="3"/>
      <c r="H88" s="7">
        <f>+'BS MARCH 31'!I23+'BS MARCH 31'!I25+'BS MARCH 31'!I26+'BS MARCH 31'!I27+'BS MARCH 31'!I29+'BS MARCH 31'!I30+'BS MARCH 31'!I31+'BS MARCH 31'!I34+'BS MARCH 31'!I35+'BS MARCH 31'!I36+'BS MARCH 31'!I37+'BS MARCH 31'!I38+'BS MARCH 31'!I24+'BS MARCH 31'!I28+'BS MARCH 31'!I39</f>
        <v>3169821.63</v>
      </c>
      <c r="I88" s="23"/>
      <c r="K88" s="21"/>
      <c r="Z88" s="8"/>
    </row>
    <row r="89" spans="1:26" ht="12.75" customHeight="1" x14ac:dyDescent="0.25">
      <c r="A89" s="127"/>
      <c r="B89" s="18" t="s">
        <v>249</v>
      </c>
      <c r="C89" s="18"/>
      <c r="D89" s="3"/>
      <c r="E89" s="3"/>
      <c r="H89" s="7">
        <f>+'BS MARCH 31'!I6+'BS MARCH 31'!I7+'BS MARCH 31'!I8+'BS MARCH 31'!I10+'BS MARCH 31'!I12+'BS MARCH 31'!I13+'BS MARCH 31'!I14+'BS MARCH 31'!I15+'BS MARCH 31'!I18+'BS MARCH 31'!I20+'BS MARCH 31'!I21+'BS MARCH 31'!I41</f>
        <v>9938021.3800000008</v>
      </c>
      <c r="I89" s="23"/>
    </row>
    <row r="90" spans="1:26" ht="12.75" customHeight="1" x14ac:dyDescent="0.25">
      <c r="A90" s="127"/>
      <c r="B90" s="46"/>
      <c r="C90" s="46"/>
      <c r="D90" s="3"/>
      <c r="E90" s="3"/>
      <c r="H90" s="112">
        <f>SUM(H88:H89)</f>
        <v>13107843.010000002</v>
      </c>
      <c r="I90" s="23"/>
    </row>
    <row r="91" spans="1:26" ht="12.75" customHeight="1" x14ac:dyDescent="0.25">
      <c r="A91" s="127"/>
      <c r="B91" s="274" t="s">
        <v>747</v>
      </c>
      <c r="C91" s="274"/>
      <c r="D91" s="3"/>
      <c r="E91" s="3"/>
      <c r="I91" s="23"/>
    </row>
    <row r="92" spans="1:26" ht="12.75" customHeight="1" x14ac:dyDescent="0.25">
      <c r="A92" s="127"/>
      <c r="B92" s="46" t="s">
        <v>304</v>
      </c>
      <c r="C92" s="46"/>
      <c r="D92" s="3"/>
      <c r="E92" s="3"/>
      <c r="H92" s="29">
        <f>+'BS MARCH 31'!J9+'BS MARCH 31'!J11+'BS MARCH 31'!J16+'BS MARCH 31'!J17+'BS MARCH 31'!J19</f>
        <v>-9499293.7100000009</v>
      </c>
      <c r="I92" s="23"/>
      <c r="N92" s="10"/>
    </row>
    <row r="93" spans="1:26" ht="12.75" customHeight="1" thickBot="1" x14ac:dyDescent="0.3">
      <c r="A93" s="127"/>
      <c r="B93" s="9" t="s">
        <v>748</v>
      </c>
      <c r="C93" s="9"/>
      <c r="D93" s="3"/>
      <c r="E93" s="3"/>
      <c r="H93" s="64">
        <f>H92+H90</f>
        <v>3608549.3000000007</v>
      </c>
      <c r="I93" s="23"/>
      <c r="K93" s="33"/>
    </row>
    <row r="94" spans="1:26" ht="12.75" customHeight="1" thickTop="1" thickBot="1" x14ac:dyDescent="0.3">
      <c r="A94" s="127"/>
      <c r="B94" s="105"/>
      <c r="C94" s="105"/>
      <c r="D94" s="3"/>
      <c r="E94" s="3"/>
      <c r="H94" s="64">
        <f>H93+H91</f>
        <v>3608549.3000000007</v>
      </c>
      <c r="I94" s="23"/>
    </row>
    <row r="95" spans="1:26" ht="12.75" customHeight="1" thickTop="1" x14ac:dyDescent="0.25">
      <c r="A95" s="52">
        <v>10</v>
      </c>
      <c r="B95" s="128" t="s">
        <v>73</v>
      </c>
      <c r="C95" s="128"/>
      <c r="D95" s="60"/>
      <c r="E95" s="60"/>
      <c r="F95" s="60"/>
      <c r="G95" s="60"/>
      <c r="H95" s="272"/>
      <c r="I95" s="272"/>
      <c r="K95" s="21"/>
      <c r="L95" s="8"/>
    </row>
    <row r="96" spans="1:26" ht="13.5" x14ac:dyDescent="0.25">
      <c r="A96" s="127"/>
      <c r="B96" s="25" t="s">
        <v>519</v>
      </c>
      <c r="C96" s="25"/>
      <c r="D96" s="3"/>
      <c r="E96" s="3"/>
      <c r="H96" s="130"/>
      <c r="I96" s="130"/>
    </row>
    <row r="97" spans="1:9" ht="14.25" thickBot="1" x14ac:dyDescent="0.3">
      <c r="A97" s="127"/>
      <c r="B97" s="3" t="s">
        <v>510</v>
      </c>
      <c r="D97" s="3"/>
      <c r="E97" s="3"/>
      <c r="H97" s="65">
        <f>+'BS MARCH 31'!H296</f>
        <v>2000020</v>
      </c>
      <c r="I97" s="23"/>
    </row>
    <row r="98" spans="1:9" ht="13.5" thickTop="1" x14ac:dyDescent="0.2">
      <c r="A98" s="30"/>
      <c r="D98" s="3"/>
      <c r="E98" s="3"/>
    </row>
    <row r="99" spans="1:9" x14ac:dyDescent="0.2">
      <c r="A99" s="30"/>
      <c r="D99" s="3"/>
      <c r="E99" s="3"/>
    </row>
    <row r="100" spans="1:9" x14ac:dyDescent="0.2">
      <c r="A100" s="30"/>
      <c r="D100" s="3"/>
      <c r="E100" s="3"/>
    </row>
    <row r="101" spans="1:9" x14ac:dyDescent="0.2">
      <c r="A101" s="30"/>
      <c r="D101" s="3"/>
      <c r="E101" s="3"/>
    </row>
    <row r="102" spans="1:9" x14ac:dyDescent="0.2">
      <c r="A102" s="30"/>
      <c r="D102" s="3"/>
      <c r="E102" s="3"/>
    </row>
    <row r="103" spans="1:9" x14ac:dyDescent="0.2">
      <c r="A103" s="40" t="s">
        <v>48</v>
      </c>
      <c r="F103" s="22"/>
      <c r="H103" s="22"/>
      <c r="I103" s="10"/>
    </row>
    <row r="104" spans="1:9" x14ac:dyDescent="0.2">
      <c r="A104" s="40" t="s">
        <v>495</v>
      </c>
    </row>
    <row r="105" spans="1:9" x14ac:dyDescent="0.2">
      <c r="D105" s="3"/>
      <c r="E105" s="3"/>
    </row>
  </sheetData>
  <phoneticPr fontId="19" type="noConversion"/>
  <printOptions horizontalCentered="1" verticalCentered="1"/>
  <pageMargins left="0.75" right="0.25" top="0.75" bottom="0.25" header="0.5" footer="0.5"/>
  <pageSetup paperSize="9" scale="88" orientation="portrait" r:id="rId1"/>
  <headerFooter alignWithMargins="0"/>
  <rowBreaks count="2" manualBreakCount="2">
    <brk id="15" max="9" man="1"/>
    <brk id="98" max="9" man="1"/>
  </rowBreaks>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9EDAB2-5DF2-40CB-8A40-B93FA2C509AC}">
  <sheetPr codeName="Sheet5"/>
  <dimension ref="A1:Z303"/>
  <sheetViews>
    <sheetView workbookViewId="0">
      <pane xSplit="7" ySplit="1" topLeftCell="H47" activePane="bottomRight" state="frozenSplit"/>
      <selection pane="topRight" activeCell="H1" sqref="H1"/>
      <selection pane="bottomLeft" activeCell="A2" sqref="A2"/>
      <selection pane="bottomRight" activeCell="K67" sqref="K67"/>
    </sheetView>
  </sheetViews>
  <sheetFormatPr defaultRowHeight="15" x14ac:dyDescent="0.25"/>
  <cols>
    <col min="1" max="6" width="3" style="521" customWidth="1"/>
    <col min="7" max="7" width="36.85546875" style="521" customWidth="1"/>
    <col min="8" max="8" width="11.7109375" style="522" bestFit="1" customWidth="1"/>
    <col min="9" max="9" width="22.140625" style="514" customWidth="1"/>
    <col min="10" max="10" width="12.42578125" style="514" customWidth="1"/>
    <col min="11" max="11" width="24.5703125" style="514" customWidth="1"/>
    <col min="12" max="12" width="14.7109375" style="514" customWidth="1"/>
    <col min="13" max="13" width="22" style="514" customWidth="1"/>
    <col min="14" max="14" width="9.5703125" style="514" customWidth="1"/>
    <col min="15" max="15" width="12.42578125" style="514" customWidth="1"/>
    <col min="16" max="16" width="23.42578125" style="514" customWidth="1"/>
    <col min="17" max="17" width="27.85546875" style="514" customWidth="1"/>
    <col min="18" max="18" width="11.5703125" style="514" customWidth="1"/>
    <col min="19" max="19" width="16.85546875" style="514" customWidth="1"/>
    <col min="20" max="20" width="15.42578125" style="514" customWidth="1"/>
    <col min="21" max="21" width="24.7109375" style="514" customWidth="1"/>
    <col min="22" max="22" width="49.28515625" style="514" customWidth="1"/>
    <col min="23" max="23" width="49" style="514" bestFit="1" customWidth="1"/>
    <col min="24" max="24" width="19" style="514" bestFit="1" customWidth="1"/>
    <col min="25" max="25" width="21" style="514" bestFit="1" customWidth="1"/>
    <col min="26" max="26" width="26" style="514" bestFit="1" customWidth="1"/>
    <col min="27" max="16384" width="9.140625" style="514"/>
  </cols>
  <sheetData>
    <row r="1" spans="1:26" s="511" customFormat="1" ht="15.75" thickBot="1" x14ac:dyDescent="0.3">
      <c r="A1" s="509"/>
      <c r="B1" s="509"/>
      <c r="C1" s="509"/>
      <c r="D1" s="509"/>
      <c r="E1" s="509"/>
      <c r="F1" s="509"/>
      <c r="G1" s="509"/>
      <c r="H1" s="510" t="s">
        <v>1514</v>
      </c>
      <c r="I1" s="3" t="s">
        <v>71</v>
      </c>
      <c r="J1" s="511" t="s">
        <v>1579</v>
      </c>
      <c r="K1" s="3" t="s">
        <v>64</v>
      </c>
      <c r="L1" s="3" t="s">
        <v>265</v>
      </c>
      <c r="M1" s="3" t="s">
        <v>263</v>
      </c>
      <c r="N1" s="3" t="s">
        <v>855</v>
      </c>
      <c r="O1" s="3" t="s">
        <v>29</v>
      </c>
      <c r="P1" s="3" t="s">
        <v>17</v>
      </c>
      <c r="Q1" s="3" t="s">
        <v>0</v>
      </c>
      <c r="R1" s="3" t="s">
        <v>73</v>
      </c>
      <c r="S1" s="3" t="s">
        <v>30</v>
      </c>
      <c r="T1" s="3" t="s">
        <v>44</v>
      </c>
      <c r="U1" s="3" t="s">
        <v>311</v>
      </c>
      <c r="V1" s="100" t="s">
        <v>301</v>
      </c>
      <c r="W1" s="3" t="s">
        <v>86</v>
      </c>
      <c r="X1" s="100" t="s">
        <v>9</v>
      </c>
      <c r="Y1" s="1" t="s">
        <v>62</v>
      </c>
      <c r="Z1" s="3" t="s">
        <v>79</v>
      </c>
    </row>
    <row r="2" spans="1:26" ht="15.75" thickTop="1" x14ac:dyDescent="0.25">
      <c r="A2" s="512" t="s">
        <v>60</v>
      </c>
      <c r="B2" s="512"/>
      <c r="C2" s="512"/>
      <c r="D2" s="512"/>
      <c r="E2" s="512"/>
      <c r="F2" s="512"/>
      <c r="G2" s="512"/>
      <c r="H2" s="513"/>
    </row>
    <row r="3" spans="1:26" x14ac:dyDescent="0.25">
      <c r="A3" s="512"/>
      <c r="B3" s="512" t="s">
        <v>50</v>
      </c>
      <c r="C3" s="512"/>
      <c r="D3" s="512"/>
      <c r="E3" s="512"/>
      <c r="F3" s="512"/>
      <c r="G3" s="512"/>
      <c r="H3" s="513"/>
    </row>
    <row r="4" spans="1:26" x14ac:dyDescent="0.25">
      <c r="A4" s="512"/>
      <c r="B4" s="512"/>
      <c r="C4" s="512" t="s">
        <v>857</v>
      </c>
      <c r="D4" s="512"/>
      <c r="E4" s="512"/>
      <c r="F4" s="512"/>
      <c r="G4" s="512"/>
      <c r="H4" s="513"/>
    </row>
    <row r="5" spans="1:26" x14ac:dyDescent="0.25">
      <c r="A5" s="512"/>
      <c r="B5" s="512"/>
      <c r="C5" s="512"/>
      <c r="D5" s="512" t="s">
        <v>651</v>
      </c>
      <c r="E5" s="512"/>
      <c r="F5" s="512"/>
      <c r="G5" s="512"/>
      <c r="H5" s="513"/>
    </row>
    <row r="6" spans="1:26" x14ac:dyDescent="0.25">
      <c r="A6" s="512"/>
      <c r="B6" s="512"/>
      <c r="C6" s="512"/>
      <c r="D6" s="512"/>
      <c r="E6" s="512" t="s">
        <v>858</v>
      </c>
      <c r="F6" s="512"/>
      <c r="G6" s="512"/>
      <c r="H6" s="513">
        <v>24945.66</v>
      </c>
      <c r="I6" s="524">
        <f>+H6</f>
        <v>24945.66</v>
      </c>
    </row>
    <row r="7" spans="1:26" x14ac:dyDescent="0.25">
      <c r="A7" s="512"/>
      <c r="B7" s="512"/>
      <c r="C7" s="512"/>
      <c r="D7" s="512"/>
      <c r="E7" s="512" t="s">
        <v>859</v>
      </c>
      <c r="F7" s="512"/>
      <c r="G7" s="512"/>
      <c r="H7" s="513">
        <v>59068.52</v>
      </c>
      <c r="I7" s="524">
        <f t="shared" ref="I7:I8" si="0">+H7</f>
        <v>59068.52</v>
      </c>
    </row>
    <row r="8" spans="1:26" x14ac:dyDescent="0.25">
      <c r="A8" s="512"/>
      <c r="B8" s="512"/>
      <c r="C8" s="512"/>
      <c r="D8" s="512"/>
      <c r="E8" s="512" t="s">
        <v>860</v>
      </c>
      <c r="F8" s="512"/>
      <c r="G8" s="512"/>
      <c r="H8" s="513">
        <v>57684.34</v>
      </c>
      <c r="I8" s="524">
        <f t="shared" si="0"/>
        <v>57684.34</v>
      </c>
    </row>
    <row r="9" spans="1:26" x14ac:dyDescent="0.25">
      <c r="A9" s="512"/>
      <c r="B9" s="512"/>
      <c r="C9" s="512"/>
      <c r="D9" s="512"/>
      <c r="E9" s="512" t="s">
        <v>861</v>
      </c>
      <c r="F9" s="512"/>
      <c r="G9" s="512"/>
      <c r="H9" s="513">
        <v>-2267847.2200000002</v>
      </c>
      <c r="J9" s="524">
        <f>+H9</f>
        <v>-2267847.2200000002</v>
      </c>
    </row>
    <row r="10" spans="1:26" x14ac:dyDescent="0.25">
      <c r="A10" s="512"/>
      <c r="B10" s="512"/>
      <c r="C10" s="512"/>
      <c r="D10" s="512"/>
      <c r="E10" s="512" t="s">
        <v>862</v>
      </c>
      <c r="F10" s="512"/>
      <c r="G10" s="512"/>
      <c r="H10" s="513">
        <v>7530958.7000000002</v>
      </c>
      <c r="I10" s="524">
        <f>+H10</f>
        <v>7530958.7000000002</v>
      </c>
    </row>
    <row r="11" spans="1:26" x14ac:dyDescent="0.25">
      <c r="A11" s="512"/>
      <c r="B11" s="512"/>
      <c r="C11" s="512"/>
      <c r="D11" s="512"/>
      <c r="E11" s="512" t="s">
        <v>865</v>
      </c>
      <c r="F11" s="512"/>
      <c r="G11" s="512"/>
      <c r="H11" s="513">
        <v>-331273.27</v>
      </c>
      <c r="J11" s="524">
        <f>+H11</f>
        <v>-331273.27</v>
      </c>
    </row>
    <row r="12" spans="1:26" x14ac:dyDescent="0.25">
      <c r="A12" s="512"/>
      <c r="B12" s="512"/>
      <c r="C12" s="512"/>
      <c r="D12" s="512"/>
      <c r="E12" s="512" t="s">
        <v>866</v>
      </c>
      <c r="F12" s="512"/>
      <c r="G12" s="512"/>
      <c r="H12" s="513">
        <v>8878.65</v>
      </c>
      <c r="I12" s="524">
        <f>+H12</f>
        <v>8878.65</v>
      </c>
    </row>
    <row r="13" spans="1:26" x14ac:dyDescent="0.25">
      <c r="A13" s="512"/>
      <c r="B13" s="512"/>
      <c r="C13" s="512"/>
      <c r="D13" s="512"/>
      <c r="E13" s="512" t="s">
        <v>867</v>
      </c>
      <c r="F13" s="512"/>
      <c r="G13" s="512"/>
      <c r="H13" s="513">
        <v>509350</v>
      </c>
      <c r="I13" s="524">
        <f t="shared" ref="I13:I15" si="1">+H13</f>
        <v>509350</v>
      </c>
    </row>
    <row r="14" spans="1:26" x14ac:dyDescent="0.25">
      <c r="A14" s="512"/>
      <c r="B14" s="512"/>
      <c r="C14" s="512"/>
      <c r="D14" s="512"/>
      <c r="E14" s="512" t="s">
        <v>868</v>
      </c>
      <c r="F14" s="512"/>
      <c r="G14" s="512"/>
      <c r="H14" s="513">
        <v>288900</v>
      </c>
      <c r="I14" s="524">
        <f t="shared" si="1"/>
        <v>288900</v>
      </c>
    </row>
    <row r="15" spans="1:26" x14ac:dyDescent="0.25">
      <c r="A15" s="512"/>
      <c r="B15" s="512"/>
      <c r="C15" s="512"/>
      <c r="D15" s="512"/>
      <c r="E15" s="512" t="s">
        <v>869</v>
      </c>
      <c r="F15" s="512"/>
      <c r="G15" s="512"/>
      <c r="H15" s="513">
        <v>218535.33</v>
      </c>
      <c r="I15" s="524">
        <f t="shared" si="1"/>
        <v>218535.33</v>
      </c>
    </row>
    <row r="16" spans="1:26" x14ac:dyDescent="0.25">
      <c r="A16" s="512"/>
      <c r="B16" s="512"/>
      <c r="C16" s="512"/>
      <c r="D16" s="512"/>
      <c r="E16" s="512" t="s">
        <v>870</v>
      </c>
      <c r="F16" s="512"/>
      <c r="G16" s="512"/>
      <c r="H16" s="513">
        <v>-1454300.01</v>
      </c>
      <c r="J16" s="524">
        <f>+H16</f>
        <v>-1454300.01</v>
      </c>
    </row>
    <row r="17" spans="1:10" x14ac:dyDescent="0.25">
      <c r="A17" s="512"/>
      <c r="B17" s="512"/>
      <c r="C17" s="512"/>
      <c r="D17" s="512"/>
      <c r="E17" s="512" t="s">
        <v>871</v>
      </c>
      <c r="F17" s="512"/>
      <c r="G17" s="512"/>
      <c r="H17" s="513">
        <v>-679648.82</v>
      </c>
      <c r="J17" s="524">
        <f>+H17</f>
        <v>-679648.82</v>
      </c>
    </row>
    <row r="18" spans="1:10" x14ac:dyDescent="0.25">
      <c r="A18" s="512"/>
      <c r="B18" s="512"/>
      <c r="C18" s="512"/>
      <c r="D18" s="512"/>
      <c r="E18" s="512" t="s">
        <v>872</v>
      </c>
      <c r="F18" s="512"/>
      <c r="G18" s="512"/>
      <c r="H18" s="513">
        <v>528036.18999999994</v>
      </c>
      <c r="I18" s="524">
        <f>+H18</f>
        <v>528036.18999999994</v>
      </c>
    </row>
    <row r="19" spans="1:10" x14ac:dyDescent="0.25">
      <c r="A19" s="512"/>
      <c r="B19" s="512"/>
      <c r="C19" s="512"/>
      <c r="D19" s="512"/>
      <c r="E19" s="512" t="s">
        <v>874</v>
      </c>
      <c r="F19" s="512"/>
      <c r="G19" s="512"/>
      <c r="H19" s="513">
        <v>-4766224.3899999997</v>
      </c>
      <c r="J19" s="524">
        <f>+H19</f>
        <v>-4766224.3899999997</v>
      </c>
    </row>
    <row r="20" spans="1:10" x14ac:dyDescent="0.25">
      <c r="A20" s="512"/>
      <c r="B20" s="512"/>
      <c r="C20" s="512"/>
      <c r="D20" s="512"/>
      <c r="E20" s="512" t="s">
        <v>1515</v>
      </c>
      <c r="F20" s="512"/>
      <c r="G20" s="512"/>
      <c r="H20" s="513">
        <v>50000</v>
      </c>
      <c r="I20" s="524">
        <f>+H20</f>
        <v>50000</v>
      </c>
    </row>
    <row r="21" spans="1:10" x14ac:dyDescent="0.25">
      <c r="A21" s="512"/>
      <c r="B21" s="512"/>
      <c r="C21" s="512"/>
      <c r="D21" s="512"/>
      <c r="E21" s="512" t="s">
        <v>876</v>
      </c>
      <c r="F21" s="512"/>
      <c r="G21" s="512"/>
      <c r="H21" s="513">
        <v>689783.99</v>
      </c>
      <c r="I21" s="524">
        <f>+H21</f>
        <v>689783.99</v>
      </c>
    </row>
    <row r="22" spans="1:10" x14ac:dyDescent="0.25">
      <c r="A22" s="512"/>
      <c r="B22" s="512"/>
      <c r="C22" s="512"/>
      <c r="D22" s="512"/>
      <c r="E22" s="512" t="s">
        <v>877</v>
      </c>
      <c r="F22" s="512"/>
      <c r="G22" s="512"/>
      <c r="H22" s="513"/>
    </row>
    <row r="23" spans="1:10" x14ac:dyDescent="0.25">
      <c r="A23" s="512"/>
      <c r="B23" s="512"/>
      <c r="C23" s="512"/>
      <c r="D23" s="512"/>
      <c r="E23" s="512"/>
      <c r="F23" s="512" t="s">
        <v>878</v>
      </c>
      <c r="G23" s="512"/>
      <c r="H23" s="513">
        <v>13108.85</v>
      </c>
      <c r="I23" s="524">
        <f>+H23</f>
        <v>13108.85</v>
      </c>
    </row>
    <row r="24" spans="1:10" x14ac:dyDescent="0.25">
      <c r="A24" s="512"/>
      <c r="B24" s="512"/>
      <c r="C24" s="512"/>
      <c r="D24" s="512"/>
      <c r="E24" s="512"/>
      <c r="F24" s="512" t="s">
        <v>881</v>
      </c>
      <c r="G24" s="512"/>
      <c r="H24" s="513">
        <v>-4814.58</v>
      </c>
      <c r="I24" s="524">
        <f>+H24</f>
        <v>-4814.58</v>
      </c>
      <c r="J24" s="524"/>
    </row>
    <row r="25" spans="1:10" x14ac:dyDescent="0.25">
      <c r="A25" s="512"/>
      <c r="B25" s="512"/>
      <c r="C25" s="512"/>
      <c r="D25" s="512"/>
      <c r="E25" s="512"/>
      <c r="F25" s="512" t="s">
        <v>882</v>
      </c>
      <c r="G25" s="512"/>
      <c r="H25" s="513">
        <v>1522817.92</v>
      </c>
      <c r="I25" s="524">
        <f>+H25</f>
        <v>1522817.92</v>
      </c>
    </row>
    <row r="26" spans="1:10" x14ac:dyDescent="0.25">
      <c r="A26" s="512"/>
      <c r="B26" s="512"/>
      <c r="C26" s="512"/>
      <c r="D26" s="512"/>
      <c r="E26" s="512"/>
      <c r="F26" s="512" t="s">
        <v>883</v>
      </c>
      <c r="G26" s="512"/>
      <c r="H26" s="513">
        <v>39170</v>
      </c>
      <c r="I26" s="524">
        <f t="shared" ref="I26:I27" si="2">+H26</f>
        <v>39170</v>
      </c>
    </row>
    <row r="27" spans="1:10" x14ac:dyDescent="0.25">
      <c r="A27" s="512"/>
      <c r="B27" s="512"/>
      <c r="C27" s="512"/>
      <c r="D27" s="512"/>
      <c r="E27" s="512"/>
      <c r="F27" s="512" t="s">
        <v>884</v>
      </c>
      <c r="G27" s="512"/>
      <c r="H27" s="513">
        <v>6168.68</v>
      </c>
      <c r="I27" s="524">
        <f t="shared" si="2"/>
        <v>6168.68</v>
      </c>
    </row>
    <row r="28" spans="1:10" x14ac:dyDescent="0.25">
      <c r="A28" s="512"/>
      <c r="B28" s="512"/>
      <c r="C28" s="512"/>
      <c r="D28" s="512"/>
      <c r="E28" s="512"/>
      <c r="F28" s="512" t="s">
        <v>888</v>
      </c>
      <c r="G28" s="512"/>
      <c r="H28" s="513">
        <v>-33201</v>
      </c>
      <c r="I28" s="524">
        <f>+H28</f>
        <v>-33201</v>
      </c>
      <c r="J28" s="524"/>
    </row>
    <row r="29" spans="1:10" x14ac:dyDescent="0.25">
      <c r="A29" s="512"/>
      <c r="B29" s="512"/>
      <c r="C29" s="512"/>
      <c r="D29" s="512"/>
      <c r="E29" s="512"/>
      <c r="F29" s="512" t="s">
        <v>891</v>
      </c>
      <c r="G29" s="512"/>
      <c r="H29" s="513">
        <v>1155649.26</v>
      </c>
      <c r="I29" s="524">
        <f>+H29</f>
        <v>1155649.26</v>
      </c>
    </row>
    <row r="30" spans="1:10" x14ac:dyDescent="0.25">
      <c r="A30" s="512"/>
      <c r="B30" s="512"/>
      <c r="C30" s="512"/>
      <c r="D30" s="512"/>
      <c r="E30" s="512"/>
      <c r="F30" s="512" t="s">
        <v>892</v>
      </c>
      <c r="G30" s="512"/>
      <c r="H30" s="513">
        <v>363779.5</v>
      </c>
      <c r="I30" s="524">
        <f t="shared" ref="I30:I31" si="3">+H30</f>
        <v>363779.5</v>
      </c>
    </row>
    <row r="31" spans="1:10" ht="15.75" thickBot="1" x14ac:dyDescent="0.3">
      <c r="A31" s="512"/>
      <c r="B31" s="512"/>
      <c r="C31" s="512"/>
      <c r="D31" s="512"/>
      <c r="E31" s="512"/>
      <c r="F31" s="512" t="s">
        <v>895</v>
      </c>
      <c r="G31" s="512"/>
      <c r="H31" s="515">
        <v>19014</v>
      </c>
      <c r="I31" s="524">
        <f t="shared" si="3"/>
        <v>19014</v>
      </c>
    </row>
    <row r="32" spans="1:10" x14ac:dyDescent="0.25">
      <c r="A32" s="512"/>
      <c r="B32" s="512"/>
      <c r="C32" s="512"/>
      <c r="D32" s="512"/>
      <c r="E32" s="512" t="s">
        <v>896</v>
      </c>
      <c r="F32" s="512"/>
      <c r="G32" s="512"/>
      <c r="H32" s="513">
        <f>ROUND(SUM(H22:H31),5)</f>
        <v>3081692.63</v>
      </c>
    </row>
    <row r="33" spans="1:16" x14ac:dyDescent="0.25">
      <c r="A33" s="512"/>
      <c r="B33" s="512"/>
      <c r="C33" s="512"/>
      <c r="D33" s="512"/>
      <c r="E33" s="512" t="s">
        <v>1516</v>
      </c>
      <c r="F33" s="512"/>
      <c r="G33" s="512"/>
      <c r="H33" s="513"/>
    </row>
    <row r="34" spans="1:16" x14ac:dyDescent="0.25">
      <c r="A34" s="512"/>
      <c r="B34" s="512"/>
      <c r="C34" s="512"/>
      <c r="D34" s="512"/>
      <c r="E34" s="512"/>
      <c r="F34" s="512" t="s">
        <v>1517</v>
      </c>
      <c r="G34" s="512"/>
      <c r="H34" s="513">
        <v>20257.5</v>
      </c>
      <c r="I34" s="524">
        <f>+H34</f>
        <v>20257.5</v>
      </c>
    </row>
    <row r="35" spans="1:16" x14ac:dyDescent="0.25">
      <c r="A35" s="512"/>
      <c r="B35" s="512"/>
      <c r="C35" s="512"/>
      <c r="D35" s="512"/>
      <c r="E35" s="512"/>
      <c r="F35" s="512" t="s">
        <v>1518</v>
      </c>
      <c r="G35" s="512"/>
      <c r="H35" s="513">
        <v>2457.5</v>
      </c>
      <c r="I35" s="524">
        <f t="shared" ref="I35:I38" si="4">+H35</f>
        <v>2457.5</v>
      </c>
    </row>
    <row r="36" spans="1:16" x14ac:dyDescent="0.25">
      <c r="A36" s="512"/>
      <c r="B36" s="512"/>
      <c r="C36" s="512"/>
      <c r="D36" s="512"/>
      <c r="E36" s="512"/>
      <c r="F36" s="512" t="s">
        <v>1519</v>
      </c>
      <c r="G36" s="512"/>
      <c r="H36" s="513">
        <v>13348</v>
      </c>
      <c r="I36" s="524">
        <f t="shared" si="4"/>
        <v>13348</v>
      </c>
    </row>
    <row r="37" spans="1:16" x14ac:dyDescent="0.25">
      <c r="A37" s="512"/>
      <c r="B37" s="512"/>
      <c r="C37" s="512"/>
      <c r="D37" s="512"/>
      <c r="E37" s="512"/>
      <c r="F37" s="512" t="s">
        <v>1520</v>
      </c>
      <c r="G37" s="512"/>
      <c r="H37" s="513">
        <v>55211</v>
      </c>
      <c r="I37" s="524">
        <f t="shared" si="4"/>
        <v>55211</v>
      </c>
    </row>
    <row r="38" spans="1:16" x14ac:dyDescent="0.25">
      <c r="A38" s="512"/>
      <c r="B38" s="512"/>
      <c r="C38" s="512"/>
      <c r="D38" s="512"/>
      <c r="E38" s="512"/>
      <c r="F38" s="512" t="s">
        <v>1521</v>
      </c>
      <c r="G38" s="512"/>
      <c r="H38" s="513">
        <v>12235</v>
      </c>
      <c r="I38" s="524">
        <f t="shared" si="4"/>
        <v>12235</v>
      </c>
    </row>
    <row r="39" spans="1:16" ht="15.75" thickBot="1" x14ac:dyDescent="0.3">
      <c r="A39" s="512"/>
      <c r="B39" s="512"/>
      <c r="C39" s="512"/>
      <c r="D39" s="512"/>
      <c r="E39" s="512"/>
      <c r="F39" s="512" t="s">
        <v>1522</v>
      </c>
      <c r="G39" s="512"/>
      <c r="H39" s="515">
        <v>-15380</v>
      </c>
      <c r="I39" s="524">
        <f>+H39</f>
        <v>-15380</v>
      </c>
      <c r="J39" s="524"/>
    </row>
    <row r="40" spans="1:16" x14ac:dyDescent="0.25">
      <c r="A40" s="512"/>
      <c r="B40" s="512"/>
      <c r="C40" s="512"/>
      <c r="D40" s="512"/>
      <c r="E40" s="512" t="s">
        <v>1523</v>
      </c>
      <c r="F40" s="512"/>
      <c r="G40" s="512"/>
      <c r="H40" s="513">
        <f>ROUND(SUM(H33:H39),5)</f>
        <v>88129</v>
      </c>
    </row>
    <row r="41" spans="1:16" ht="15.75" thickBot="1" x14ac:dyDescent="0.3">
      <c r="A41" s="512"/>
      <c r="B41" s="512"/>
      <c r="C41" s="512"/>
      <c r="D41" s="512"/>
      <c r="E41" s="512" t="s">
        <v>897</v>
      </c>
      <c r="F41" s="512"/>
      <c r="G41" s="512"/>
      <c r="H41" s="516">
        <v>-28120</v>
      </c>
      <c r="I41" s="539">
        <f>+H41</f>
        <v>-28120</v>
      </c>
      <c r="J41" s="525"/>
    </row>
    <row r="42" spans="1:16" ht="15.75" thickBot="1" x14ac:dyDescent="0.3">
      <c r="A42" s="512"/>
      <c r="B42" s="512"/>
      <c r="C42" s="512"/>
      <c r="D42" s="512" t="s">
        <v>898</v>
      </c>
      <c r="E42" s="512"/>
      <c r="F42" s="512"/>
      <c r="G42" s="512"/>
      <c r="H42" s="517">
        <f>ROUND(SUM(H5:H21)+H32+SUM(H40:H41),5)</f>
        <v>3608549.3</v>
      </c>
    </row>
    <row r="43" spans="1:16" x14ac:dyDescent="0.25">
      <c r="A43" s="512"/>
      <c r="B43" s="512"/>
      <c r="C43" s="512" t="s">
        <v>899</v>
      </c>
      <c r="D43" s="512"/>
      <c r="E43" s="512"/>
      <c r="F43" s="512"/>
      <c r="G43" s="512"/>
      <c r="H43" s="513">
        <f>ROUND(H4+H42,5)</f>
        <v>3608549.3</v>
      </c>
    </row>
    <row r="44" spans="1:16" x14ac:dyDescent="0.25">
      <c r="A44" s="512"/>
      <c r="B44" s="512"/>
      <c r="C44" s="512" t="s">
        <v>900</v>
      </c>
      <c r="D44" s="512"/>
      <c r="E44" s="512"/>
      <c r="F44" s="512"/>
      <c r="G44" s="512"/>
      <c r="H44" s="513"/>
    </row>
    <row r="45" spans="1:16" s="537" customFormat="1" ht="15.75" thickBot="1" x14ac:dyDescent="0.3">
      <c r="A45" s="536"/>
      <c r="B45" s="536"/>
      <c r="C45" s="536"/>
      <c r="D45" s="536" t="s">
        <v>97</v>
      </c>
      <c r="E45" s="536"/>
      <c r="F45" s="536"/>
      <c r="G45" s="536"/>
      <c r="H45" s="535">
        <v>43578227.369999997</v>
      </c>
      <c r="P45" s="538">
        <f>+H45</f>
        <v>43578227.369999997</v>
      </c>
    </row>
    <row r="46" spans="1:16" x14ac:dyDescent="0.25">
      <c r="A46" s="512"/>
      <c r="B46" s="512"/>
      <c r="C46" s="512" t="s">
        <v>901</v>
      </c>
      <c r="D46" s="512"/>
      <c r="E46" s="512"/>
      <c r="F46" s="512"/>
      <c r="G46" s="512"/>
      <c r="H46" s="513">
        <f>ROUND(SUM(H44:H45),5)</f>
        <v>43578227.369999997</v>
      </c>
    </row>
    <row r="47" spans="1:16" x14ac:dyDescent="0.25">
      <c r="A47" s="512"/>
      <c r="B47" s="512"/>
      <c r="C47" s="512" t="s">
        <v>902</v>
      </c>
      <c r="D47" s="512"/>
      <c r="E47" s="512"/>
      <c r="F47" s="512"/>
      <c r="G47" s="512"/>
      <c r="H47" s="513"/>
    </row>
    <row r="48" spans="1:16" s="537" customFormat="1" x14ac:dyDescent="0.25">
      <c r="A48" s="536"/>
      <c r="B48" s="536"/>
      <c r="C48" s="536"/>
      <c r="D48" s="536" t="s">
        <v>1524</v>
      </c>
      <c r="E48" s="536"/>
      <c r="F48" s="536"/>
      <c r="G48" s="536"/>
      <c r="H48" s="533">
        <v>11200</v>
      </c>
      <c r="I48" s="538"/>
      <c r="P48" s="538">
        <f>+H48</f>
        <v>11200</v>
      </c>
    </row>
    <row r="49" spans="1:16" x14ac:dyDescent="0.25">
      <c r="A49" s="512"/>
      <c r="B49" s="512"/>
      <c r="C49" s="512"/>
      <c r="D49" s="512" t="s">
        <v>345</v>
      </c>
      <c r="E49" s="512"/>
      <c r="F49" s="512"/>
      <c r="G49" s="512"/>
      <c r="H49" s="513">
        <v>4284168.58</v>
      </c>
      <c r="O49" s="524">
        <f>+H49</f>
        <v>4284168.58</v>
      </c>
    </row>
    <row r="50" spans="1:16" x14ac:dyDescent="0.25">
      <c r="A50" s="512"/>
      <c r="B50" s="512"/>
      <c r="C50" s="512"/>
      <c r="D50" s="512" t="s">
        <v>903</v>
      </c>
      <c r="E50" s="512"/>
      <c r="F50" s="512"/>
      <c r="G50" s="512"/>
      <c r="H50" s="513"/>
    </row>
    <row r="51" spans="1:16" x14ac:dyDescent="0.25">
      <c r="A51" s="512"/>
      <c r="B51" s="512"/>
      <c r="C51" s="512"/>
      <c r="D51" s="512"/>
      <c r="E51" s="512" t="s">
        <v>904</v>
      </c>
      <c r="F51" s="512"/>
      <c r="G51" s="512"/>
      <c r="H51" s="513">
        <v>-3771595.65</v>
      </c>
      <c r="O51" s="524">
        <f t="shared" ref="O51:O56" si="5">+H51</f>
        <v>-3771595.65</v>
      </c>
    </row>
    <row r="52" spans="1:16" x14ac:dyDescent="0.25">
      <c r="A52" s="512"/>
      <c r="B52" s="512"/>
      <c r="C52" s="512"/>
      <c r="D52" s="512"/>
      <c r="E52" s="512" t="s">
        <v>905</v>
      </c>
      <c r="F52" s="512"/>
      <c r="G52" s="512"/>
      <c r="H52" s="513">
        <v>-1162926.6599999999</v>
      </c>
      <c r="O52" s="524">
        <f t="shared" si="5"/>
        <v>-1162926.6599999999</v>
      </c>
    </row>
    <row r="53" spans="1:16" x14ac:dyDescent="0.25">
      <c r="A53" s="512"/>
      <c r="B53" s="512"/>
      <c r="C53" s="512"/>
      <c r="D53" s="512"/>
      <c r="E53" s="512" t="s">
        <v>906</v>
      </c>
      <c r="F53" s="512"/>
      <c r="G53" s="512"/>
      <c r="H53" s="513">
        <v>3645959.18</v>
      </c>
      <c r="O53" s="524">
        <f t="shared" si="5"/>
        <v>3645959.18</v>
      </c>
    </row>
    <row r="54" spans="1:16" x14ac:dyDescent="0.25">
      <c r="A54" s="512"/>
      <c r="B54" s="512"/>
      <c r="C54" s="512"/>
      <c r="D54" s="512"/>
      <c r="E54" s="512" t="s">
        <v>907</v>
      </c>
      <c r="F54" s="512"/>
      <c r="G54" s="512"/>
      <c r="H54" s="513">
        <v>1563295.6</v>
      </c>
      <c r="O54" s="524">
        <f t="shared" si="5"/>
        <v>1563295.6</v>
      </c>
    </row>
    <row r="55" spans="1:16" x14ac:dyDescent="0.25">
      <c r="A55" s="512"/>
      <c r="B55" s="512"/>
      <c r="C55" s="512"/>
      <c r="D55" s="512"/>
      <c r="E55" s="512" t="s">
        <v>1525</v>
      </c>
      <c r="F55" s="512"/>
      <c r="G55" s="512"/>
      <c r="H55" s="513">
        <v>2200</v>
      </c>
      <c r="O55" s="524">
        <f t="shared" si="5"/>
        <v>2200</v>
      </c>
    </row>
    <row r="56" spans="1:16" x14ac:dyDescent="0.25">
      <c r="A56" s="512"/>
      <c r="B56" s="512"/>
      <c r="C56" s="512"/>
      <c r="D56" s="512"/>
      <c r="E56" s="512" t="s">
        <v>908</v>
      </c>
      <c r="F56" s="512"/>
      <c r="G56" s="512"/>
      <c r="H56" s="513">
        <v>3560155.11</v>
      </c>
      <c r="O56" s="524">
        <f t="shared" si="5"/>
        <v>3560155.11</v>
      </c>
    </row>
    <row r="57" spans="1:16" x14ac:dyDescent="0.25">
      <c r="A57" s="512"/>
      <c r="B57" s="512"/>
      <c r="C57" s="512"/>
      <c r="D57" s="512"/>
      <c r="E57" s="512" t="s">
        <v>909</v>
      </c>
      <c r="F57" s="512"/>
      <c r="G57" s="512"/>
      <c r="H57" s="513"/>
    </row>
    <row r="58" spans="1:16" x14ac:dyDescent="0.25">
      <c r="A58" s="512"/>
      <c r="B58" s="512"/>
      <c r="C58" s="512"/>
      <c r="D58" s="512"/>
      <c r="E58" s="512"/>
      <c r="F58" s="512" t="s">
        <v>910</v>
      </c>
      <c r="G58" s="512"/>
      <c r="H58" s="513">
        <v>472769.8</v>
      </c>
      <c r="P58" s="538">
        <f t="shared" ref="P58:P65" si="6">+H58</f>
        <v>472769.8</v>
      </c>
    </row>
    <row r="59" spans="1:16" x14ac:dyDescent="0.25">
      <c r="A59" s="512"/>
      <c r="B59" s="512"/>
      <c r="C59" s="512"/>
      <c r="D59" s="512"/>
      <c r="E59" s="512"/>
      <c r="F59" s="512" t="s">
        <v>911</v>
      </c>
      <c r="G59" s="512"/>
      <c r="H59" s="513">
        <v>569500</v>
      </c>
      <c r="P59" s="538">
        <f t="shared" si="6"/>
        <v>569500</v>
      </c>
    </row>
    <row r="60" spans="1:16" x14ac:dyDescent="0.25">
      <c r="A60" s="512"/>
      <c r="B60" s="512"/>
      <c r="C60" s="512"/>
      <c r="D60" s="512"/>
      <c r="E60" s="512"/>
      <c r="F60" s="512" t="s">
        <v>912</v>
      </c>
      <c r="G60" s="512"/>
      <c r="H60" s="513"/>
      <c r="P60" s="538">
        <f t="shared" si="6"/>
        <v>0</v>
      </c>
    </row>
    <row r="61" spans="1:16" x14ac:dyDescent="0.25">
      <c r="A61" s="512"/>
      <c r="B61" s="512"/>
      <c r="C61" s="512"/>
      <c r="D61" s="512"/>
      <c r="E61" s="512"/>
      <c r="F61" s="512"/>
      <c r="G61" s="512" t="s">
        <v>913</v>
      </c>
      <c r="H61" s="513">
        <v>64258</v>
      </c>
      <c r="P61" s="538">
        <f t="shared" si="6"/>
        <v>64258</v>
      </c>
    </row>
    <row r="62" spans="1:16" x14ac:dyDescent="0.25">
      <c r="A62" s="512"/>
      <c r="B62" s="512"/>
      <c r="C62" s="512"/>
      <c r="D62" s="512"/>
      <c r="E62" s="512"/>
      <c r="F62" s="512"/>
      <c r="G62" s="512" t="s">
        <v>914</v>
      </c>
      <c r="H62" s="513">
        <v>104981</v>
      </c>
      <c r="P62" s="538">
        <f t="shared" si="6"/>
        <v>104981</v>
      </c>
    </row>
    <row r="63" spans="1:16" x14ac:dyDescent="0.25">
      <c r="A63" s="512"/>
      <c r="B63" s="512"/>
      <c r="C63" s="512"/>
      <c r="D63" s="512"/>
      <c r="E63" s="512"/>
      <c r="F63" s="512"/>
      <c r="G63" s="512" t="s">
        <v>915</v>
      </c>
      <c r="H63" s="513">
        <v>1145559.97</v>
      </c>
      <c r="P63" s="538">
        <f t="shared" si="6"/>
        <v>1145559.97</v>
      </c>
    </row>
    <row r="64" spans="1:16" x14ac:dyDescent="0.25">
      <c r="A64" s="512"/>
      <c r="B64" s="512"/>
      <c r="C64" s="512"/>
      <c r="D64" s="512"/>
      <c r="E64" s="512"/>
      <c r="F64" s="512"/>
      <c r="G64" s="512" t="s">
        <v>1526</v>
      </c>
      <c r="H64" s="513">
        <v>6050</v>
      </c>
      <c r="P64" s="538">
        <f t="shared" si="6"/>
        <v>6050</v>
      </c>
    </row>
    <row r="65" spans="1:16" ht="15.75" thickBot="1" x14ac:dyDescent="0.3">
      <c r="A65" s="512"/>
      <c r="B65" s="512"/>
      <c r="C65" s="512"/>
      <c r="D65" s="512"/>
      <c r="E65" s="512"/>
      <c r="F65" s="512"/>
      <c r="G65" s="512" t="s">
        <v>916</v>
      </c>
      <c r="H65" s="515">
        <v>1484322.02</v>
      </c>
      <c r="P65" s="538">
        <f t="shared" si="6"/>
        <v>1484322.02</v>
      </c>
    </row>
    <row r="66" spans="1:16" x14ac:dyDescent="0.25">
      <c r="A66" s="512"/>
      <c r="B66" s="512"/>
      <c r="C66" s="512"/>
      <c r="D66" s="512"/>
      <c r="E66" s="512"/>
      <c r="F66" s="512" t="s">
        <v>917</v>
      </c>
      <c r="G66" s="512"/>
      <c r="H66" s="513">
        <f>ROUND(SUM(H60:H65),5)</f>
        <v>2805170.99</v>
      </c>
      <c r="P66" s="537"/>
    </row>
    <row r="67" spans="1:16" x14ac:dyDescent="0.25">
      <c r="A67" s="512"/>
      <c r="B67" s="512"/>
      <c r="C67" s="512"/>
      <c r="D67" s="512"/>
      <c r="E67" s="512"/>
      <c r="F67" s="512" t="s">
        <v>918</v>
      </c>
      <c r="G67" s="512"/>
      <c r="H67" s="513">
        <v>1068716.8999999999</v>
      </c>
      <c r="K67" s="524">
        <f>+H67</f>
        <v>1068716.8999999999</v>
      </c>
    </row>
    <row r="68" spans="1:16" x14ac:dyDescent="0.25">
      <c r="A68" s="512"/>
      <c r="B68" s="512"/>
      <c r="C68" s="512"/>
      <c r="D68" s="512"/>
      <c r="E68" s="512"/>
      <c r="F68" s="512" t="s">
        <v>919</v>
      </c>
      <c r="G68" s="512"/>
      <c r="H68" s="513"/>
    </row>
    <row r="69" spans="1:16" x14ac:dyDescent="0.25">
      <c r="A69" s="512"/>
      <c r="B69" s="512"/>
      <c r="C69" s="512"/>
      <c r="D69" s="512"/>
      <c r="E69" s="512"/>
      <c r="F69" s="512"/>
      <c r="G69" s="512" t="s">
        <v>920</v>
      </c>
      <c r="H69" s="513">
        <v>1039925</v>
      </c>
      <c r="P69" s="538">
        <f>+H69</f>
        <v>1039925</v>
      </c>
    </row>
    <row r="70" spans="1:16" ht="15.75" thickBot="1" x14ac:dyDescent="0.3">
      <c r="A70" s="512"/>
      <c r="B70" s="512"/>
      <c r="C70" s="512"/>
      <c r="D70" s="512"/>
      <c r="E70" s="512"/>
      <c r="F70" s="512"/>
      <c r="G70" s="512" t="s">
        <v>921</v>
      </c>
      <c r="H70" s="515">
        <v>800</v>
      </c>
      <c r="P70" s="538">
        <f>+H70</f>
        <v>800</v>
      </c>
    </row>
    <row r="71" spans="1:16" x14ac:dyDescent="0.25">
      <c r="A71" s="512"/>
      <c r="B71" s="512"/>
      <c r="C71" s="512"/>
      <c r="D71" s="512"/>
      <c r="E71" s="512"/>
      <c r="F71" s="512" t="s">
        <v>922</v>
      </c>
      <c r="G71" s="512"/>
      <c r="H71" s="513">
        <f>ROUND(SUM(H68:H70),5)</f>
        <v>1040725</v>
      </c>
    </row>
    <row r="72" spans="1:16" x14ac:dyDescent="0.25">
      <c r="A72" s="512"/>
      <c r="B72" s="512"/>
      <c r="C72" s="512"/>
      <c r="D72" s="512"/>
      <c r="E72" s="512"/>
      <c r="F72" s="512" t="s">
        <v>923</v>
      </c>
      <c r="G72" s="512"/>
      <c r="H72" s="513">
        <v>2000</v>
      </c>
      <c r="P72" s="538">
        <f>+H72</f>
        <v>2000</v>
      </c>
    </row>
    <row r="73" spans="1:16" ht="15.75" thickBot="1" x14ac:dyDescent="0.3">
      <c r="A73" s="512"/>
      <c r="B73" s="512"/>
      <c r="C73" s="512"/>
      <c r="D73" s="512"/>
      <c r="E73" s="512"/>
      <c r="F73" s="512" t="s">
        <v>924</v>
      </c>
      <c r="G73" s="512"/>
      <c r="H73" s="515">
        <v>370888</v>
      </c>
      <c r="P73" s="538">
        <f>+H73</f>
        <v>370888</v>
      </c>
    </row>
    <row r="74" spans="1:16" x14ac:dyDescent="0.25">
      <c r="A74" s="512"/>
      <c r="B74" s="512"/>
      <c r="C74" s="512"/>
      <c r="D74" s="512"/>
      <c r="E74" s="512" t="s">
        <v>925</v>
      </c>
      <c r="F74" s="512"/>
      <c r="G74" s="512"/>
      <c r="H74" s="513">
        <f>ROUND(SUM(H57:H59)+SUM(H66:H67)+SUM(H71:H73),5)</f>
        <v>6329770.6900000004</v>
      </c>
      <c r="P74" s="537"/>
    </row>
    <row r="75" spans="1:16" x14ac:dyDescent="0.25">
      <c r="A75" s="512"/>
      <c r="B75" s="512"/>
      <c r="C75" s="512"/>
      <c r="D75" s="512"/>
      <c r="E75" s="512" t="s">
        <v>926</v>
      </c>
      <c r="F75" s="512"/>
      <c r="G75" s="512"/>
      <c r="H75" s="513">
        <v>198349.51</v>
      </c>
      <c r="P75" s="538">
        <f>+H75</f>
        <v>198349.51</v>
      </c>
    </row>
    <row r="76" spans="1:16" x14ac:dyDescent="0.25">
      <c r="A76" s="512"/>
      <c r="B76" s="512"/>
      <c r="C76" s="512"/>
      <c r="D76" s="512"/>
      <c r="E76" s="512" t="s">
        <v>927</v>
      </c>
      <c r="F76" s="512"/>
      <c r="G76" s="512"/>
      <c r="H76" s="513">
        <v>78587.89</v>
      </c>
      <c r="P76" s="538">
        <f>+H76</f>
        <v>78587.89</v>
      </c>
    </row>
    <row r="77" spans="1:16" x14ac:dyDescent="0.25">
      <c r="A77" s="512"/>
      <c r="B77" s="512"/>
      <c r="C77" s="512"/>
      <c r="D77" s="512"/>
      <c r="E77" s="512" t="s">
        <v>928</v>
      </c>
      <c r="F77" s="512"/>
      <c r="G77" s="512"/>
      <c r="H77" s="513">
        <v>3567.5</v>
      </c>
      <c r="P77" s="538">
        <f>+H77</f>
        <v>3567.5</v>
      </c>
    </row>
    <row r="78" spans="1:16" x14ac:dyDescent="0.25">
      <c r="A78" s="512"/>
      <c r="B78" s="512"/>
      <c r="C78" s="512"/>
      <c r="D78" s="512"/>
      <c r="E78" s="512" t="s">
        <v>929</v>
      </c>
      <c r="F78" s="512"/>
      <c r="G78" s="512"/>
      <c r="H78" s="513"/>
    </row>
    <row r="79" spans="1:16" x14ac:dyDescent="0.25">
      <c r="A79" s="512"/>
      <c r="B79" s="512"/>
      <c r="C79" s="512"/>
      <c r="D79" s="512"/>
      <c r="E79" s="512"/>
      <c r="F79" s="512" t="s">
        <v>930</v>
      </c>
      <c r="G79" s="512"/>
      <c r="H79" s="513">
        <v>1230000</v>
      </c>
      <c r="P79" s="538">
        <f t="shared" ref="P79:P87" si="7">+H79</f>
        <v>1230000</v>
      </c>
    </row>
    <row r="80" spans="1:16" x14ac:dyDescent="0.25">
      <c r="A80" s="512"/>
      <c r="B80" s="512"/>
      <c r="C80" s="512"/>
      <c r="D80" s="512"/>
      <c r="E80" s="512"/>
      <c r="F80" s="512" t="s">
        <v>931</v>
      </c>
      <c r="G80" s="512"/>
      <c r="H80" s="513">
        <v>14500</v>
      </c>
      <c r="P80" s="538">
        <f t="shared" si="7"/>
        <v>14500</v>
      </c>
    </row>
    <row r="81" spans="1:16" x14ac:dyDescent="0.25">
      <c r="A81" s="512"/>
      <c r="B81" s="512"/>
      <c r="C81" s="512"/>
      <c r="D81" s="512"/>
      <c r="E81" s="512"/>
      <c r="F81" s="512" t="s">
        <v>932</v>
      </c>
      <c r="G81" s="512"/>
      <c r="H81" s="513">
        <v>64167</v>
      </c>
      <c r="P81" s="538">
        <f t="shared" si="7"/>
        <v>64167</v>
      </c>
    </row>
    <row r="82" spans="1:16" x14ac:dyDescent="0.25">
      <c r="A82" s="512"/>
      <c r="B82" s="512"/>
      <c r="C82" s="512"/>
      <c r="D82" s="512"/>
      <c r="E82" s="512"/>
      <c r="F82" s="512" t="s">
        <v>933</v>
      </c>
      <c r="G82" s="512"/>
      <c r="H82" s="513">
        <v>15000</v>
      </c>
      <c r="P82" s="538">
        <f t="shared" si="7"/>
        <v>15000</v>
      </c>
    </row>
    <row r="83" spans="1:16" x14ac:dyDescent="0.25">
      <c r="A83" s="512"/>
      <c r="B83" s="512"/>
      <c r="C83" s="512"/>
      <c r="D83" s="512"/>
      <c r="E83" s="512"/>
      <c r="F83" s="512" t="s">
        <v>934</v>
      </c>
      <c r="G83" s="512"/>
      <c r="H83" s="513">
        <v>72000</v>
      </c>
      <c r="P83" s="538">
        <f t="shared" si="7"/>
        <v>72000</v>
      </c>
    </row>
    <row r="84" spans="1:16" x14ac:dyDescent="0.25">
      <c r="A84" s="512"/>
      <c r="B84" s="512"/>
      <c r="C84" s="512"/>
      <c r="D84" s="512"/>
      <c r="E84" s="512"/>
      <c r="F84" s="512" t="s">
        <v>935</v>
      </c>
      <c r="G84" s="512"/>
      <c r="H84" s="513">
        <v>64000</v>
      </c>
      <c r="P84" s="538">
        <f t="shared" si="7"/>
        <v>64000</v>
      </c>
    </row>
    <row r="85" spans="1:16" x14ac:dyDescent="0.25">
      <c r="A85" s="512"/>
      <c r="B85" s="512"/>
      <c r="C85" s="512"/>
      <c r="D85" s="512"/>
      <c r="E85" s="512"/>
      <c r="F85" s="512" t="s">
        <v>1527</v>
      </c>
      <c r="G85" s="512"/>
      <c r="H85" s="513">
        <v>1000000</v>
      </c>
      <c r="P85" s="538">
        <f t="shared" si="7"/>
        <v>1000000</v>
      </c>
    </row>
    <row r="86" spans="1:16" x14ac:dyDescent="0.25">
      <c r="A86" s="512"/>
      <c r="B86" s="512"/>
      <c r="C86" s="512"/>
      <c r="D86" s="512"/>
      <c r="E86" s="512"/>
      <c r="F86" s="512" t="s">
        <v>936</v>
      </c>
      <c r="G86" s="512"/>
      <c r="H86" s="513">
        <v>82300</v>
      </c>
      <c r="P86" s="538">
        <f t="shared" si="7"/>
        <v>82300</v>
      </c>
    </row>
    <row r="87" spans="1:16" ht="15.75" thickBot="1" x14ac:dyDescent="0.3">
      <c r="A87" s="512"/>
      <c r="B87" s="512"/>
      <c r="C87" s="512"/>
      <c r="D87" s="512"/>
      <c r="E87" s="512"/>
      <c r="F87" s="512" t="s">
        <v>937</v>
      </c>
      <c r="G87" s="512"/>
      <c r="H87" s="515">
        <v>108080</v>
      </c>
      <c r="P87" s="538">
        <f t="shared" si="7"/>
        <v>108080</v>
      </c>
    </row>
    <row r="88" spans="1:16" x14ac:dyDescent="0.25">
      <c r="A88" s="512"/>
      <c r="B88" s="512"/>
      <c r="C88" s="512"/>
      <c r="D88" s="512"/>
      <c r="E88" s="512" t="s">
        <v>938</v>
      </c>
      <c r="F88" s="512"/>
      <c r="G88" s="512"/>
      <c r="H88" s="513">
        <f>ROUND(SUM(H78:H87),5)</f>
        <v>2650047</v>
      </c>
      <c r="P88" s="537"/>
    </row>
    <row r="89" spans="1:16" x14ac:dyDescent="0.25">
      <c r="A89" s="512"/>
      <c r="B89" s="512"/>
      <c r="C89" s="512"/>
      <c r="D89" s="512"/>
      <c r="E89" s="512" t="s">
        <v>939</v>
      </c>
      <c r="F89" s="512"/>
      <c r="G89" s="512"/>
      <c r="H89" s="513">
        <v>2169580.9900000002</v>
      </c>
      <c r="P89" s="538">
        <f t="shared" ref="P89:P95" si="8">+H89</f>
        <v>2169580.9900000002</v>
      </c>
    </row>
    <row r="90" spans="1:16" x14ac:dyDescent="0.25">
      <c r="A90" s="512"/>
      <c r="B90" s="512"/>
      <c r="C90" s="512"/>
      <c r="D90" s="512"/>
      <c r="E90" s="512" t="s">
        <v>940</v>
      </c>
      <c r="F90" s="512"/>
      <c r="G90" s="512"/>
      <c r="H90" s="513">
        <v>237808</v>
      </c>
      <c r="P90" s="538">
        <f t="shared" si="8"/>
        <v>237808</v>
      </c>
    </row>
    <row r="91" spans="1:16" x14ac:dyDescent="0.25">
      <c r="A91" s="512"/>
      <c r="B91" s="512"/>
      <c r="C91" s="512"/>
      <c r="D91" s="512"/>
      <c r="E91" s="512" t="s">
        <v>941</v>
      </c>
      <c r="F91" s="512"/>
      <c r="G91" s="512"/>
      <c r="H91" s="513"/>
      <c r="P91" s="538">
        <f t="shared" si="8"/>
        <v>0</v>
      </c>
    </row>
    <row r="92" spans="1:16" x14ac:dyDescent="0.25">
      <c r="A92" s="512"/>
      <c r="B92" s="512"/>
      <c r="C92" s="512"/>
      <c r="D92" s="512"/>
      <c r="E92" s="512"/>
      <c r="F92" s="512" t="s">
        <v>942</v>
      </c>
      <c r="G92" s="512"/>
      <c r="H92" s="513">
        <v>565742.34</v>
      </c>
      <c r="P92" s="538">
        <f t="shared" si="8"/>
        <v>565742.34</v>
      </c>
    </row>
    <row r="93" spans="1:16" x14ac:dyDescent="0.25">
      <c r="A93" s="512"/>
      <c r="B93" s="512"/>
      <c r="C93" s="512"/>
      <c r="D93" s="512"/>
      <c r="E93" s="512"/>
      <c r="F93" s="512" t="s">
        <v>943</v>
      </c>
      <c r="G93" s="512"/>
      <c r="H93" s="513">
        <v>202397.09</v>
      </c>
      <c r="P93" s="538">
        <f t="shared" si="8"/>
        <v>202397.09</v>
      </c>
    </row>
    <row r="94" spans="1:16" x14ac:dyDescent="0.25">
      <c r="A94" s="512"/>
      <c r="B94" s="512"/>
      <c r="C94" s="512"/>
      <c r="D94" s="512"/>
      <c r="E94" s="512"/>
      <c r="F94" s="512" t="s">
        <v>944</v>
      </c>
      <c r="G94" s="512"/>
      <c r="H94" s="513">
        <v>373561.88</v>
      </c>
      <c r="P94" s="538">
        <f t="shared" si="8"/>
        <v>373561.88</v>
      </c>
    </row>
    <row r="95" spans="1:16" ht="15.75" thickBot="1" x14ac:dyDescent="0.3">
      <c r="A95" s="512"/>
      <c r="B95" s="512"/>
      <c r="C95" s="512"/>
      <c r="D95" s="512"/>
      <c r="E95" s="512"/>
      <c r="F95" s="512" t="s">
        <v>1528</v>
      </c>
      <c r="G95" s="512"/>
      <c r="H95" s="515">
        <v>982059.49</v>
      </c>
      <c r="P95" s="538">
        <f t="shared" si="8"/>
        <v>982059.49</v>
      </c>
    </row>
    <row r="96" spans="1:16" x14ac:dyDescent="0.25">
      <c r="A96" s="512"/>
      <c r="B96" s="512"/>
      <c r="C96" s="512"/>
      <c r="D96" s="512"/>
      <c r="E96" s="512" t="s">
        <v>945</v>
      </c>
      <c r="F96" s="512"/>
      <c r="G96" s="512"/>
      <c r="H96" s="513">
        <f>ROUND(SUM(H91:H95),5)</f>
        <v>2123760.7999999998</v>
      </c>
    </row>
    <row r="97" spans="1:17" x14ac:dyDescent="0.25">
      <c r="A97" s="512"/>
      <c r="B97" s="512"/>
      <c r="C97" s="512"/>
      <c r="D97" s="512"/>
      <c r="E97" s="512" t="s">
        <v>946</v>
      </c>
      <c r="F97" s="512"/>
      <c r="G97" s="512"/>
      <c r="H97" s="513">
        <v>40034921.460000001</v>
      </c>
      <c r="Q97" s="524">
        <f t="shared" ref="Q97:Q105" si="9">+H97</f>
        <v>40034921.460000001</v>
      </c>
    </row>
    <row r="98" spans="1:17" x14ac:dyDescent="0.25">
      <c r="A98" s="512"/>
      <c r="B98" s="512"/>
      <c r="C98" s="512"/>
      <c r="D98" s="512"/>
      <c r="E98" s="512" t="s">
        <v>947</v>
      </c>
      <c r="F98" s="512"/>
      <c r="G98" s="512"/>
      <c r="H98" s="513">
        <v>194929154.75</v>
      </c>
      <c r="Q98" s="524">
        <f t="shared" si="9"/>
        <v>194929154.75</v>
      </c>
    </row>
    <row r="99" spans="1:17" x14ac:dyDescent="0.25">
      <c r="A99" s="512"/>
      <c r="B99" s="512"/>
      <c r="C99" s="512"/>
      <c r="D99" s="512"/>
      <c r="E99" s="512" t="s">
        <v>948</v>
      </c>
      <c r="F99" s="512"/>
      <c r="G99" s="512"/>
      <c r="H99" s="513">
        <v>23238457.329999998</v>
      </c>
      <c r="Q99" s="524">
        <f t="shared" si="9"/>
        <v>23238457.329999998</v>
      </c>
    </row>
    <row r="100" spans="1:17" x14ac:dyDescent="0.25">
      <c r="A100" s="512"/>
      <c r="B100" s="512"/>
      <c r="C100" s="512"/>
      <c r="D100" s="512"/>
      <c r="E100" s="512" t="s">
        <v>1529</v>
      </c>
      <c r="F100" s="512"/>
      <c r="G100" s="512"/>
      <c r="H100" s="513">
        <v>31632</v>
      </c>
      <c r="Q100" s="524">
        <f t="shared" si="9"/>
        <v>31632</v>
      </c>
    </row>
    <row r="101" spans="1:17" x14ac:dyDescent="0.25">
      <c r="A101" s="512"/>
      <c r="B101" s="512"/>
      <c r="C101" s="512"/>
      <c r="D101" s="512"/>
      <c r="E101" s="512" t="s">
        <v>949</v>
      </c>
      <c r="F101" s="512"/>
      <c r="G101" s="512"/>
      <c r="H101" s="513">
        <v>10702787.550000001</v>
      </c>
      <c r="Q101" s="524">
        <f t="shared" si="9"/>
        <v>10702787.550000001</v>
      </c>
    </row>
    <row r="102" spans="1:17" x14ac:dyDescent="0.25">
      <c r="A102" s="512"/>
      <c r="B102" s="512"/>
      <c r="C102" s="512"/>
      <c r="D102" s="512"/>
      <c r="E102" s="512" t="s">
        <v>950</v>
      </c>
      <c r="F102" s="512"/>
      <c r="G102" s="512"/>
      <c r="H102" s="513">
        <v>136501</v>
      </c>
      <c r="Q102" s="524">
        <f t="shared" si="9"/>
        <v>136501</v>
      </c>
    </row>
    <row r="103" spans="1:17" x14ac:dyDescent="0.25">
      <c r="A103" s="512"/>
      <c r="B103" s="512"/>
      <c r="C103" s="512"/>
      <c r="D103" s="512"/>
      <c r="E103" s="512" t="s">
        <v>951</v>
      </c>
      <c r="F103" s="512"/>
      <c r="G103" s="512"/>
      <c r="H103" s="513">
        <v>10902230.76</v>
      </c>
      <c r="Q103" s="524">
        <f t="shared" si="9"/>
        <v>10902230.76</v>
      </c>
    </row>
    <row r="104" spans="1:17" x14ac:dyDescent="0.25">
      <c r="A104" s="512"/>
      <c r="B104" s="512"/>
      <c r="C104" s="512"/>
      <c r="D104" s="512"/>
      <c r="E104" s="512" t="s">
        <v>952</v>
      </c>
      <c r="F104" s="512"/>
      <c r="G104" s="512"/>
      <c r="H104" s="513">
        <v>2598059.6</v>
      </c>
      <c r="Q104" s="524">
        <f t="shared" si="9"/>
        <v>2598059.6</v>
      </c>
    </row>
    <row r="105" spans="1:17" x14ac:dyDescent="0.25">
      <c r="A105" s="512"/>
      <c r="B105" s="512"/>
      <c r="C105" s="512"/>
      <c r="D105" s="512"/>
      <c r="E105" s="512" t="s">
        <v>1530</v>
      </c>
      <c r="F105" s="512"/>
      <c r="G105" s="512"/>
      <c r="H105" s="513">
        <v>353050</v>
      </c>
      <c r="Q105" s="524">
        <f t="shared" si="9"/>
        <v>353050</v>
      </c>
    </row>
    <row r="106" spans="1:17" ht="15.75" thickBot="1" x14ac:dyDescent="0.3">
      <c r="A106" s="512"/>
      <c r="B106" s="512"/>
      <c r="C106" s="512"/>
      <c r="D106" s="512"/>
      <c r="E106" s="512" t="s">
        <v>1531</v>
      </c>
      <c r="F106" s="512"/>
      <c r="G106" s="512"/>
      <c r="H106" s="526">
        <v>-874967</v>
      </c>
      <c r="K106" s="524">
        <f>+H106</f>
        <v>-874967</v>
      </c>
      <c r="Q106" s="524"/>
    </row>
    <row r="107" spans="1:17" x14ac:dyDescent="0.25">
      <c r="A107" s="512"/>
      <c r="B107" s="512"/>
      <c r="C107" s="512"/>
      <c r="D107" s="512" t="s">
        <v>953</v>
      </c>
      <c r="E107" s="512"/>
      <c r="F107" s="512"/>
      <c r="G107" s="512"/>
      <c r="H107" s="513">
        <f>ROUND(SUM(H50:H56)+SUM(H74:H77)+SUM(H88:H90)+SUM(H96:H106),5)</f>
        <v>299680387.41000003</v>
      </c>
    </row>
    <row r="108" spans="1:17" x14ac:dyDescent="0.25">
      <c r="A108" s="512"/>
      <c r="B108" s="512"/>
      <c r="C108" s="512"/>
      <c r="D108" s="512" t="s">
        <v>1456</v>
      </c>
      <c r="E108" s="512"/>
      <c r="F108" s="512"/>
      <c r="G108" s="512"/>
      <c r="H108" s="513">
        <v>-195000</v>
      </c>
      <c r="P108" s="524">
        <f>+H108</f>
        <v>-195000</v>
      </c>
    </row>
    <row r="109" spans="1:17" ht="15.75" thickBot="1" x14ac:dyDescent="0.3">
      <c r="A109" s="512"/>
      <c r="B109" s="512"/>
      <c r="C109" s="512"/>
      <c r="D109" s="512" t="s">
        <v>954</v>
      </c>
      <c r="E109" s="512"/>
      <c r="F109" s="512"/>
      <c r="G109" s="512"/>
      <c r="H109" s="516">
        <v>323370.26</v>
      </c>
      <c r="P109" s="524">
        <f>+H109</f>
        <v>323370.26</v>
      </c>
    </row>
    <row r="110" spans="1:17" ht="15.75" thickBot="1" x14ac:dyDescent="0.3">
      <c r="A110" s="512"/>
      <c r="B110" s="512"/>
      <c r="C110" s="512" t="s">
        <v>955</v>
      </c>
      <c r="D110" s="512"/>
      <c r="E110" s="512"/>
      <c r="F110" s="512"/>
      <c r="G110" s="512"/>
      <c r="H110" s="517">
        <f>ROUND(SUM(H47:H49)+SUM(H107:H109),5)</f>
        <v>304104126.25</v>
      </c>
    </row>
    <row r="111" spans="1:17" x14ac:dyDescent="0.25">
      <c r="A111" s="512"/>
      <c r="B111" s="512" t="s">
        <v>1</v>
      </c>
      <c r="C111" s="512"/>
      <c r="D111" s="512"/>
      <c r="E111" s="512"/>
      <c r="F111" s="512"/>
      <c r="G111" s="512"/>
      <c r="H111" s="513">
        <f>ROUND(H3+H43+H46+H110,5)</f>
        <v>351290902.92000002</v>
      </c>
    </row>
    <row r="112" spans="1:17" x14ac:dyDescent="0.25">
      <c r="A112" s="512"/>
      <c r="B112" s="512" t="s">
        <v>956</v>
      </c>
      <c r="C112" s="512"/>
      <c r="D112" s="512"/>
      <c r="E112" s="512"/>
      <c r="F112" s="512"/>
      <c r="G112" s="512"/>
      <c r="H112" s="513"/>
    </row>
    <row r="113" spans="1:11" x14ac:dyDescent="0.25">
      <c r="A113" s="512"/>
      <c r="B113" s="512"/>
      <c r="C113" s="512" t="s">
        <v>521</v>
      </c>
      <c r="D113" s="512"/>
      <c r="E113" s="512"/>
      <c r="F113" s="512"/>
      <c r="G113" s="512"/>
      <c r="H113" s="513"/>
    </row>
    <row r="114" spans="1:11" x14ac:dyDescent="0.25">
      <c r="A114" s="512"/>
      <c r="B114" s="512"/>
      <c r="C114" s="512"/>
      <c r="D114" s="512" t="s">
        <v>957</v>
      </c>
      <c r="E114" s="512"/>
      <c r="F114" s="512"/>
      <c r="G114" s="512"/>
      <c r="H114" s="513"/>
    </row>
    <row r="115" spans="1:11" x14ac:dyDescent="0.25">
      <c r="A115" s="512"/>
      <c r="B115" s="512"/>
      <c r="C115" s="512"/>
      <c r="D115" s="512"/>
      <c r="E115" s="512" t="s">
        <v>958</v>
      </c>
      <c r="F115" s="512"/>
      <c r="G115" s="512"/>
      <c r="H115" s="513"/>
    </row>
    <row r="116" spans="1:11" x14ac:dyDescent="0.25">
      <c r="A116" s="512"/>
      <c r="B116" s="512"/>
      <c r="C116" s="512"/>
      <c r="D116" s="512"/>
      <c r="E116" s="512"/>
      <c r="F116" s="512" t="s">
        <v>959</v>
      </c>
      <c r="G116" s="512"/>
      <c r="H116" s="513">
        <v>2305600</v>
      </c>
      <c r="K116" s="524">
        <f t="shared" ref="K116:K137" si="10">+H116</f>
        <v>2305600</v>
      </c>
    </row>
    <row r="117" spans="1:11" x14ac:dyDescent="0.25">
      <c r="A117" s="512"/>
      <c r="B117" s="512"/>
      <c r="C117" s="512"/>
      <c r="D117" s="512"/>
      <c r="E117" s="512"/>
      <c r="F117" s="512" t="s">
        <v>960</v>
      </c>
      <c r="G117" s="512"/>
      <c r="H117" s="513">
        <v>3681068</v>
      </c>
      <c r="K117" s="524">
        <f t="shared" si="10"/>
        <v>3681068</v>
      </c>
    </row>
    <row r="118" spans="1:11" x14ac:dyDescent="0.25">
      <c r="A118" s="512"/>
      <c r="B118" s="512"/>
      <c r="C118" s="512"/>
      <c r="D118" s="512"/>
      <c r="E118" s="512"/>
      <c r="F118" s="512" t="s">
        <v>961</v>
      </c>
      <c r="G118" s="512"/>
      <c r="H118" s="513">
        <v>23293909</v>
      </c>
      <c r="K118" s="524">
        <f t="shared" si="10"/>
        <v>23293909</v>
      </c>
    </row>
    <row r="119" spans="1:11" x14ac:dyDescent="0.25">
      <c r="A119" s="512"/>
      <c r="B119" s="512"/>
      <c r="C119" s="512"/>
      <c r="D119" s="512"/>
      <c r="E119" s="512"/>
      <c r="F119" s="512" t="s">
        <v>962</v>
      </c>
      <c r="G119" s="512"/>
      <c r="H119" s="513">
        <v>3389962</v>
      </c>
      <c r="K119" s="524">
        <f t="shared" si="10"/>
        <v>3389962</v>
      </c>
    </row>
    <row r="120" spans="1:11" x14ac:dyDescent="0.25">
      <c r="A120" s="512"/>
      <c r="B120" s="512"/>
      <c r="C120" s="512"/>
      <c r="D120" s="512"/>
      <c r="E120" s="512"/>
      <c r="F120" s="512" t="s">
        <v>963</v>
      </c>
      <c r="G120" s="512"/>
      <c r="H120" s="513">
        <v>2942736</v>
      </c>
      <c r="K120" s="524">
        <f t="shared" si="10"/>
        <v>2942736</v>
      </c>
    </row>
    <row r="121" spans="1:11" x14ac:dyDescent="0.25">
      <c r="A121" s="512"/>
      <c r="B121" s="512"/>
      <c r="C121" s="512"/>
      <c r="D121" s="512"/>
      <c r="E121" s="512"/>
      <c r="F121" s="512" t="s">
        <v>964</v>
      </c>
      <c r="G121" s="512"/>
      <c r="H121" s="513">
        <v>1191000</v>
      </c>
      <c r="K121" s="524">
        <f t="shared" si="10"/>
        <v>1191000</v>
      </c>
    </row>
    <row r="122" spans="1:11" x14ac:dyDescent="0.25">
      <c r="A122" s="512"/>
      <c r="B122" s="512"/>
      <c r="C122" s="512"/>
      <c r="D122" s="512"/>
      <c r="E122" s="512"/>
      <c r="F122" s="512" t="s">
        <v>965</v>
      </c>
      <c r="G122" s="512"/>
      <c r="H122" s="513">
        <v>104500</v>
      </c>
      <c r="K122" s="524">
        <f t="shared" si="10"/>
        <v>104500</v>
      </c>
    </row>
    <row r="123" spans="1:11" x14ac:dyDescent="0.25">
      <c r="A123" s="512"/>
      <c r="B123" s="512"/>
      <c r="C123" s="512"/>
      <c r="D123" s="512"/>
      <c r="E123" s="512"/>
      <c r="F123" s="512" t="s">
        <v>966</v>
      </c>
      <c r="G123" s="512"/>
      <c r="H123" s="513">
        <v>12559000</v>
      </c>
      <c r="K123" s="524">
        <f t="shared" si="10"/>
        <v>12559000</v>
      </c>
    </row>
    <row r="124" spans="1:11" x14ac:dyDescent="0.25">
      <c r="A124" s="512"/>
      <c r="B124" s="512"/>
      <c r="C124" s="512"/>
      <c r="D124" s="512"/>
      <c r="E124" s="512"/>
      <c r="F124" s="512" t="s">
        <v>967</v>
      </c>
      <c r="G124" s="512"/>
      <c r="H124" s="513">
        <v>3768000</v>
      </c>
      <c r="K124" s="524">
        <f t="shared" si="10"/>
        <v>3768000</v>
      </c>
    </row>
    <row r="125" spans="1:11" x14ac:dyDescent="0.25">
      <c r="A125" s="512"/>
      <c r="B125" s="512"/>
      <c r="C125" s="512"/>
      <c r="D125" s="512"/>
      <c r="E125" s="512"/>
      <c r="F125" s="512" t="s">
        <v>968</v>
      </c>
      <c r="G125" s="512"/>
      <c r="H125" s="513">
        <v>46894401</v>
      </c>
      <c r="K125" s="524">
        <f t="shared" si="10"/>
        <v>46894401</v>
      </c>
    </row>
    <row r="126" spans="1:11" x14ac:dyDescent="0.25">
      <c r="A126" s="512"/>
      <c r="B126" s="512"/>
      <c r="C126" s="512"/>
      <c r="D126" s="512"/>
      <c r="E126" s="512"/>
      <c r="F126" s="512" t="s">
        <v>1532</v>
      </c>
      <c r="G126" s="512"/>
      <c r="H126" s="513">
        <v>10000000</v>
      </c>
      <c r="K126" s="524">
        <f t="shared" si="10"/>
        <v>10000000</v>
      </c>
    </row>
    <row r="127" spans="1:11" x14ac:dyDescent="0.25">
      <c r="A127" s="512"/>
      <c r="B127" s="512"/>
      <c r="C127" s="512"/>
      <c r="D127" s="512"/>
      <c r="E127" s="512"/>
      <c r="F127" s="512" t="s">
        <v>969</v>
      </c>
      <c r="G127" s="512"/>
      <c r="H127" s="513">
        <v>5549428.5</v>
      </c>
      <c r="K127" s="524">
        <f t="shared" si="10"/>
        <v>5549428.5</v>
      </c>
    </row>
    <row r="128" spans="1:11" x14ac:dyDescent="0.25">
      <c r="A128" s="512"/>
      <c r="B128" s="512"/>
      <c r="C128" s="512"/>
      <c r="D128" s="512"/>
      <c r="E128" s="512"/>
      <c r="F128" s="512" t="s">
        <v>970</v>
      </c>
      <c r="G128" s="512"/>
      <c r="H128" s="513">
        <v>1215000</v>
      </c>
      <c r="K128" s="524">
        <f t="shared" si="10"/>
        <v>1215000</v>
      </c>
    </row>
    <row r="129" spans="1:11" x14ac:dyDescent="0.25">
      <c r="A129" s="512"/>
      <c r="B129" s="512"/>
      <c r="C129" s="512"/>
      <c r="D129" s="512"/>
      <c r="E129" s="512"/>
      <c r="F129" s="512" t="s">
        <v>971</v>
      </c>
      <c r="G129" s="512"/>
      <c r="H129" s="513">
        <v>973873</v>
      </c>
      <c r="K129" s="524">
        <f t="shared" si="10"/>
        <v>973873</v>
      </c>
    </row>
    <row r="130" spans="1:11" x14ac:dyDescent="0.25">
      <c r="A130" s="512"/>
      <c r="B130" s="512"/>
      <c r="C130" s="512"/>
      <c r="D130" s="512"/>
      <c r="E130" s="512"/>
      <c r="F130" s="512" t="s">
        <v>972</v>
      </c>
      <c r="G130" s="512"/>
      <c r="H130" s="513">
        <v>11098350.4</v>
      </c>
      <c r="K130" s="524">
        <f t="shared" si="10"/>
        <v>11098350.4</v>
      </c>
    </row>
    <row r="131" spans="1:11" x14ac:dyDescent="0.25">
      <c r="A131" s="512"/>
      <c r="B131" s="512"/>
      <c r="C131" s="512"/>
      <c r="D131" s="512"/>
      <c r="E131" s="512"/>
      <c r="F131" s="512" t="s">
        <v>973</v>
      </c>
      <c r="G131" s="512"/>
      <c r="H131" s="513">
        <v>5941467.7400000002</v>
      </c>
      <c r="K131" s="524">
        <f t="shared" si="10"/>
        <v>5941467.7400000002</v>
      </c>
    </row>
    <row r="132" spans="1:11" x14ac:dyDescent="0.25">
      <c r="A132" s="512"/>
      <c r="B132" s="512"/>
      <c r="C132" s="512"/>
      <c r="D132" s="512"/>
      <c r="E132" s="512"/>
      <c r="F132" s="512" t="s">
        <v>974</v>
      </c>
      <c r="G132" s="512"/>
      <c r="H132" s="513">
        <v>1151916</v>
      </c>
      <c r="K132" s="524">
        <f t="shared" si="10"/>
        <v>1151916</v>
      </c>
    </row>
    <row r="133" spans="1:11" x14ac:dyDescent="0.25">
      <c r="A133" s="512"/>
      <c r="B133" s="512"/>
      <c r="C133" s="512"/>
      <c r="D133" s="512"/>
      <c r="E133" s="512"/>
      <c r="F133" s="512" t="s">
        <v>975</v>
      </c>
      <c r="G133" s="512"/>
      <c r="H133" s="513">
        <v>9077116.2899999991</v>
      </c>
      <c r="K133" s="524">
        <f t="shared" si="10"/>
        <v>9077116.2899999991</v>
      </c>
    </row>
    <row r="134" spans="1:11" x14ac:dyDescent="0.25">
      <c r="A134" s="512"/>
      <c r="B134" s="512"/>
      <c r="C134" s="512"/>
      <c r="D134" s="512"/>
      <c r="E134" s="512"/>
      <c r="F134" s="512" t="s">
        <v>976</v>
      </c>
      <c r="G134" s="512"/>
      <c r="H134" s="513">
        <v>1351039.9</v>
      </c>
      <c r="K134" s="524">
        <f t="shared" si="10"/>
        <v>1351039.9</v>
      </c>
    </row>
    <row r="135" spans="1:11" x14ac:dyDescent="0.25">
      <c r="A135" s="512"/>
      <c r="B135" s="512"/>
      <c r="C135" s="512"/>
      <c r="D135" s="512"/>
      <c r="E135" s="512"/>
      <c r="F135" s="512" t="s">
        <v>977</v>
      </c>
      <c r="G135" s="512"/>
      <c r="H135" s="513">
        <v>1701432.81</v>
      </c>
      <c r="K135" s="524">
        <f t="shared" si="10"/>
        <v>1701432.81</v>
      </c>
    </row>
    <row r="136" spans="1:11" x14ac:dyDescent="0.25">
      <c r="A136" s="512"/>
      <c r="B136" s="512"/>
      <c r="C136" s="512"/>
      <c r="D136" s="512"/>
      <c r="E136" s="512"/>
      <c r="F136" s="512" t="s">
        <v>978</v>
      </c>
      <c r="G136" s="512"/>
      <c r="H136" s="513">
        <v>-18228198.620000001</v>
      </c>
      <c r="K136" s="524">
        <f t="shared" si="10"/>
        <v>-18228198.620000001</v>
      </c>
    </row>
    <row r="137" spans="1:11" ht="15.75" thickBot="1" x14ac:dyDescent="0.3">
      <c r="A137" s="512"/>
      <c r="B137" s="512"/>
      <c r="C137" s="512"/>
      <c r="D137" s="512"/>
      <c r="E137" s="512"/>
      <c r="F137" s="512" t="s">
        <v>979</v>
      </c>
      <c r="G137" s="512"/>
      <c r="H137" s="515">
        <v>647775</v>
      </c>
      <c r="K137" s="524">
        <f t="shared" si="10"/>
        <v>647775</v>
      </c>
    </row>
    <row r="138" spans="1:11" x14ac:dyDescent="0.25">
      <c r="A138" s="512"/>
      <c r="B138" s="512"/>
      <c r="C138" s="512"/>
      <c r="D138" s="512"/>
      <c r="E138" s="512" t="s">
        <v>980</v>
      </c>
      <c r="F138" s="512"/>
      <c r="G138" s="512"/>
      <c r="H138" s="513">
        <f>ROUND(SUM(H115:H137),5)</f>
        <v>130609377.02</v>
      </c>
    </row>
    <row r="139" spans="1:11" x14ac:dyDescent="0.25">
      <c r="A139" s="512"/>
      <c r="B139" s="512"/>
      <c r="C139" s="512"/>
      <c r="D139" s="512"/>
      <c r="E139" s="512" t="s">
        <v>981</v>
      </c>
      <c r="F139" s="512"/>
      <c r="G139" s="512"/>
      <c r="H139" s="513"/>
    </row>
    <row r="140" spans="1:11" x14ac:dyDescent="0.25">
      <c r="A140" s="512"/>
      <c r="B140" s="512"/>
      <c r="C140" s="512"/>
      <c r="D140" s="512"/>
      <c r="E140" s="512"/>
      <c r="F140" s="512" t="s">
        <v>982</v>
      </c>
      <c r="G140" s="512"/>
      <c r="H140" s="513">
        <v>9323685</v>
      </c>
      <c r="K140" s="524">
        <f t="shared" ref="K140:K148" si="11">+H140</f>
        <v>9323685</v>
      </c>
    </row>
    <row r="141" spans="1:11" x14ac:dyDescent="0.25">
      <c r="A141" s="512"/>
      <c r="B141" s="512"/>
      <c r="C141" s="512"/>
      <c r="D141" s="512"/>
      <c r="E141" s="512"/>
      <c r="F141" s="512" t="s">
        <v>1533</v>
      </c>
      <c r="G141" s="512"/>
      <c r="H141" s="513">
        <v>2675000</v>
      </c>
      <c r="K141" s="524">
        <f t="shared" si="11"/>
        <v>2675000</v>
      </c>
    </row>
    <row r="142" spans="1:11" x14ac:dyDescent="0.25">
      <c r="A142" s="512"/>
      <c r="B142" s="512"/>
      <c r="C142" s="512"/>
      <c r="D142" s="512"/>
      <c r="E142" s="512"/>
      <c r="F142" s="512" t="s">
        <v>983</v>
      </c>
      <c r="G142" s="512"/>
      <c r="H142" s="513">
        <v>533200</v>
      </c>
      <c r="K142" s="524">
        <f t="shared" si="11"/>
        <v>533200</v>
      </c>
    </row>
    <row r="143" spans="1:11" x14ac:dyDescent="0.25">
      <c r="A143" s="512"/>
      <c r="B143" s="512"/>
      <c r="C143" s="512"/>
      <c r="D143" s="512"/>
      <c r="E143" s="512"/>
      <c r="F143" s="512" t="s">
        <v>984</v>
      </c>
      <c r="G143" s="512"/>
      <c r="H143" s="513">
        <v>3017100</v>
      </c>
      <c r="K143" s="524">
        <f t="shared" si="11"/>
        <v>3017100</v>
      </c>
    </row>
    <row r="144" spans="1:11" x14ac:dyDescent="0.25">
      <c r="A144" s="512"/>
      <c r="B144" s="512"/>
      <c r="C144" s="512"/>
      <c r="D144" s="512"/>
      <c r="E144" s="512"/>
      <c r="F144" s="512" t="s">
        <v>985</v>
      </c>
      <c r="G144" s="512"/>
      <c r="H144" s="513">
        <v>136390</v>
      </c>
      <c r="K144" s="524">
        <f t="shared" si="11"/>
        <v>136390</v>
      </c>
    </row>
    <row r="145" spans="1:11" x14ac:dyDescent="0.25">
      <c r="A145" s="512"/>
      <c r="B145" s="512"/>
      <c r="C145" s="512"/>
      <c r="D145" s="512"/>
      <c r="E145" s="512"/>
      <c r="F145" s="512" t="s">
        <v>986</v>
      </c>
      <c r="G145" s="512"/>
      <c r="H145" s="513">
        <v>3927826</v>
      </c>
      <c r="K145" s="524">
        <f t="shared" si="11"/>
        <v>3927826</v>
      </c>
    </row>
    <row r="146" spans="1:11" x14ac:dyDescent="0.25">
      <c r="A146" s="512"/>
      <c r="B146" s="512"/>
      <c r="C146" s="512"/>
      <c r="D146" s="512"/>
      <c r="E146" s="512"/>
      <c r="F146" s="512" t="s">
        <v>987</v>
      </c>
      <c r="G146" s="512"/>
      <c r="H146" s="513">
        <v>2229013</v>
      </c>
      <c r="K146" s="524">
        <f t="shared" si="11"/>
        <v>2229013</v>
      </c>
    </row>
    <row r="147" spans="1:11" x14ac:dyDescent="0.25">
      <c r="A147" s="512"/>
      <c r="B147" s="512"/>
      <c r="C147" s="512"/>
      <c r="D147" s="512"/>
      <c r="E147" s="512"/>
      <c r="F147" s="512" t="s">
        <v>989</v>
      </c>
      <c r="G147" s="512"/>
      <c r="H147" s="513">
        <v>287680</v>
      </c>
      <c r="K147" s="524">
        <f t="shared" si="11"/>
        <v>287680</v>
      </c>
    </row>
    <row r="148" spans="1:11" ht="15.75" thickBot="1" x14ac:dyDescent="0.3">
      <c r="A148" s="512"/>
      <c r="B148" s="512"/>
      <c r="C148" s="512"/>
      <c r="D148" s="512"/>
      <c r="E148" s="512"/>
      <c r="F148" s="512" t="s">
        <v>990</v>
      </c>
      <c r="G148" s="512"/>
      <c r="H148" s="515">
        <v>-17943558.960000001</v>
      </c>
      <c r="K148" s="524">
        <f>+H148</f>
        <v>-17943558.960000001</v>
      </c>
    </row>
    <row r="149" spans="1:11" x14ac:dyDescent="0.25">
      <c r="A149" s="512"/>
      <c r="B149" s="512"/>
      <c r="C149" s="512"/>
      <c r="D149" s="512"/>
      <c r="E149" s="512" t="s">
        <v>991</v>
      </c>
      <c r="F149" s="512"/>
      <c r="G149" s="512"/>
      <c r="H149" s="513">
        <f>ROUND(SUM(H139:H148),5)</f>
        <v>4186335.04</v>
      </c>
    </row>
    <row r="150" spans="1:11" x14ac:dyDescent="0.25">
      <c r="A150" s="512"/>
      <c r="B150" s="512"/>
      <c r="C150" s="512"/>
      <c r="D150" s="512"/>
      <c r="E150" s="512" t="s">
        <v>992</v>
      </c>
      <c r="F150" s="512"/>
      <c r="G150" s="512"/>
      <c r="H150" s="513"/>
    </row>
    <row r="151" spans="1:11" x14ac:dyDescent="0.25">
      <c r="A151" s="512"/>
      <c r="B151" s="512"/>
      <c r="C151" s="512"/>
      <c r="D151" s="512"/>
      <c r="E151" s="512"/>
      <c r="F151" s="512" t="s">
        <v>993</v>
      </c>
      <c r="G151" s="512"/>
      <c r="H151" s="513">
        <v>10041370.85</v>
      </c>
      <c r="K151" s="524">
        <f t="shared" ref="K151:K156" si="12">+H151</f>
        <v>10041370.85</v>
      </c>
    </row>
    <row r="152" spans="1:11" x14ac:dyDescent="0.25">
      <c r="A152" s="512"/>
      <c r="B152" s="512"/>
      <c r="C152" s="512"/>
      <c r="D152" s="512"/>
      <c r="E152" s="512"/>
      <c r="F152" s="512" t="s">
        <v>994</v>
      </c>
      <c r="G152" s="512"/>
      <c r="H152" s="513">
        <v>2970524.49</v>
      </c>
      <c r="K152" s="524">
        <f t="shared" si="12"/>
        <v>2970524.49</v>
      </c>
    </row>
    <row r="153" spans="1:11" x14ac:dyDescent="0.25">
      <c r="A153" s="512"/>
      <c r="B153" s="512"/>
      <c r="C153" s="512"/>
      <c r="D153" s="512"/>
      <c r="E153" s="512"/>
      <c r="F153" s="512" t="s">
        <v>995</v>
      </c>
      <c r="G153" s="512"/>
      <c r="H153" s="513">
        <v>866780.01</v>
      </c>
      <c r="K153" s="524">
        <f t="shared" si="12"/>
        <v>866780.01</v>
      </c>
    </row>
    <row r="154" spans="1:11" x14ac:dyDescent="0.25">
      <c r="A154" s="512"/>
      <c r="B154" s="512"/>
      <c r="C154" s="512"/>
      <c r="D154" s="512"/>
      <c r="E154" s="512"/>
      <c r="F154" s="512" t="s">
        <v>996</v>
      </c>
      <c r="G154" s="512"/>
      <c r="H154" s="513">
        <v>1424536.28</v>
      </c>
      <c r="K154" s="524">
        <f t="shared" si="12"/>
        <v>1424536.28</v>
      </c>
    </row>
    <row r="155" spans="1:11" x14ac:dyDescent="0.25">
      <c r="A155" s="512"/>
      <c r="B155" s="512"/>
      <c r="C155" s="512"/>
      <c r="D155" s="512"/>
      <c r="E155" s="512"/>
      <c r="F155" s="512" t="s">
        <v>997</v>
      </c>
      <c r="G155" s="512"/>
      <c r="H155" s="513">
        <v>-11716445.57</v>
      </c>
      <c r="K155" s="524">
        <f t="shared" si="12"/>
        <v>-11716445.57</v>
      </c>
    </row>
    <row r="156" spans="1:11" ht="15.75" thickBot="1" x14ac:dyDescent="0.3">
      <c r="A156" s="512"/>
      <c r="B156" s="512"/>
      <c r="C156" s="512"/>
      <c r="D156" s="512"/>
      <c r="E156" s="512"/>
      <c r="F156" s="512" t="s">
        <v>998</v>
      </c>
      <c r="G156" s="512"/>
      <c r="H156" s="515">
        <v>39100</v>
      </c>
      <c r="K156" s="524">
        <f t="shared" si="12"/>
        <v>39100</v>
      </c>
    </row>
    <row r="157" spans="1:11" x14ac:dyDescent="0.25">
      <c r="A157" s="512"/>
      <c r="B157" s="512"/>
      <c r="C157" s="512"/>
      <c r="D157" s="512"/>
      <c r="E157" s="512" t="s">
        <v>999</v>
      </c>
      <c r="F157" s="512"/>
      <c r="G157" s="512"/>
      <c r="H157" s="513">
        <f>ROUND(SUM(H150:H156),5)</f>
        <v>3625866.06</v>
      </c>
    </row>
    <row r="158" spans="1:11" x14ac:dyDescent="0.25">
      <c r="A158" s="512"/>
      <c r="B158" s="512"/>
      <c r="C158" s="512"/>
      <c r="D158" s="512"/>
      <c r="E158" s="512" t="s">
        <v>1000</v>
      </c>
      <c r="F158" s="512"/>
      <c r="G158" s="512"/>
      <c r="H158" s="513"/>
    </row>
    <row r="159" spans="1:11" x14ac:dyDescent="0.25">
      <c r="A159" s="512"/>
      <c r="B159" s="512"/>
      <c r="C159" s="512"/>
      <c r="D159" s="512"/>
      <c r="E159" s="512"/>
      <c r="F159" s="512" t="s">
        <v>1001</v>
      </c>
      <c r="G159" s="512"/>
      <c r="H159" s="513">
        <v>3444357.18</v>
      </c>
      <c r="K159" s="524">
        <f>+H159</f>
        <v>3444357.18</v>
      </c>
    </row>
    <row r="160" spans="1:11" x14ac:dyDescent="0.25">
      <c r="A160" s="512"/>
      <c r="B160" s="512"/>
      <c r="C160" s="512"/>
      <c r="D160" s="512"/>
      <c r="E160" s="512"/>
      <c r="F160" s="512" t="s">
        <v>1002</v>
      </c>
      <c r="G160" s="512"/>
      <c r="H160" s="513">
        <v>-6621306.9000000004</v>
      </c>
      <c r="K160" s="524">
        <f>+H160</f>
        <v>-6621306.9000000004</v>
      </c>
    </row>
    <row r="161" spans="1:11" ht="15.75" thickBot="1" x14ac:dyDescent="0.3">
      <c r="A161" s="512"/>
      <c r="B161" s="512"/>
      <c r="C161" s="512"/>
      <c r="D161" s="512"/>
      <c r="E161" s="512"/>
      <c r="F161" s="512" t="s">
        <v>1003</v>
      </c>
      <c r="G161" s="512"/>
      <c r="H161" s="515">
        <v>5399150.6399999997</v>
      </c>
      <c r="K161" s="524">
        <f>+H161</f>
        <v>5399150.6399999997</v>
      </c>
    </row>
    <row r="162" spans="1:11" x14ac:dyDescent="0.25">
      <c r="A162" s="512"/>
      <c r="B162" s="512"/>
      <c r="C162" s="512"/>
      <c r="D162" s="512"/>
      <c r="E162" s="512" t="s">
        <v>1004</v>
      </c>
      <c r="F162" s="512"/>
      <c r="G162" s="512"/>
      <c r="H162" s="513">
        <f>ROUND(SUM(H158:H161),5)</f>
        <v>2222200.92</v>
      </c>
    </row>
    <row r="163" spans="1:11" x14ac:dyDescent="0.25">
      <c r="A163" s="512"/>
      <c r="B163" s="512"/>
      <c r="C163" s="512"/>
      <c r="D163" s="512"/>
      <c r="E163" s="512" t="s">
        <v>1005</v>
      </c>
      <c r="F163" s="512"/>
      <c r="G163" s="512"/>
      <c r="H163" s="513"/>
    </row>
    <row r="164" spans="1:11" x14ac:dyDescent="0.25">
      <c r="A164" s="512"/>
      <c r="B164" s="512"/>
      <c r="C164" s="512"/>
      <c r="D164" s="512"/>
      <c r="E164" s="512"/>
      <c r="F164" s="512" t="s">
        <v>1006</v>
      </c>
      <c r="G164" s="512"/>
      <c r="H164" s="513">
        <v>3982812.45</v>
      </c>
      <c r="K164" s="524">
        <f>+H164</f>
        <v>3982812.45</v>
      </c>
    </row>
    <row r="165" spans="1:11" x14ac:dyDescent="0.25">
      <c r="A165" s="512"/>
      <c r="B165" s="512"/>
      <c r="C165" s="512"/>
      <c r="D165" s="512"/>
      <c r="E165" s="512"/>
      <c r="F165" s="512" t="s">
        <v>1007</v>
      </c>
      <c r="G165" s="512"/>
      <c r="H165" s="513">
        <v>-3667014.01</v>
      </c>
      <c r="K165" s="524">
        <f>+H165</f>
        <v>-3667014.01</v>
      </c>
    </row>
    <row r="166" spans="1:11" ht="15.75" thickBot="1" x14ac:dyDescent="0.3">
      <c r="A166" s="512"/>
      <c r="B166" s="512"/>
      <c r="C166" s="512"/>
      <c r="D166" s="512"/>
      <c r="E166" s="512"/>
      <c r="F166" s="512" t="s">
        <v>1008</v>
      </c>
      <c r="G166" s="512"/>
      <c r="H166" s="515">
        <v>17610</v>
      </c>
      <c r="K166" s="524">
        <f>+H166</f>
        <v>17610</v>
      </c>
    </row>
    <row r="167" spans="1:11" x14ac:dyDescent="0.25">
      <c r="A167" s="512"/>
      <c r="B167" s="512"/>
      <c r="C167" s="512"/>
      <c r="D167" s="512"/>
      <c r="E167" s="512" t="s">
        <v>1009</v>
      </c>
      <c r="F167" s="512"/>
      <c r="G167" s="512"/>
      <c r="H167" s="513">
        <f>ROUND(SUM(H163:H166),5)</f>
        <v>333408.44</v>
      </c>
    </row>
    <row r="168" spans="1:11" x14ac:dyDescent="0.25">
      <c r="A168" s="512"/>
      <c r="B168" s="512"/>
      <c r="C168" s="512"/>
      <c r="D168" s="512"/>
      <c r="E168" s="512" t="s">
        <v>1010</v>
      </c>
      <c r="F168" s="512"/>
      <c r="G168" s="512"/>
      <c r="H168" s="513"/>
    </row>
    <row r="169" spans="1:11" x14ac:dyDescent="0.25">
      <c r="A169" s="512"/>
      <c r="B169" s="512"/>
      <c r="C169" s="512"/>
      <c r="D169" s="512"/>
      <c r="E169" s="512"/>
      <c r="F169" s="512" t="s">
        <v>1011</v>
      </c>
      <c r="G169" s="512"/>
      <c r="H169" s="513">
        <v>7086711.8399999999</v>
      </c>
      <c r="K169" s="524">
        <f>+H169</f>
        <v>7086711.8399999999</v>
      </c>
    </row>
    <row r="170" spans="1:11" x14ac:dyDescent="0.25">
      <c r="A170" s="512"/>
      <c r="B170" s="512"/>
      <c r="C170" s="512"/>
      <c r="D170" s="512"/>
      <c r="E170" s="512"/>
      <c r="F170" s="512" t="s">
        <v>1012</v>
      </c>
      <c r="G170" s="512"/>
      <c r="H170" s="513">
        <v>1245339.33</v>
      </c>
      <c r="K170" s="524">
        <f>+H170</f>
        <v>1245339.33</v>
      </c>
    </row>
    <row r="171" spans="1:11" x14ac:dyDescent="0.25">
      <c r="A171" s="512"/>
      <c r="B171" s="512"/>
      <c r="C171" s="512"/>
      <c r="D171" s="512"/>
      <c r="E171" s="512"/>
      <c r="F171" s="512" t="s">
        <v>1013</v>
      </c>
      <c r="G171" s="512"/>
      <c r="H171" s="513">
        <v>1032531.92</v>
      </c>
      <c r="K171" s="524">
        <f>+H171</f>
        <v>1032531.92</v>
      </c>
    </row>
    <row r="172" spans="1:11" ht="15.75" thickBot="1" x14ac:dyDescent="0.3">
      <c r="A172" s="512"/>
      <c r="B172" s="512"/>
      <c r="C172" s="512"/>
      <c r="D172" s="512"/>
      <c r="E172" s="512"/>
      <c r="F172" s="512" t="s">
        <v>1014</v>
      </c>
      <c r="G172" s="512"/>
      <c r="H172" s="515">
        <v>-8825776.5399999991</v>
      </c>
      <c r="K172" s="524">
        <f>+H172</f>
        <v>-8825776.5399999991</v>
      </c>
    </row>
    <row r="173" spans="1:11" x14ac:dyDescent="0.25">
      <c r="A173" s="512"/>
      <c r="B173" s="512"/>
      <c r="C173" s="512"/>
      <c r="D173" s="512"/>
      <c r="E173" s="512" t="s">
        <v>1015</v>
      </c>
      <c r="F173" s="512"/>
      <c r="G173" s="512"/>
      <c r="H173" s="513">
        <f>ROUND(SUM(H168:H172),5)</f>
        <v>538806.55000000005</v>
      </c>
    </row>
    <row r="174" spans="1:11" x14ac:dyDescent="0.25">
      <c r="A174" s="512"/>
      <c r="B174" s="512"/>
      <c r="C174" s="512"/>
      <c r="D174" s="512"/>
      <c r="E174" s="512" t="s">
        <v>1016</v>
      </c>
      <c r="F174" s="512"/>
      <c r="G174" s="512"/>
      <c r="H174" s="513"/>
    </row>
    <row r="175" spans="1:11" x14ac:dyDescent="0.25">
      <c r="A175" s="512"/>
      <c r="B175" s="512"/>
      <c r="C175" s="512"/>
      <c r="D175" s="512"/>
      <c r="E175" s="512"/>
      <c r="F175" s="512" t="s">
        <v>1017</v>
      </c>
      <c r="G175" s="512"/>
      <c r="H175" s="513">
        <v>4516783.0999999996</v>
      </c>
      <c r="K175" s="524">
        <f t="shared" ref="K175:K180" si="13">+H175</f>
        <v>4516783.0999999996</v>
      </c>
    </row>
    <row r="176" spans="1:11" x14ac:dyDescent="0.25">
      <c r="A176" s="512"/>
      <c r="B176" s="512"/>
      <c r="C176" s="512"/>
      <c r="D176" s="512"/>
      <c r="E176" s="512"/>
      <c r="F176" s="512" t="s">
        <v>1018</v>
      </c>
      <c r="G176" s="512"/>
      <c r="H176" s="513">
        <v>105622.5</v>
      </c>
      <c r="K176" s="524">
        <f t="shared" si="13"/>
        <v>105622.5</v>
      </c>
    </row>
    <row r="177" spans="1:11" x14ac:dyDescent="0.25">
      <c r="A177" s="512"/>
      <c r="B177" s="512"/>
      <c r="C177" s="512"/>
      <c r="D177" s="512"/>
      <c r="E177" s="512"/>
      <c r="F177" s="512" t="s">
        <v>1019</v>
      </c>
      <c r="G177" s="512"/>
      <c r="H177" s="513">
        <v>9976778</v>
      </c>
      <c r="K177" s="524">
        <f t="shared" si="13"/>
        <v>9976778</v>
      </c>
    </row>
    <row r="178" spans="1:11" x14ac:dyDescent="0.25">
      <c r="A178" s="512"/>
      <c r="B178" s="512"/>
      <c r="C178" s="512"/>
      <c r="D178" s="512"/>
      <c r="E178" s="512"/>
      <c r="F178" s="512" t="s">
        <v>1020</v>
      </c>
      <c r="G178" s="512"/>
      <c r="H178" s="513">
        <v>-3743700.85</v>
      </c>
      <c r="K178" s="524">
        <f t="shared" si="13"/>
        <v>-3743700.85</v>
      </c>
    </row>
    <row r="179" spans="1:11" x14ac:dyDescent="0.25">
      <c r="A179" s="512"/>
      <c r="B179" s="512"/>
      <c r="C179" s="512"/>
      <c r="D179" s="512"/>
      <c r="E179" s="512"/>
      <c r="F179" s="512" t="s">
        <v>1021</v>
      </c>
      <c r="G179" s="512"/>
      <c r="H179" s="513">
        <v>-665119</v>
      </c>
      <c r="K179" s="524">
        <f t="shared" si="13"/>
        <v>-665119</v>
      </c>
    </row>
    <row r="180" spans="1:11" ht="15.75" thickBot="1" x14ac:dyDescent="0.3">
      <c r="A180" s="512"/>
      <c r="B180" s="512"/>
      <c r="C180" s="512"/>
      <c r="D180" s="512"/>
      <c r="E180" s="512"/>
      <c r="F180" s="512" t="s">
        <v>1534</v>
      </c>
      <c r="G180" s="512"/>
      <c r="H180" s="515">
        <v>1864</v>
      </c>
      <c r="K180" s="524">
        <f t="shared" si="13"/>
        <v>1864</v>
      </c>
    </row>
    <row r="181" spans="1:11" x14ac:dyDescent="0.25">
      <c r="A181" s="512"/>
      <c r="B181" s="512"/>
      <c r="C181" s="512"/>
      <c r="D181" s="512"/>
      <c r="E181" s="512" t="s">
        <v>1022</v>
      </c>
      <c r="F181" s="512"/>
      <c r="G181" s="512"/>
      <c r="H181" s="513">
        <f>ROUND(SUM(H174:H180),5)</f>
        <v>10192227.75</v>
      </c>
    </row>
    <row r="182" spans="1:11" ht="15.75" thickBot="1" x14ac:dyDescent="0.3">
      <c r="A182" s="512"/>
      <c r="B182" s="512"/>
      <c r="C182" s="512"/>
      <c r="D182" s="512"/>
      <c r="E182" s="512" t="s">
        <v>1535</v>
      </c>
      <c r="F182" s="512"/>
      <c r="G182" s="512"/>
      <c r="H182" s="515">
        <v>16000</v>
      </c>
      <c r="K182" s="524">
        <f>+H182</f>
        <v>16000</v>
      </c>
    </row>
    <row r="183" spans="1:11" x14ac:dyDescent="0.25">
      <c r="A183" s="512"/>
      <c r="B183" s="512"/>
      <c r="C183" s="512"/>
      <c r="D183" s="512" t="s">
        <v>1023</v>
      </c>
      <c r="E183" s="512"/>
      <c r="F183" s="512"/>
      <c r="G183" s="512"/>
      <c r="H183" s="513">
        <f>ROUND(H114+H138+H149+H157+H162+H167+H173+SUM(H181:H182),5)</f>
        <v>151724221.78</v>
      </c>
    </row>
    <row r="184" spans="1:11" x14ac:dyDescent="0.25">
      <c r="A184" s="512"/>
      <c r="B184" s="512"/>
      <c r="C184" s="512"/>
      <c r="D184" s="512" t="s">
        <v>1024</v>
      </c>
      <c r="E184" s="512"/>
      <c r="F184" s="512"/>
      <c r="G184" s="512"/>
      <c r="H184" s="513"/>
    </row>
    <row r="185" spans="1:11" x14ac:dyDescent="0.25">
      <c r="A185" s="512"/>
      <c r="B185" s="512"/>
      <c r="C185" s="512"/>
      <c r="D185" s="512"/>
      <c r="E185" s="512" t="s">
        <v>1025</v>
      </c>
      <c r="F185" s="512"/>
      <c r="G185" s="512"/>
      <c r="H185" s="513">
        <v>774735</v>
      </c>
      <c r="K185" s="524">
        <f t="shared" ref="K185:K198" si="14">+H185</f>
        <v>774735</v>
      </c>
    </row>
    <row r="186" spans="1:11" x14ac:dyDescent="0.25">
      <c r="A186" s="512"/>
      <c r="B186" s="512"/>
      <c r="C186" s="512"/>
      <c r="D186" s="512"/>
      <c r="E186" s="512" t="s">
        <v>1026</v>
      </c>
      <c r="F186" s="512"/>
      <c r="G186" s="512"/>
      <c r="H186" s="513">
        <v>5744703.1699999999</v>
      </c>
      <c r="K186" s="524">
        <f t="shared" si="14"/>
        <v>5744703.1699999999</v>
      </c>
    </row>
    <row r="187" spans="1:11" x14ac:dyDescent="0.25">
      <c r="A187" s="512"/>
      <c r="B187" s="512"/>
      <c r="C187" s="512"/>
      <c r="D187" s="512"/>
      <c r="E187" s="512" t="s">
        <v>1027</v>
      </c>
      <c r="F187" s="512"/>
      <c r="G187" s="512"/>
      <c r="H187" s="513">
        <v>1324113.5900000001</v>
      </c>
      <c r="K187" s="524">
        <f t="shared" si="14"/>
        <v>1324113.5900000001</v>
      </c>
    </row>
    <row r="188" spans="1:11" x14ac:dyDescent="0.25">
      <c r="A188" s="512"/>
      <c r="B188" s="512"/>
      <c r="C188" s="512"/>
      <c r="D188" s="512"/>
      <c r="E188" s="512" t="s">
        <v>1028</v>
      </c>
      <c r="F188" s="512"/>
      <c r="G188" s="512"/>
      <c r="H188" s="513">
        <v>706531.5</v>
      </c>
      <c r="K188" s="524">
        <f t="shared" si="14"/>
        <v>706531.5</v>
      </c>
    </row>
    <row r="189" spans="1:11" x14ac:dyDescent="0.25">
      <c r="A189" s="512"/>
      <c r="B189" s="512"/>
      <c r="C189" s="512"/>
      <c r="D189" s="512"/>
      <c r="E189" s="512" t="s">
        <v>1029</v>
      </c>
      <c r="F189" s="512"/>
      <c r="G189" s="512"/>
      <c r="H189" s="513">
        <v>2389341</v>
      </c>
      <c r="K189" s="524">
        <f t="shared" si="14"/>
        <v>2389341</v>
      </c>
    </row>
    <row r="190" spans="1:11" x14ac:dyDescent="0.25">
      <c r="A190" s="512"/>
      <c r="B190" s="512"/>
      <c r="C190" s="512"/>
      <c r="D190" s="512"/>
      <c r="E190" s="512" t="s">
        <v>1030</v>
      </c>
      <c r="F190" s="512"/>
      <c r="G190" s="512"/>
      <c r="H190" s="513">
        <v>1726683</v>
      </c>
      <c r="K190" s="524">
        <f t="shared" si="14"/>
        <v>1726683</v>
      </c>
    </row>
    <row r="191" spans="1:11" x14ac:dyDescent="0.25">
      <c r="A191" s="512"/>
      <c r="B191" s="512"/>
      <c r="C191" s="512"/>
      <c r="D191" s="512"/>
      <c r="E191" s="512" t="s">
        <v>1031</v>
      </c>
      <c r="F191" s="512"/>
      <c r="G191" s="512"/>
      <c r="H191" s="513">
        <v>4930857.12</v>
      </c>
      <c r="K191" s="524">
        <f t="shared" si="14"/>
        <v>4930857.12</v>
      </c>
    </row>
    <row r="192" spans="1:11" x14ac:dyDescent="0.25">
      <c r="A192" s="512"/>
      <c r="B192" s="512"/>
      <c r="C192" s="512"/>
      <c r="D192" s="512"/>
      <c r="E192" s="512" t="s">
        <v>1032</v>
      </c>
      <c r="F192" s="512"/>
      <c r="G192" s="512"/>
      <c r="H192" s="513">
        <v>457435</v>
      </c>
      <c r="K192" s="524">
        <f t="shared" si="14"/>
        <v>457435</v>
      </c>
    </row>
    <row r="193" spans="1:11" x14ac:dyDescent="0.25">
      <c r="A193" s="512"/>
      <c r="B193" s="512"/>
      <c r="C193" s="512"/>
      <c r="D193" s="512"/>
      <c r="E193" s="512" t="s">
        <v>1033</v>
      </c>
      <c r="F193" s="512"/>
      <c r="G193" s="512"/>
      <c r="H193" s="513">
        <v>3412350</v>
      </c>
      <c r="K193" s="524">
        <f t="shared" si="14"/>
        <v>3412350</v>
      </c>
    </row>
    <row r="194" spans="1:11" x14ac:dyDescent="0.25">
      <c r="A194" s="512"/>
      <c r="B194" s="512"/>
      <c r="C194" s="512"/>
      <c r="D194" s="512"/>
      <c r="E194" s="512" t="s">
        <v>1536</v>
      </c>
      <c r="F194" s="512"/>
      <c r="G194" s="512"/>
      <c r="H194" s="513">
        <v>845571.77</v>
      </c>
      <c r="K194" s="524">
        <f t="shared" si="14"/>
        <v>845571.77</v>
      </c>
    </row>
    <row r="195" spans="1:11" x14ac:dyDescent="0.25">
      <c r="A195" s="512"/>
      <c r="B195" s="512"/>
      <c r="C195" s="512"/>
      <c r="D195" s="512"/>
      <c r="E195" s="512" t="s">
        <v>1034</v>
      </c>
      <c r="F195" s="512"/>
      <c r="G195" s="512"/>
      <c r="H195" s="513">
        <v>7045584.3399999999</v>
      </c>
      <c r="K195" s="524">
        <f t="shared" si="14"/>
        <v>7045584.3399999999</v>
      </c>
    </row>
    <row r="196" spans="1:11" x14ac:dyDescent="0.25">
      <c r="A196" s="512"/>
      <c r="B196" s="512"/>
      <c r="C196" s="512"/>
      <c r="D196" s="512"/>
      <c r="E196" s="512" t="s">
        <v>1537</v>
      </c>
      <c r="F196" s="512"/>
      <c r="G196" s="512"/>
      <c r="H196" s="513">
        <v>4600969</v>
      </c>
      <c r="K196" s="524">
        <f t="shared" si="14"/>
        <v>4600969</v>
      </c>
    </row>
    <row r="197" spans="1:11" x14ac:dyDescent="0.25">
      <c r="A197" s="512"/>
      <c r="B197" s="512"/>
      <c r="C197" s="512"/>
      <c r="D197" s="512"/>
      <c r="E197" s="512" t="s">
        <v>1538</v>
      </c>
      <c r="F197" s="512"/>
      <c r="G197" s="512"/>
      <c r="H197" s="513">
        <v>223100</v>
      </c>
      <c r="K197" s="524">
        <f t="shared" si="14"/>
        <v>223100</v>
      </c>
    </row>
    <row r="198" spans="1:11" ht="15.75" thickBot="1" x14ac:dyDescent="0.3">
      <c r="A198" s="512"/>
      <c r="B198" s="512"/>
      <c r="C198" s="512"/>
      <c r="D198" s="512"/>
      <c r="E198" s="512" t="s">
        <v>1035</v>
      </c>
      <c r="F198" s="512"/>
      <c r="G198" s="512"/>
      <c r="H198" s="515">
        <v>233100</v>
      </c>
      <c r="K198" s="524">
        <f t="shared" si="14"/>
        <v>233100</v>
      </c>
    </row>
    <row r="199" spans="1:11" x14ac:dyDescent="0.25">
      <c r="A199" s="512"/>
      <c r="B199" s="512"/>
      <c r="C199" s="512"/>
      <c r="D199" s="512" t="s">
        <v>1036</v>
      </c>
      <c r="E199" s="512"/>
      <c r="F199" s="512"/>
      <c r="G199" s="512"/>
      <c r="H199" s="513">
        <f>ROUND(SUM(H184:H198),5)</f>
        <v>34415074.490000002</v>
      </c>
    </row>
    <row r="200" spans="1:11" x14ac:dyDescent="0.25">
      <c r="A200" s="512"/>
      <c r="B200" s="512"/>
      <c r="C200" s="512"/>
      <c r="D200" s="512" t="s">
        <v>1037</v>
      </c>
      <c r="E200" s="512"/>
      <c r="F200" s="512"/>
      <c r="G200" s="512"/>
      <c r="H200" s="529"/>
    </row>
    <row r="201" spans="1:11" x14ac:dyDescent="0.25">
      <c r="A201" s="512"/>
      <c r="B201" s="512"/>
      <c r="C201" s="512"/>
      <c r="D201" s="512"/>
      <c r="E201" s="512" t="s">
        <v>1038</v>
      </c>
      <c r="F201" s="512"/>
      <c r="G201" s="512"/>
      <c r="H201" s="529">
        <v>2000000</v>
      </c>
    </row>
    <row r="202" spans="1:11" x14ac:dyDescent="0.25">
      <c r="A202" s="512"/>
      <c r="B202" s="512"/>
      <c r="C202" s="512"/>
      <c r="D202" s="512"/>
      <c r="E202" s="512" t="s">
        <v>1039</v>
      </c>
      <c r="F202" s="512"/>
      <c r="G202" s="512"/>
      <c r="H202" s="529">
        <v>-2000000</v>
      </c>
    </row>
    <row r="203" spans="1:11" ht="15.75" thickBot="1" x14ac:dyDescent="0.3">
      <c r="A203" s="512"/>
      <c r="B203" s="512"/>
      <c r="C203" s="512"/>
      <c r="D203" s="512"/>
      <c r="E203" s="512" t="s">
        <v>1539</v>
      </c>
      <c r="F203" s="512"/>
      <c r="G203" s="512"/>
      <c r="H203" s="530">
        <v>750</v>
      </c>
    </row>
    <row r="204" spans="1:11" ht="15.75" thickBot="1" x14ac:dyDescent="0.3">
      <c r="A204" s="512"/>
      <c r="B204" s="512"/>
      <c r="C204" s="512"/>
      <c r="D204" s="512" t="s">
        <v>1040</v>
      </c>
      <c r="E204" s="512"/>
      <c r="F204" s="512"/>
      <c r="G204" s="512"/>
      <c r="H204" s="531">
        <f>ROUND(SUM(H200:H203),5)</f>
        <v>750</v>
      </c>
    </row>
    <row r="205" spans="1:11" ht="15.75" thickBot="1" x14ac:dyDescent="0.3">
      <c r="A205" s="512"/>
      <c r="B205" s="512"/>
      <c r="C205" s="512" t="s">
        <v>1042</v>
      </c>
      <c r="D205" s="512"/>
      <c r="E205" s="512"/>
      <c r="F205" s="512"/>
      <c r="G205" s="512"/>
      <c r="H205" s="517">
        <f>ROUND(H113+H183+H199+H204,5)</f>
        <v>186140046.27000001</v>
      </c>
    </row>
    <row r="206" spans="1:11" x14ac:dyDescent="0.25">
      <c r="A206" s="512"/>
      <c r="B206" s="512" t="s">
        <v>1043</v>
      </c>
      <c r="C206" s="512"/>
      <c r="D206" s="512"/>
      <c r="E206" s="512"/>
      <c r="F206" s="512"/>
      <c r="G206" s="512"/>
      <c r="H206" s="529">
        <f>ROUND(H112+H205,5)</f>
        <v>186140046.27000001</v>
      </c>
    </row>
    <row r="207" spans="1:11" x14ac:dyDescent="0.25">
      <c r="A207" s="512"/>
      <c r="B207" s="512" t="s">
        <v>1044</v>
      </c>
      <c r="C207" s="512"/>
      <c r="D207" s="512"/>
      <c r="E207" s="512"/>
      <c r="F207" s="512"/>
      <c r="G207" s="512"/>
      <c r="H207" s="529"/>
    </row>
    <row r="208" spans="1:11" x14ac:dyDescent="0.25">
      <c r="A208" s="512"/>
      <c r="B208" s="512"/>
      <c r="C208" s="512" t="s">
        <v>1045</v>
      </c>
      <c r="D208" s="512"/>
      <c r="E208" s="512"/>
      <c r="F208" s="512"/>
      <c r="G208" s="512"/>
      <c r="H208" s="529">
        <v>-395837</v>
      </c>
      <c r="K208" s="524">
        <f>+H208</f>
        <v>-395837</v>
      </c>
    </row>
    <row r="209" spans="1:25" x14ac:dyDescent="0.25">
      <c r="A209" s="512"/>
      <c r="B209" s="512"/>
      <c r="C209" s="512" t="s">
        <v>1046</v>
      </c>
      <c r="D209" s="512"/>
      <c r="E209" s="512"/>
      <c r="F209" s="512"/>
      <c r="G209" s="512"/>
      <c r="H209" s="529"/>
    </row>
    <row r="210" spans="1:25" ht="15.75" thickBot="1" x14ac:dyDescent="0.3">
      <c r="A210" s="512"/>
      <c r="B210" s="512"/>
      <c r="C210" s="512"/>
      <c r="D210" s="512" t="s">
        <v>1047</v>
      </c>
      <c r="E210" s="512"/>
      <c r="F210" s="512"/>
      <c r="G210" s="512"/>
      <c r="H210" s="530">
        <v>138105</v>
      </c>
      <c r="K210" s="524">
        <f>+H210</f>
        <v>138105</v>
      </c>
    </row>
    <row r="211" spans="1:25" ht="15.75" thickBot="1" x14ac:dyDescent="0.3">
      <c r="A211" s="512"/>
      <c r="B211" s="512"/>
      <c r="C211" s="512" t="s">
        <v>1048</v>
      </c>
      <c r="D211" s="512"/>
      <c r="E211" s="512"/>
      <c r="F211" s="512"/>
      <c r="G211" s="512"/>
      <c r="H211" s="518">
        <f>ROUND(SUM(H209:H210),5)</f>
        <v>138105</v>
      </c>
    </row>
    <row r="212" spans="1:25" ht="15.75" thickBot="1" x14ac:dyDescent="0.3">
      <c r="A212" s="512"/>
      <c r="B212" s="512" t="s">
        <v>1049</v>
      </c>
      <c r="C212" s="512"/>
      <c r="D212" s="512"/>
      <c r="E212" s="512"/>
      <c r="F212" s="512"/>
      <c r="G212" s="512"/>
      <c r="H212" s="518">
        <f>ROUND(SUM(H207:H208)+H211,5)</f>
        <v>-257732</v>
      </c>
    </row>
    <row r="213" spans="1:25" s="520" customFormat="1" ht="12" thickBot="1" x14ac:dyDescent="0.25">
      <c r="A213" s="512" t="s">
        <v>1050</v>
      </c>
      <c r="B213" s="512"/>
      <c r="C213" s="512"/>
      <c r="D213" s="512"/>
      <c r="E213" s="512"/>
      <c r="F213" s="512"/>
      <c r="G213" s="512"/>
      <c r="H213" s="519">
        <f>ROUND(H2+H111+H206+H212,5)</f>
        <v>537173217.19000006</v>
      </c>
    </row>
    <row r="214" spans="1:25" ht="15.75" thickTop="1" x14ac:dyDescent="0.25">
      <c r="A214" s="512" t="s">
        <v>1051</v>
      </c>
      <c r="B214" s="512"/>
      <c r="C214" s="512"/>
      <c r="D214" s="512"/>
      <c r="E214" s="512"/>
      <c r="F214" s="512"/>
      <c r="G214" s="512"/>
      <c r="H214" s="513"/>
    </row>
    <row r="215" spans="1:25" x14ac:dyDescent="0.25">
      <c r="A215" s="512"/>
      <c r="B215" s="512" t="s">
        <v>1052</v>
      </c>
      <c r="C215" s="512"/>
      <c r="D215" s="512"/>
      <c r="E215" s="512"/>
      <c r="F215" s="512"/>
      <c r="G215" s="512"/>
      <c r="H215" s="513"/>
    </row>
    <row r="216" spans="1:25" x14ac:dyDescent="0.25">
      <c r="A216" s="512"/>
      <c r="B216" s="512"/>
      <c r="C216" s="512" t="s">
        <v>52</v>
      </c>
      <c r="D216" s="512"/>
      <c r="E216" s="512"/>
      <c r="F216" s="512"/>
      <c r="G216" s="512"/>
      <c r="H216" s="513"/>
    </row>
    <row r="217" spans="1:25" x14ac:dyDescent="0.25">
      <c r="A217" s="512"/>
      <c r="B217" s="512"/>
      <c r="C217" s="512"/>
      <c r="D217" s="512" t="s">
        <v>1053</v>
      </c>
      <c r="E217" s="512"/>
      <c r="F217" s="512"/>
      <c r="G217" s="512"/>
      <c r="H217" s="513"/>
      <c r="Y217" s="537"/>
    </row>
    <row r="218" spans="1:25" x14ac:dyDescent="0.25">
      <c r="A218" s="512"/>
      <c r="B218" s="512"/>
      <c r="C218" s="512"/>
      <c r="D218" s="512"/>
      <c r="E218" s="512" t="s">
        <v>148</v>
      </c>
      <c r="F218" s="512"/>
      <c r="G218" s="512"/>
      <c r="H218" s="513">
        <v>53371408.729999997</v>
      </c>
      <c r="Y218" s="538">
        <f>+H218</f>
        <v>53371408.729999997</v>
      </c>
    </row>
    <row r="219" spans="1:25" x14ac:dyDescent="0.25">
      <c r="A219" s="512"/>
      <c r="B219" s="512"/>
      <c r="C219" s="512"/>
      <c r="D219" s="512"/>
      <c r="E219" s="512" t="s">
        <v>673</v>
      </c>
      <c r="F219" s="512"/>
      <c r="G219" s="512"/>
      <c r="H219" s="513">
        <v>-65391.75</v>
      </c>
      <c r="Y219" s="538">
        <f>+H219</f>
        <v>-65391.75</v>
      </c>
    </row>
    <row r="220" spans="1:25" ht="15.75" thickBot="1" x14ac:dyDescent="0.3">
      <c r="A220" s="512"/>
      <c r="B220" s="512"/>
      <c r="C220" s="512"/>
      <c r="D220" s="512"/>
      <c r="E220" s="512" t="s">
        <v>674</v>
      </c>
      <c r="F220" s="512"/>
      <c r="G220" s="512"/>
      <c r="H220" s="515">
        <v>6256137.7300000004</v>
      </c>
      <c r="X220" s="524">
        <f>+H220</f>
        <v>6256137.7300000004</v>
      </c>
    </row>
    <row r="221" spans="1:25" x14ac:dyDescent="0.25">
      <c r="A221" s="512"/>
      <c r="B221" s="512"/>
      <c r="C221" s="512"/>
      <c r="D221" s="512" t="s">
        <v>1054</v>
      </c>
      <c r="E221" s="512"/>
      <c r="F221" s="512"/>
      <c r="G221" s="512"/>
      <c r="H221" s="513">
        <f>ROUND(SUM(H217:H220),5)</f>
        <v>59562154.710000001</v>
      </c>
    </row>
    <row r="222" spans="1:25" x14ac:dyDescent="0.25">
      <c r="A222" s="512"/>
      <c r="B222" s="512"/>
      <c r="C222" s="512"/>
      <c r="D222" s="512" t="s">
        <v>490</v>
      </c>
      <c r="E222" s="512"/>
      <c r="F222" s="512"/>
      <c r="G222" s="512"/>
      <c r="H222" s="513"/>
    </row>
    <row r="223" spans="1:25" x14ac:dyDescent="0.25">
      <c r="A223" s="512"/>
      <c r="B223" s="512"/>
      <c r="C223" s="512"/>
      <c r="D223" s="512"/>
      <c r="E223" s="512" t="s">
        <v>1055</v>
      </c>
      <c r="F223" s="512"/>
      <c r="G223" s="512"/>
      <c r="H223" s="513"/>
    </row>
    <row r="224" spans="1:25" x14ac:dyDescent="0.25">
      <c r="A224" s="512"/>
      <c r="B224" s="512"/>
      <c r="C224" s="512"/>
      <c r="D224" s="512"/>
      <c r="E224" s="512"/>
      <c r="F224" s="512" t="s">
        <v>1056</v>
      </c>
      <c r="G224" s="512"/>
      <c r="H224" s="513">
        <v>336099.34</v>
      </c>
    </row>
    <row r="225" spans="1:25" ht="15.75" thickBot="1" x14ac:dyDescent="0.3">
      <c r="A225" s="512"/>
      <c r="B225" s="512"/>
      <c r="C225" s="512"/>
      <c r="D225" s="512"/>
      <c r="E225" s="512"/>
      <c r="F225" s="512" t="s">
        <v>1057</v>
      </c>
      <c r="G225" s="512"/>
      <c r="H225" s="516">
        <v>250652.26</v>
      </c>
    </row>
    <row r="226" spans="1:25" ht="15.75" thickBot="1" x14ac:dyDescent="0.3">
      <c r="A226" s="512"/>
      <c r="B226" s="512"/>
      <c r="C226" s="512"/>
      <c r="D226" s="512"/>
      <c r="E226" s="512" t="s">
        <v>1058</v>
      </c>
      <c r="F226" s="512"/>
      <c r="G226" s="512"/>
      <c r="H226" s="517">
        <f>ROUND(SUM(H223:H225),5)</f>
        <v>586751.6</v>
      </c>
      <c r="Y226" s="538">
        <f>+H226</f>
        <v>586751.6</v>
      </c>
    </row>
    <row r="227" spans="1:25" x14ac:dyDescent="0.25">
      <c r="A227" s="512"/>
      <c r="B227" s="512"/>
      <c r="C227" s="512"/>
      <c r="D227" s="512" t="s">
        <v>1059</v>
      </c>
      <c r="E227" s="512"/>
      <c r="F227" s="512"/>
      <c r="G227" s="512"/>
      <c r="H227" s="513">
        <f>ROUND(H222+H226,5)</f>
        <v>586751.6</v>
      </c>
    </row>
    <row r="228" spans="1:25" x14ac:dyDescent="0.25">
      <c r="A228" s="512"/>
      <c r="B228" s="512"/>
      <c r="C228" s="512"/>
      <c r="D228" s="512" t="s">
        <v>1060</v>
      </c>
      <c r="E228" s="512"/>
      <c r="F228" s="512"/>
      <c r="G228" s="512"/>
      <c r="H228" s="513"/>
    </row>
    <row r="229" spans="1:25" x14ac:dyDescent="0.25">
      <c r="A229" s="512"/>
      <c r="B229" s="512"/>
      <c r="C229" s="512"/>
      <c r="D229" s="512"/>
      <c r="E229" s="512" t="s">
        <v>1061</v>
      </c>
      <c r="F229" s="512"/>
      <c r="G229" s="512"/>
      <c r="H229" s="513"/>
    </row>
    <row r="230" spans="1:25" x14ac:dyDescent="0.25">
      <c r="A230" s="512"/>
      <c r="B230" s="512"/>
      <c r="C230" s="512"/>
      <c r="D230" s="512"/>
      <c r="E230" s="512"/>
      <c r="F230" s="512" t="s">
        <v>1062</v>
      </c>
      <c r="G230" s="512"/>
      <c r="H230" s="513">
        <v>30215030.09</v>
      </c>
      <c r="Y230" s="538">
        <f>+H230</f>
        <v>30215030.09</v>
      </c>
    </row>
    <row r="231" spans="1:25" x14ac:dyDescent="0.25">
      <c r="A231" s="512"/>
      <c r="B231" s="512"/>
      <c r="C231" s="512"/>
      <c r="D231" s="512"/>
      <c r="E231" s="512"/>
      <c r="F231" s="512" t="s">
        <v>1065</v>
      </c>
      <c r="G231" s="512"/>
      <c r="H231" s="513">
        <v>85071.3</v>
      </c>
      <c r="Y231" s="538">
        <f>+H231</f>
        <v>85071.3</v>
      </c>
    </row>
    <row r="232" spans="1:25" x14ac:dyDescent="0.25">
      <c r="A232" s="512"/>
      <c r="B232" s="512"/>
      <c r="C232" s="512"/>
      <c r="D232" s="512"/>
      <c r="E232" s="512"/>
      <c r="F232" s="512" t="s">
        <v>1066</v>
      </c>
      <c r="G232" s="512"/>
      <c r="H232" s="513">
        <v>47803.34</v>
      </c>
      <c r="Y232" s="538">
        <f>+H232</f>
        <v>47803.34</v>
      </c>
    </row>
    <row r="233" spans="1:25" ht="15.75" thickBot="1" x14ac:dyDescent="0.3">
      <c r="A233" s="512"/>
      <c r="B233" s="512"/>
      <c r="C233" s="512"/>
      <c r="D233" s="512"/>
      <c r="E233" s="512"/>
      <c r="F233" s="512" t="s">
        <v>1067</v>
      </c>
      <c r="G233" s="512"/>
      <c r="H233" s="526">
        <v>3344994</v>
      </c>
    </row>
    <row r="234" spans="1:25" x14ac:dyDescent="0.25">
      <c r="A234" s="512"/>
      <c r="B234" s="512"/>
      <c r="C234" s="512"/>
      <c r="D234" s="512"/>
      <c r="E234" s="512" t="s">
        <v>1068</v>
      </c>
      <c r="F234" s="512"/>
      <c r="G234" s="512"/>
      <c r="H234" s="513">
        <f>ROUND(SUM(H229:H233),5)</f>
        <v>33692898.729999997</v>
      </c>
    </row>
    <row r="235" spans="1:25" x14ac:dyDescent="0.25">
      <c r="A235" s="512"/>
      <c r="B235" s="512"/>
      <c r="C235" s="512"/>
      <c r="D235" s="512"/>
      <c r="E235" s="512" t="s">
        <v>1069</v>
      </c>
      <c r="F235" s="512"/>
      <c r="G235" s="512"/>
      <c r="H235" s="513"/>
    </row>
    <row r="236" spans="1:25" x14ac:dyDescent="0.25">
      <c r="A236" s="512"/>
      <c r="B236" s="512"/>
      <c r="C236" s="512"/>
      <c r="D236" s="512"/>
      <c r="E236" s="512"/>
      <c r="F236" s="512" t="s">
        <v>1070</v>
      </c>
      <c r="G236" s="512"/>
      <c r="H236" s="513">
        <v>-2500</v>
      </c>
      <c r="Y236" s="538">
        <f t="shared" ref="Y236:Y241" si="15">+H236</f>
        <v>-2500</v>
      </c>
    </row>
    <row r="237" spans="1:25" x14ac:dyDescent="0.25">
      <c r="A237" s="512"/>
      <c r="B237" s="512"/>
      <c r="C237" s="512"/>
      <c r="D237" s="512"/>
      <c r="E237" s="512"/>
      <c r="F237" s="512" t="s">
        <v>1071</v>
      </c>
      <c r="G237" s="512"/>
      <c r="H237" s="513">
        <v>272000</v>
      </c>
      <c r="Y237" s="538">
        <f t="shared" si="15"/>
        <v>272000</v>
      </c>
    </row>
    <row r="238" spans="1:25" x14ac:dyDescent="0.25">
      <c r="A238" s="512"/>
      <c r="B238" s="512"/>
      <c r="C238" s="512"/>
      <c r="D238" s="512"/>
      <c r="E238" s="512"/>
      <c r="F238" s="512" t="s">
        <v>1072</v>
      </c>
      <c r="G238" s="512"/>
      <c r="H238" s="513">
        <v>26670.92</v>
      </c>
      <c r="Y238" s="538">
        <f t="shared" si="15"/>
        <v>26670.92</v>
      </c>
    </row>
    <row r="239" spans="1:25" x14ac:dyDescent="0.25">
      <c r="A239" s="512"/>
      <c r="B239" s="512"/>
      <c r="C239" s="512"/>
      <c r="D239" s="512"/>
      <c r="E239" s="512"/>
      <c r="F239" s="512" t="s">
        <v>1540</v>
      </c>
      <c r="G239" s="512"/>
      <c r="H239" s="513">
        <v>6000</v>
      </c>
      <c r="Y239" s="524">
        <f t="shared" si="15"/>
        <v>6000</v>
      </c>
    </row>
    <row r="240" spans="1:25" x14ac:dyDescent="0.25">
      <c r="A240" s="512"/>
      <c r="B240" s="512"/>
      <c r="C240" s="512"/>
      <c r="D240" s="512"/>
      <c r="E240" s="512"/>
      <c r="F240" s="512" t="s">
        <v>1541</v>
      </c>
      <c r="G240" s="512"/>
      <c r="H240" s="513">
        <v>-301000</v>
      </c>
      <c r="Y240" s="524">
        <f t="shared" si="15"/>
        <v>-301000</v>
      </c>
    </row>
    <row r="241" spans="1:26" x14ac:dyDescent="0.25">
      <c r="A241" s="512"/>
      <c r="B241" s="512"/>
      <c r="C241" s="512"/>
      <c r="D241" s="512"/>
      <c r="E241" s="512"/>
      <c r="F241" s="512" t="s">
        <v>1073</v>
      </c>
      <c r="G241" s="512"/>
      <c r="H241" s="513">
        <v>600892.18999999994</v>
      </c>
      <c r="Y241" s="524">
        <f t="shared" si="15"/>
        <v>600892.18999999994</v>
      </c>
    </row>
    <row r="242" spans="1:26" x14ac:dyDescent="0.25">
      <c r="A242" s="512"/>
      <c r="B242" s="512"/>
      <c r="C242" s="512"/>
      <c r="D242" s="512"/>
      <c r="E242" s="512"/>
      <c r="F242" s="512" t="s">
        <v>1074</v>
      </c>
      <c r="G242" s="512"/>
      <c r="H242" s="513"/>
    </row>
    <row r="243" spans="1:26" x14ac:dyDescent="0.25">
      <c r="A243" s="512"/>
      <c r="B243" s="512"/>
      <c r="C243" s="512"/>
      <c r="D243" s="512"/>
      <c r="E243" s="512"/>
      <c r="F243" s="512"/>
      <c r="G243" s="512" t="s">
        <v>1075</v>
      </c>
      <c r="H243" s="513">
        <v>-92705.83</v>
      </c>
      <c r="X243" s="524">
        <f>+H243</f>
        <v>-92705.83</v>
      </c>
    </row>
    <row r="244" spans="1:26" x14ac:dyDescent="0.25">
      <c r="A244" s="512"/>
      <c r="B244" s="512"/>
      <c r="C244" s="512"/>
      <c r="D244" s="512"/>
      <c r="E244" s="512"/>
      <c r="F244" s="512"/>
      <c r="G244" s="512" t="s">
        <v>1076</v>
      </c>
      <c r="H244" s="513">
        <v>-38019467.450000003</v>
      </c>
      <c r="X244" s="524">
        <f>+H244</f>
        <v>-38019467.450000003</v>
      </c>
    </row>
    <row r="245" spans="1:26" x14ac:dyDescent="0.25">
      <c r="A245" s="512"/>
      <c r="B245" s="512"/>
      <c r="C245" s="512"/>
      <c r="D245" s="512"/>
      <c r="E245" s="512"/>
      <c r="F245" s="512"/>
      <c r="G245" s="512" t="s">
        <v>1542</v>
      </c>
      <c r="H245" s="513">
        <v>-152501.68</v>
      </c>
      <c r="X245" s="524">
        <f>+H245</f>
        <v>-152501.68</v>
      </c>
    </row>
    <row r="246" spans="1:26" x14ac:dyDescent="0.25">
      <c r="A246" s="512"/>
      <c r="B246" s="512"/>
      <c r="C246" s="512"/>
      <c r="D246" s="512"/>
      <c r="E246" s="512"/>
      <c r="F246" s="512"/>
      <c r="G246" s="512" t="s">
        <v>1543</v>
      </c>
      <c r="H246" s="513">
        <v>35240</v>
      </c>
      <c r="X246" s="524"/>
      <c r="Y246" s="524">
        <f>+H246</f>
        <v>35240</v>
      </c>
    </row>
    <row r="247" spans="1:26" ht="15.75" thickBot="1" x14ac:dyDescent="0.3">
      <c r="A247" s="512"/>
      <c r="B247" s="512"/>
      <c r="C247" s="512"/>
      <c r="D247" s="512"/>
      <c r="E247" s="512"/>
      <c r="F247" s="512"/>
      <c r="G247" s="512" t="s">
        <v>1544</v>
      </c>
      <c r="H247" s="515">
        <v>220790.84</v>
      </c>
      <c r="X247" s="524">
        <f>+H247</f>
        <v>220790.84</v>
      </c>
    </row>
    <row r="248" spans="1:26" x14ac:dyDescent="0.25">
      <c r="A248" s="512"/>
      <c r="B248" s="512"/>
      <c r="C248" s="512"/>
      <c r="D248" s="512"/>
      <c r="E248" s="512"/>
      <c r="F248" s="512" t="s">
        <v>1077</v>
      </c>
      <c r="G248" s="512"/>
      <c r="H248" s="513">
        <f>ROUND(SUM(H242:H247),5)</f>
        <v>-38008644.119999997</v>
      </c>
    </row>
    <row r="249" spans="1:26" x14ac:dyDescent="0.25">
      <c r="A249" s="512"/>
      <c r="B249" s="512"/>
      <c r="C249" s="512"/>
      <c r="D249" s="512"/>
      <c r="E249" s="512"/>
      <c r="F249" s="512" t="s">
        <v>1078</v>
      </c>
      <c r="G249" s="512"/>
      <c r="H249" s="513"/>
    </row>
    <row r="250" spans="1:26" x14ac:dyDescent="0.25">
      <c r="A250" s="512"/>
      <c r="B250" s="512"/>
      <c r="C250" s="512"/>
      <c r="D250" s="512"/>
      <c r="E250" s="512"/>
      <c r="F250" s="512"/>
      <c r="G250" s="512" t="s">
        <v>1079</v>
      </c>
      <c r="H250" s="513">
        <v>1874847</v>
      </c>
      <c r="Z250" s="524">
        <f>+H250</f>
        <v>1874847</v>
      </c>
    </row>
    <row r="251" spans="1:26" x14ac:dyDescent="0.25">
      <c r="A251" s="512"/>
      <c r="B251" s="512"/>
      <c r="C251" s="512"/>
      <c r="D251" s="512"/>
      <c r="E251" s="512"/>
      <c r="F251" s="512"/>
      <c r="G251" s="512" t="s">
        <v>1080</v>
      </c>
      <c r="H251" s="513">
        <v>8579487.0600000005</v>
      </c>
      <c r="Z251" s="524">
        <f>+H251</f>
        <v>8579487.0600000005</v>
      </c>
    </row>
    <row r="252" spans="1:26" ht="15.75" thickBot="1" x14ac:dyDescent="0.3">
      <c r="A252" s="512"/>
      <c r="B252" s="512"/>
      <c r="C252" s="512"/>
      <c r="D252" s="512"/>
      <c r="E252" s="512"/>
      <c r="F252" s="512"/>
      <c r="G252" s="512" t="s">
        <v>1081</v>
      </c>
      <c r="H252" s="515">
        <v>-23030</v>
      </c>
      <c r="Z252" s="524">
        <f>+H252</f>
        <v>-23030</v>
      </c>
    </row>
    <row r="253" spans="1:26" x14ac:dyDescent="0.25">
      <c r="A253" s="512"/>
      <c r="B253" s="512"/>
      <c r="C253" s="512"/>
      <c r="D253" s="512"/>
      <c r="E253" s="512"/>
      <c r="F253" s="512" t="s">
        <v>1082</v>
      </c>
      <c r="G253" s="512"/>
      <c r="H253" s="513">
        <f>ROUND(SUM(H249:H252),5)</f>
        <v>10431304.060000001</v>
      </c>
    </row>
    <row r="254" spans="1:26" x14ac:dyDescent="0.25">
      <c r="A254" s="512"/>
      <c r="B254" s="512"/>
      <c r="C254" s="512"/>
      <c r="D254" s="512"/>
      <c r="E254" s="512"/>
      <c r="F254" s="512" t="s">
        <v>1083</v>
      </c>
      <c r="G254" s="512"/>
      <c r="H254" s="513">
        <v>96340074.5</v>
      </c>
      <c r="Z254" s="524">
        <f>+H254</f>
        <v>96340074.5</v>
      </c>
    </row>
    <row r="255" spans="1:26" x14ac:dyDescent="0.25">
      <c r="A255" s="512"/>
      <c r="B255" s="512"/>
      <c r="C255" s="512"/>
      <c r="D255" s="512"/>
      <c r="E255" s="512"/>
      <c r="F255" s="512" t="s">
        <v>1084</v>
      </c>
      <c r="G255" s="512"/>
      <c r="H255" s="513">
        <v>1137374.92</v>
      </c>
      <c r="Z255" s="524">
        <f>+H255</f>
        <v>1137374.92</v>
      </c>
    </row>
    <row r="256" spans="1:26" x14ac:dyDescent="0.25">
      <c r="A256" s="512"/>
      <c r="B256" s="512"/>
      <c r="C256" s="512"/>
      <c r="D256" s="512"/>
      <c r="E256" s="512"/>
      <c r="F256" s="512" t="s">
        <v>1085</v>
      </c>
      <c r="G256" s="512"/>
      <c r="H256" s="513">
        <v>107410242.23</v>
      </c>
      <c r="Z256" s="524">
        <f>+H256</f>
        <v>107410242.23</v>
      </c>
    </row>
    <row r="257" spans="1:26" ht="15.75" thickBot="1" x14ac:dyDescent="0.3">
      <c r="A257" s="512"/>
      <c r="B257" s="512"/>
      <c r="C257" s="512"/>
      <c r="D257" s="512"/>
      <c r="E257" s="512"/>
      <c r="F257" s="512" t="s">
        <v>1545</v>
      </c>
      <c r="G257" s="512"/>
      <c r="H257" s="515">
        <v>-3318144.12</v>
      </c>
      <c r="Z257" s="524">
        <f>+H257</f>
        <v>-3318144.12</v>
      </c>
    </row>
    <row r="258" spans="1:26" x14ac:dyDescent="0.25">
      <c r="A258" s="512"/>
      <c r="B258" s="512"/>
      <c r="C258" s="512"/>
      <c r="D258" s="512"/>
      <c r="E258" s="512" t="s">
        <v>1086</v>
      </c>
      <c r="F258" s="512"/>
      <c r="G258" s="512"/>
      <c r="H258" s="513">
        <f>ROUND(SUM(H235:H241)+H248+SUM(H253:H257),5)</f>
        <v>174594270.58000001</v>
      </c>
    </row>
    <row r="259" spans="1:26" x14ac:dyDescent="0.25">
      <c r="A259" s="512"/>
      <c r="B259" s="512"/>
      <c r="C259" s="512"/>
      <c r="D259" s="512"/>
      <c r="E259" s="512" t="s">
        <v>522</v>
      </c>
      <c r="F259" s="512"/>
      <c r="G259" s="512"/>
      <c r="H259" s="513">
        <v>10000</v>
      </c>
      <c r="Y259" s="524">
        <f>+H259</f>
        <v>10000</v>
      </c>
    </row>
    <row r="260" spans="1:26" x14ac:dyDescent="0.25">
      <c r="A260" s="512"/>
      <c r="B260" s="512"/>
      <c r="C260" s="512"/>
      <c r="D260" s="512"/>
      <c r="E260" s="512" t="s">
        <v>1546</v>
      </c>
      <c r="F260" s="512"/>
      <c r="G260" s="512"/>
      <c r="H260" s="513">
        <v>1000000</v>
      </c>
      <c r="Y260" s="524">
        <f>+H260</f>
        <v>1000000</v>
      </c>
    </row>
    <row r="261" spans="1:26" x14ac:dyDescent="0.25">
      <c r="A261" s="512"/>
      <c r="B261" s="512"/>
      <c r="C261" s="512"/>
      <c r="D261" s="512"/>
      <c r="E261" s="512" t="s">
        <v>1547</v>
      </c>
      <c r="F261" s="512"/>
      <c r="G261" s="512"/>
      <c r="H261" s="513">
        <v>38608</v>
      </c>
      <c r="Y261" s="524"/>
      <c r="Z261" s="524">
        <f>+H261</f>
        <v>38608</v>
      </c>
    </row>
    <row r="262" spans="1:26" x14ac:dyDescent="0.25">
      <c r="A262" s="512"/>
      <c r="B262" s="512"/>
      <c r="C262" s="512"/>
      <c r="D262" s="512"/>
      <c r="E262" s="512" t="s">
        <v>684</v>
      </c>
      <c r="F262" s="512"/>
      <c r="G262" s="512"/>
      <c r="H262" s="513">
        <v>4609157.72</v>
      </c>
      <c r="Y262" s="524"/>
      <c r="Z262" s="524">
        <f>+H262</f>
        <v>4609157.72</v>
      </c>
    </row>
    <row r="263" spans="1:26" ht="15.75" thickBot="1" x14ac:dyDescent="0.3">
      <c r="A263" s="512"/>
      <c r="B263" s="512"/>
      <c r="C263" s="512"/>
      <c r="D263" s="512"/>
      <c r="E263" s="512" t="s">
        <v>685</v>
      </c>
      <c r="F263" s="512"/>
      <c r="G263" s="512"/>
      <c r="H263" s="516">
        <v>13352356.07</v>
      </c>
      <c r="Y263" s="524"/>
      <c r="Z263" s="524">
        <f>+H263</f>
        <v>13352356.07</v>
      </c>
    </row>
    <row r="264" spans="1:26" ht="15.75" thickBot="1" x14ac:dyDescent="0.3">
      <c r="A264" s="512"/>
      <c r="B264" s="512"/>
      <c r="C264" s="512"/>
      <c r="D264" s="512" t="s">
        <v>1087</v>
      </c>
      <c r="E264" s="512"/>
      <c r="F264" s="512"/>
      <c r="G264" s="512"/>
      <c r="H264" s="517">
        <f>ROUND(H228+H234+SUM(H258:H263),5)</f>
        <v>227297291.09999999</v>
      </c>
    </row>
    <row r="265" spans="1:26" x14ac:dyDescent="0.25">
      <c r="A265" s="512"/>
      <c r="B265" s="512"/>
      <c r="C265" s="512" t="s">
        <v>3</v>
      </c>
      <c r="D265" s="512"/>
      <c r="E265" s="512"/>
      <c r="F265" s="512"/>
      <c r="G265" s="512"/>
      <c r="H265" s="513">
        <f>ROUND(H216+H221+H227+H264,5)</f>
        <v>287446197.41000003</v>
      </c>
    </row>
    <row r="266" spans="1:26" x14ac:dyDescent="0.25">
      <c r="A266" s="512"/>
      <c r="B266" s="512"/>
      <c r="C266" s="512" t="s">
        <v>1088</v>
      </c>
      <c r="D266" s="512"/>
      <c r="E266" s="512"/>
      <c r="F266" s="512"/>
      <c r="G266" s="512"/>
      <c r="H266" s="513"/>
    </row>
    <row r="267" spans="1:26" x14ac:dyDescent="0.25">
      <c r="A267" s="512"/>
      <c r="B267" s="512"/>
      <c r="C267" s="512"/>
      <c r="D267" s="512" t="s">
        <v>1089</v>
      </c>
      <c r="E267" s="512"/>
      <c r="F267" s="512"/>
      <c r="G267" s="512"/>
      <c r="H267" s="513"/>
    </row>
    <row r="268" spans="1:26" x14ac:dyDescent="0.25">
      <c r="A268" s="512"/>
      <c r="B268" s="512"/>
      <c r="C268" s="512"/>
      <c r="D268" s="512"/>
      <c r="E268" s="512" t="s">
        <v>1090</v>
      </c>
      <c r="F268" s="512"/>
      <c r="G268" s="512"/>
      <c r="H268" s="513">
        <v>11599969.24</v>
      </c>
      <c r="W268" s="524">
        <f t="shared" ref="W268:W290" si="16">+H268</f>
        <v>11599969.24</v>
      </c>
    </row>
    <row r="269" spans="1:26" x14ac:dyDescent="0.25">
      <c r="A269" s="512"/>
      <c r="B269" s="512"/>
      <c r="C269" s="512"/>
      <c r="D269" s="512"/>
      <c r="E269" s="512" t="s">
        <v>1091</v>
      </c>
      <c r="F269" s="512"/>
      <c r="G269" s="512"/>
      <c r="H269" s="513">
        <v>12699028.67</v>
      </c>
      <c r="W269" s="524">
        <f t="shared" si="16"/>
        <v>12699028.67</v>
      </c>
    </row>
    <row r="270" spans="1:26" x14ac:dyDescent="0.25">
      <c r="A270" s="512"/>
      <c r="B270" s="512"/>
      <c r="C270" s="512"/>
      <c r="D270" s="512"/>
      <c r="E270" s="512" t="s">
        <v>1548</v>
      </c>
      <c r="F270" s="512"/>
      <c r="G270" s="512"/>
      <c r="H270" s="513">
        <v>623893</v>
      </c>
      <c r="W270" s="524">
        <f t="shared" si="16"/>
        <v>623893</v>
      </c>
    </row>
    <row r="271" spans="1:26" x14ac:dyDescent="0.25">
      <c r="A271" s="512"/>
      <c r="B271" s="512"/>
      <c r="C271" s="512"/>
      <c r="D271" s="512"/>
      <c r="E271" s="512" t="s">
        <v>1093</v>
      </c>
      <c r="F271" s="512"/>
      <c r="G271" s="512"/>
      <c r="H271" s="513">
        <v>3112210.4</v>
      </c>
      <c r="W271" s="524">
        <f t="shared" si="16"/>
        <v>3112210.4</v>
      </c>
    </row>
    <row r="272" spans="1:26" x14ac:dyDescent="0.25">
      <c r="A272" s="512"/>
      <c r="B272" s="512"/>
      <c r="C272" s="512"/>
      <c r="D272" s="512"/>
      <c r="E272" s="512" t="s">
        <v>1549</v>
      </c>
      <c r="F272" s="512"/>
      <c r="G272" s="512"/>
      <c r="H272" s="513">
        <v>3018767</v>
      </c>
      <c r="W272" s="524">
        <f t="shared" si="16"/>
        <v>3018767</v>
      </c>
    </row>
    <row r="273" spans="1:23" x14ac:dyDescent="0.25">
      <c r="A273" s="512"/>
      <c r="B273" s="512"/>
      <c r="C273" s="512"/>
      <c r="D273" s="512"/>
      <c r="E273" s="512" t="s">
        <v>1550</v>
      </c>
      <c r="F273" s="512"/>
      <c r="G273" s="512"/>
      <c r="H273" s="513">
        <v>8067466.6100000003</v>
      </c>
      <c r="W273" s="524">
        <f t="shared" si="16"/>
        <v>8067466.6100000003</v>
      </c>
    </row>
    <row r="274" spans="1:23" x14ac:dyDescent="0.25">
      <c r="A274" s="512"/>
      <c r="B274" s="512"/>
      <c r="C274" s="512"/>
      <c r="D274" s="512"/>
      <c r="E274" s="512" t="s">
        <v>1094</v>
      </c>
      <c r="F274" s="512"/>
      <c r="G274" s="512"/>
      <c r="H274" s="513">
        <v>1483227</v>
      </c>
      <c r="W274" s="524">
        <f t="shared" si="16"/>
        <v>1483227</v>
      </c>
    </row>
    <row r="275" spans="1:23" x14ac:dyDescent="0.25">
      <c r="A275" s="512"/>
      <c r="B275" s="512"/>
      <c r="C275" s="512"/>
      <c r="D275" s="512"/>
      <c r="E275" s="512" t="s">
        <v>1551</v>
      </c>
      <c r="F275" s="512"/>
      <c r="G275" s="512"/>
      <c r="H275" s="513">
        <v>4999495.21</v>
      </c>
      <c r="W275" s="524">
        <f t="shared" si="16"/>
        <v>4999495.21</v>
      </c>
    </row>
    <row r="276" spans="1:23" x14ac:dyDescent="0.25">
      <c r="A276" s="512"/>
      <c r="B276" s="512"/>
      <c r="C276" s="512"/>
      <c r="D276" s="512"/>
      <c r="E276" s="512" t="s">
        <v>1096</v>
      </c>
      <c r="F276" s="512"/>
      <c r="G276" s="512"/>
      <c r="H276" s="513">
        <v>2146011</v>
      </c>
      <c r="W276" s="524">
        <f t="shared" si="16"/>
        <v>2146011</v>
      </c>
    </row>
    <row r="277" spans="1:23" x14ac:dyDescent="0.25">
      <c r="A277" s="512"/>
      <c r="B277" s="512"/>
      <c r="C277" s="512"/>
      <c r="D277" s="512"/>
      <c r="E277" s="512" t="s">
        <v>1097</v>
      </c>
      <c r="F277" s="512"/>
      <c r="G277" s="512"/>
      <c r="H277" s="513">
        <v>-644705.51</v>
      </c>
      <c r="W277" s="524">
        <f t="shared" si="16"/>
        <v>-644705.51</v>
      </c>
    </row>
    <row r="278" spans="1:23" x14ac:dyDescent="0.25">
      <c r="A278" s="512"/>
      <c r="B278" s="512"/>
      <c r="C278" s="512"/>
      <c r="D278" s="512"/>
      <c r="E278" s="512" t="s">
        <v>1098</v>
      </c>
      <c r="F278" s="512"/>
      <c r="G278" s="512"/>
      <c r="H278" s="513">
        <v>1907595</v>
      </c>
      <c r="W278" s="524">
        <f t="shared" si="16"/>
        <v>1907595</v>
      </c>
    </row>
    <row r="279" spans="1:23" x14ac:dyDescent="0.25">
      <c r="A279" s="512"/>
      <c r="B279" s="512"/>
      <c r="C279" s="512"/>
      <c r="D279" s="512"/>
      <c r="E279" s="512" t="s">
        <v>1099</v>
      </c>
      <c r="F279" s="512"/>
      <c r="G279" s="512"/>
      <c r="H279" s="513">
        <v>-573103.56000000006</v>
      </c>
      <c r="W279" s="524">
        <f t="shared" si="16"/>
        <v>-573103.56000000006</v>
      </c>
    </row>
    <row r="280" spans="1:23" x14ac:dyDescent="0.25">
      <c r="A280" s="512"/>
      <c r="B280" s="512"/>
      <c r="C280" s="512"/>
      <c r="D280" s="512"/>
      <c r="E280" s="512" t="s">
        <v>1100</v>
      </c>
      <c r="F280" s="512"/>
      <c r="G280" s="512"/>
      <c r="H280" s="513">
        <v>7916666.9400000004</v>
      </c>
      <c r="W280" s="524">
        <f t="shared" si="16"/>
        <v>7916666.9400000004</v>
      </c>
    </row>
    <row r="281" spans="1:23" x14ac:dyDescent="0.25">
      <c r="A281" s="512"/>
      <c r="B281" s="512"/>
      <c r="C281" s="512"/>
      <c r="D281" s="512"/>
      <c r="E281" s="512" t="s">
        <v>1552</v>
      </c>
      <c r="F281" s="512"/>
      <c r="G281" s="512"/>
      <c r="H281" s="513">
        <v>8882471.7699999996</v>
      </c>
      <c r="W281" s="524">
        <f t="shared" si="16"/>
        <v>8882471.7699999996</v>
      </c>
    </row>
    <row r="282" spans="1:23" x14ac:dyDescent="0.25">
      <c r="A282" s="512"/>
      <c r="B282" s="512"/>
      <c r="C282" s="512"/>
      <c r="D282" s="512"/>
      <c r="E282" s="512" t="s">
        <v>1553</v>
      </c>
      <c r="F282" s="512"/>
      <c r="G282" s="512"/>
      <c r="H282" s="513">
        <v>534840</v>
      </c>
      <c r="W282" s="524">
        <f t="shared" si="16"/>
        <v>534840</v>
      </c>
    </row>
    <row r="283" spans="1:23" x14ac:dyDescent="0.25">
      <c r="A283" s="512"/>
      <c r="B283" s="512"/>
      <c r="C283" s="512"/>
      <c r="D283" s="512"/>
      <c r="E283" s="512" t="s">
        <v>1554</v>
      </c>
      <c r="F283" s="512"/>
      <c r="G283" s="512"/>
      <c r="H283" s="513">
        <v>2702394.97</v>
      </c>
      <c r="W283" s="524">
        <f t="shared" si="16"/>
        <v>2702394.97</v>
      </c>
    </row>
    <row r="284" spans="1:23" x14ac:dyDescent="0.25">
      <c r="A284" s="512"/>
      <c r="B284" s="512"/>
      <c r="C284" s="512"/>
      <c r="D284" s="512"/>
      <c r="E284" s="512" t="s">
        <v>1555</v>
      </c>
      <c r="F284" s="512"/>
      <c r="G284" s="512"/>
      <c r="H284" s="513">
        <v>2025870</v>
      </c>
      <c r="W284" s="524">
        <f t="shared" si="16"/>
        <v>2025870</v>
      </c>
    </row>
    <row r="285" spans="1:23" x14ac:dyDescent="0.25">
      <c r="A285" s="512"/>
      <c r="B285" s="512"/>
      <c r="C285" s="512"/>
      <c r="D285" s="512"/>
      <c r="E285" s="512" t="s">
        <v>1556</v>
      </c>
      <c r="F285" s="512"/>
      <c r="G285" s="512"/>
      <c r="H285" s="513">
        <v>-458685.94</v>
      </c>
      <c r="W285" s="524">
        <f t="shared" si="16"/>
        <v>-458685.94</v>
      </c>
    </row>
    <row r="286" spans="1:23" x14ac:dyDescent="0.25">
      <c r="A286" s="512"/>
      <c r="B286" s="512"/>
      <c r="C286" s="512"/>
      <c r="D286" s="512"/>
      <c r="E286" s="512" t="s">
        <v>1557</v>
      </c>
      <c r="F286" s="512"/>
      <c r="G286" s="512"/>
      <c r="H286" s="513">
        <v>24728190.48</v>
      </c>
      <c r="W286" s="524">
        <f t="shared" si="16"/>
        <v>24728190.48</v>
      </c>
    </row>
    <row r="287" spans="1:23" x14ac:dyDescent="0.25">
      <c r="A287" s="512"/>
      <c r="B287" s="512"/>
      <c r="C287" s="512"/>
      <c r="D287" s="512"/>
      <c r="E287" s="512" t="s">
        <v>1558</v>
      </c>
      <c r="F287" s="512"/>
      <c r="G287" s="512"/>
      <c r="H287" s="513">
        <v>-2574759.83</v>
      </c>
      <c r="W287" s="524">
        <f t="shared" si="16"/>
        <v>-2574759.83</v>
      </c>
    </row>
    <row r="288" spans="1:23" x14ac:dyDescent="0.25">
      <c r="A288" s="512"/>
      <c r="B288" s="512"/>
      <c r="C288" s="512"/>
      <c r="D288" s="512"/>
      <c r="E288" s="512" t="s">
        <v>1559</v>
      </c>
      <c r="F288" s="512"/>
      <c r="G288" s="512"/>
      <c r="H288" s="513">
        <v>7465797</v>
      </c>
      <c r="W288" s="524">
        <f t="shared" si="16"/>
        <v>7465797</v>
      </c>
    </row>
    <row r="289" spans="1:26" x14ac:dyDescent="0.25">
      <c r="A289" s="512"/>
      <c r="B289" s="512"/>
      <c r="C289" s="512"/>
      <c r="D289" s="512"/>
      <c r="E289" s="512" t="s">
        <v>1560</v>
      </c>
      <c r="F289" s="512"/>
      <c r="G289" s="512"/>
      <c r="H289" s="513">
        <v>-142352.51</v>
      </c>
      <c r="W289" s="524">
        <f t="shared" si="16"/>
        <v>-142352.51</v>
      </c>
    </row>
    <row r="290" spans="1:26" ht="15.75" thickBot="1" x14ac:dyDescent="0.3">
      <c r="A290" s="512"/>
      <c r="B290" s="512"/>
      <c r="C290" s="512"/>
      <c r="D290" s="512"/>
      <c r="E290" s="512" t="s">
        <v>1561</v>
      </c>
      <c r="F290" s="512"/>
      <c r="G290" s="512"/>
      <c r="H290" s="516">
        <v>-142637.07</v>
      </c>
      <c r="W290" s="524">
        <f t="shared" si="16"/>
        <v>-142637.07</v>
      </c>
    </row>
    <row r="291" spans="1:26" ht="15.75" thickBot="1" x14ac:dyDescent="0.3">
      <c r="A291" s="512"/>
      <c r="B291" s="512"/>
      <c r="C291" s="512"/>
      <c r="D291" s="512" t="s">
        <v>1101</v>
      </c>
      <c r="E291" s="512"/>
      <c r="F291" s="512"/>
      <c r="G291" s="512"/>
      <c r="H291" s="518">
        <f>ROUND(SUM(H267:H290),5)</f>
        <v>99377649.870000005</v>
      </c>
    </row>
    <row r="292" spans="1:26" ht="15.75" thickBot="1" x14ac:dyDescent="0.3">
      <c r="A292" s="512"/>
      <c r="B292" s="512"/>
      <c r="C292" s="512" t="s">
        <v>1102</v>
      </c>
      <c r="D292" s="512"/>
      <c r="E292" s="512"/>
      <c r="F292" s="512"/>
      <c r="G292" s="512"/>
      <c r="H292" s="517">
        <f>ROUND(H266+H291,5)</f>
        <v>99377649.870000005</v>
      </c>
    </row>
    <row r="293" spans="1:26" x14ac:dyDescent="0.25">
      <c r="A293" s="512"/>
      <c r="B293" s="512" t="s">
        <v>1103</v>
      </c>
      <c r="C293" s="512"/>
      <c r="D293" s="512"/>
      <c r="E293" s="512"/>
      <c r="F293" s="512"/>
      <c r="G293" s="512"/>
      <c r="H293" s="513">
        <f>ROUND(H215+H265+H292,5)</f>
        <v>386823847.27999997</v>
      </c>
    </row>
    <row r="294" spans="1:26" x14ac:dyDescent="0.25">
      <c r="A294" s="512"/>
      <c r="B294" s="512" t="s">
        <v>2</v>
      </c>
      <c r="C294" s="512"/>
      <c r="D294" s="512"/>
      <c r="E294" s="512"/>
      <c r="F294" s="512"/>
      <c r="G294" s="512"/>
      <c r="H294" s="513"/>
    </row>
    <row r="295" spans="1:26" x14ac:dyDescent="0.25">
      <c r="A295" s="512"/>
      <c r="B295" s="512"/>
      <c r="C295" s="512" t="s">
        <v>175</v>
      </c>
      <c r="D295" s="512"/>
      <c r="E295" s="512"/>
      <c r="F295" s="512"/>
      <c r="G295" s="512"/>
      <c r="H295" s="513"/>
    </row>
    <row r="296" spans="1:26" x14ac:dyDescent="0.25">
      <c r="A296" s="512"/>
      <c r="B296" s="512"/>
      <c r="C296" s="512"/>
      <c r="D296" s="512" t="s">
        <v>1104</v>
      </c>
      <c r="E296" s="512"/>
      <c r="F296" s="512"/>
      <c r="G296" s="512"/>
      <c r="H296" s="527">
        <v>2000020</v>
      </c>
    </row>
    <row r="297" spans="1:26" ht="15.75" thickBot="1" x14ac:dyDescent="0.3">
      <c r="A297" s="512"/>
      <c r="B297" s="512"/>
      <c r="C297" s="512"/>
      <c r="D297" s="512" t="s">
        <v>1107</v>
      </c>
      <c r="E297" s="512"/>
      <c r="F297" s="512"/>
      <c r="G297" s="512"/>
      <c r="H297" s="526">
        <v>24639053.23</v>
      </c>
    </row>
    <row r="298" spans="1:26" x14ac:dyDescent="0.25">
      <c r="A298" s="512"/>
      <c r="B298" s="512"/>
      <c r="C298" s="512" t="s">
        <v>1108</v>
      </c>
      <c r="D298" s="512"/>
      <c r="E298" s="512"/>
      <c r="F298" s="512"/>
      <c r="G298" s="512"/>
      <c r="H298" s="513">
        <f>ROUND(SUM(H295:H297),5)</f>
        <v>26639073.23</v>
      </c>
    </row>
    <row r="299" spans="1:26" x14ac:dyDescent="0.25">
      <c r="A299" s="512"/>
      <c r="B299" s="512"/>
      <c r="C299" s="512" t="s">
        <v>178</v>
      </c>
      <c r="D299" s="512"/>
      <c r="E299" s="512"/>
      <c r="F299" s="512"/>
      <c r="G299" s="512"/>
      <c r="H299" s="513">
        <v>116023889.08</v>
      </c>
    </row>
    <row r="300" spans="1:26" ht="15.75" thickBot="1" x14ac:dyDescent="0.3">
      <c r="A300" s="512"/>
      <c r="B300" s="512"/>
      <c r="C300" s="512" t="s">
        <v>1109</v>
      </c>
      <c r="D300" s="512"/>
      <c r="E300" s="512"/>
      <c r="F300" s="512"/>
      <c r="G300" s="512"/>
      <c r="H300" s="516">
        <v>7686407.5999999996</v>
      </c>
    </row>
    <row r="301" spans="1:26" ht="15.75" thickBot="1" x14ac:dyDescent="0.3">
      <c r="A301" s="512"/>
      <c r="B301" s="512" t="s">
        <v>68</v>
      </c>
      <c r="C301" s="512"/>
      <c r="D301" s="512"/>
      <c r="E301" s="512"/>
      <c r="F301" s="512"/>
      <c r="G301" s="512"/>
      <c r="H301" s="518">
        <f>ROUND(H294+SUM(H298:H300),5)</f>
        <v>150349369.91</v>
      </c>
    </row>
    <row r="302" spans="1:26" s="520" customFormat="1" ht="12" thickBot="1" x14ac:dyDescent="0.25">
      <c r="A302" s="512" t="s">
        <v>1110</v>
      </c>
      <c r="B302" s="512"/>
      <c r="C302" s="512"/>
      <c r="D302" s="512"/>
      <c r="E302" s="512"/>
      <c r="F302" s="512"/>
      <c r="G302" s="512"/>
      <c r="H302" s="519">
        <f>ROUND(H214+H293+H301,5)</f>
        <v>537173217.19000006</v>
      </c>
      <c r="I302" s="528">
        <f>SUM(I2:I301)</f>
        <v>13107843.01</v>
      </c>
      <c r="J302" s="528">
        <f t="shared" ref="J302:Z302" si="17">SUM(J2:J301)</f>
        <v>-9499293.7100000009</v>
      </c>
      <c r="K302" s="528">
        <f t="shared" si="17"/>
        <v>186075314.17000002</v>
      </c>
      <c r="L302" s="528">
        <f t="shared" si="17"/>
        <v>0</v>
      </c>
      <c r="M302" s="528">
        <f t="shared" si="17"/>
        <v>0</v>
      </c>
      <c r="N302" s="528">
        <f t="shared" si="17"/>
        <v>0</v>
      </c>
      <c r="O302" s="528">
        <f t="shared" si="17"/>
        <v>8121256.1600000001</v>
      </c>
      <c r="P302" s="528">
        <f t="shared" si="17"/>
        <v>56440553.110000007</v>
      </c>
      <c r="Q302" s="528">
        <f t="shared" si="17"/>
        <v>282926794.45000005</v>
      </c>
      <c r="R302" s="528">
        <f t="shared" si="17"/>
        <v>0</v>
      </c>
      <c r="S302" s="528">
        <f t="shared" si="17"/>
        <v>0</v>
      </c>
      <c r="T302" s="528">
        <f t="shared" si="17"/>
        <v>0</v>
      </c>
      <c r="U302" s="528">
        <f t="shared" si="17"/>
        <v>0</v>
      </c>
      <c r="V302" s="528">
        <f t="shared" si="17"/>
        <v>0</v>
      </c>
      <c r="W302" s="528">
        <f t="shared" si="17"/>
        <v>99377649.870000005</v>
      </c>
      <c r="X302" s="528">
        <f>SUM(X2:X301)</f>
        <v>-31787746.390000004</v>
      </c>
      <c r="Y302" s="542">
        <f t="shared" si="17"/>
        <v>85887976.420000002</v>
      </c>
      <c r="Z302" s="528">
        <f t="shared" si="17"/>
        <v>230000973.38</v>
      </c>
    </row>
    <row r="303" spans="1:26" ht="15.75" thickTop="1" x14ac:dyDescent="0.25"/>
  </sheetData>
  <pageMargins left="0.7" right="0.7" top="0.75" bottom="0.75" header="0.1" footer="0.3"/>
  <pageSetup orientation="portrait" r:id="rId1"/>
  <headerFooter>
    <oddHeader>&amp;L&amp;"Arial,Bold"&amp;8 1:17 AM
&amp;"Arial,Bold"&amp;8 04/19/18
&amp;"Arial,Bold"&amp;8 Accrual Basis&amp;C&amp;"Arial,Bold"&amp;12 Tropical Fish International (Pvt) Limited
&amp;"Arial,Bold"&amp;14 Balance Sheet
&amp;"Arial,Bold"&amp;10 As of March 31, 2018</oddHeader>
    <oddFooter>&amp;R&amp;"Arial,Bold"&amp;8 Page &amp;P of &amp;N</oddFooter>
  </headerFooter>
  <drawing r:id="rId2"/>
  <legacyDrawing r:id="rId3"/>
  <controls>
    <mc:AlternateContent xmlns:mc="http://schemas.openxmlformats.org/markup-compatibility/2006">
      <mc:Choice Requires="x14">
        <control shapeId="36865" r:id="rId4" name="FILTER">
          <controlPr defaultSize="0" autoLine="0" r:id="rId5">
            <anchor moveWithCells="1">
              <from>
                <xdr:col>0</xdr:col>
                <xdr:colOff>0</xdr:colOff>
                <xdr:row>0</xdr:row>
                <xdr:rowOff>0</xdr:rowOff>
              </from>
              <to>
                <xdr:col>4</xdr:col>
                <xdr:colOff>114300</xdr:colOff>
                <xdr:row>1</xdr:row>
                <xdr:rowOff>28575</xdr:rowOff>
              </to>
            </anchor>
          </controlPr>
        </control>
      </mc:Choice>
      <mc:Fallback>
        <control shapeId="36865" r:id="rId4" name="FILTER"/>
      </mc:Fallback>
    </mc:AlternateContent>
    <mc:AlternateContent xmlns:mc="http://schemas.openxmlformats.org/markup-compatibility/2006">
      <mc:Choice Requires="x14">
        <control shapeId="36866" r:id="rId6" name="HEADER">
          <controlPr defaultSize="0" autoLine="0" r:id="rId7">
            <anchor moveWithCells="1">
              <from>
                <xdr:col>0</xdr:col>
                <xdr:colOff>0</xdr:colOff>
                <xdr:row>0</xdr:row>
                <xdr:rowOff>0</xdr:rowOff>
              </from>
              <to>
                <xdr:col>4</xdr:col>
                <xdr:colOff>114300</xdr:colOff>
                <xdr:row>1</xdr:row>
                <xdr:rowOff>28575</xdr:rowOff>
              </to>
            </anchor>
          </controlPr>
        </control>
      </mc:Choice>
      <mc:Fallback>
        <control shapeId="36866" r:id="rId6" name="HEADER"/>
      </mc:Fallback>
    </mc:AlternateContent>
  </controls>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9546BB-A990-43A0-B34D-76A5644DFCC3}">
  <sheetPr codeName="Sheet6"/>
  <dimension ref="A1:K270"/>
  <sheetViews>
    <sheetView zoomScaleNormal="100" zoomScaleSheetLayoutView="100" workbookViewId="0">
      <pane xSplit="9" ySplit="1" topLeftCell="J2" activePane="bottomRight" state="frozenSplit"/>
      <selection pane="topRight" activeCell="J1" sqref="J1"/>
      <selection pane="bottomLeft" activeCell="A2" sqref="A2"/>
      <selection pane="bottomRight" activeCell="J257" sqref="J257"/>
    </sheetView>
  </sheetViews>
  <sheetFormatPr defaultRowHeight="15" x14ac:dyDescent="0.25"/>
  <cols>
    <col min="1" max="8" width="3" style="552" customWidth="1"/>
    <col min="9" max="9" width="38.140625" style="552" customWidth="1"/>
    <col min="10" max="10" width="10.85546875" style="553" bestFit="1" customWidth="1"/>
    <col min="11" max="11" width="13.5703125" style="547" bestFit="1" customWidth="1"/>
    <col min="12" max="16384" width="9.140625" style="547"/>
  </cols>
  <sheetData>
    <row r="1" spans="1:10" s="545" customFormat="1" ht="15.75" hidden="1" thickBot="1" x14ac:dyDescent="0.3">
      <c r="A1" s="543"/>
      <c r="B1" s="543"/>
      <c r="C1" s="543"/>
      <c r="D1" s="543"/>
      <c r="E1" s="543"/>
      <c r="F1" s="543"/>
      <c r="G1" s="543"/>
      <c r="H1" s="543"/>
      <c r="I1" s="543"/>
      <c r="J1" s="544" t="s">
        <v>1562</v>
      </c>
    </row>
    <row r="2" spans="1:10" ht="15.75" hidden="1" thickTop="1" x14ac:dyDescent="0.25">
      <c r="A2" s="546"/>
      <c r="B2" s="546" t="s">
        <v>1112</v>
      </c>
      <c r="C2" s="546"/>
      <c r="D2" s="546"/>
      <c r="E2" s="546"/>
      <c r="F2" s="546"/>
      <c r="G2" s="546"/>
      <c r="H2" s="546"/>
      <c r="I2" s="546"/>
      <c r="J2" s="529"/>
    </row>
    <row r="3" spans="1:10" hidden="1" x14ac:dyDescent="0.25">
      <c r="A3" s="546"/>
      <c r="B3" s="546"/>
      <c r="C3" s="546"/>
      <c r="D3" s="546" t="s">
        <v>1113</v>
      </c>
      <c r="E3" s="546"/>
      <c r="F3" s="546"/>
      <c r="G3" s="546"/>
      <c r="H3" s="546"/>
      <c r="I3" s="546"/>
      <c r="J3" s="529"/>
    </row>
    <row r="4" spans="1:10" hidden="1" x14ac:dyDescent="0.25">
      <c r="A4" s="546"/>
      <c r="B4" s="546"/>
      <c r="C4" s="546"/>
      <c r="D4" s="546"/>
      <c r="E4" s="546" t="s">
        <v>691</v>
      </c>
      <c r="F4" s="546"/>
      <c r="G4" s="546"/>
      <c r="H4" s="546"/>
      <c r="I4" s="546"/>
      <c r="J4" s="529"/>
    </row>
    <row r="5" spans="1:10" hidden="1" x14ac:dyDescent="0.25">
      <c r="A5" s="546"/>
      <c r="B5" s="546"/>
      <c r="C5" s="546"/>
      <c r="D5" s="546"/>
      <c r="E5" s="546"/>
      <c r="F5" s="546" t="s">
        <v>1114</v>
      </c>
      <c r="G5" s="546"/>
      <c r="H5" s="546"/>
      <c r="I5" s="546"/>
      <c r="J5" s="529">
        <v>29506313.32</v>
      </c>
    </row>
    <row r="6" spans="1:10" hidden="1" x14ac:dyDescent="0.25">
      <c r="A6" s="546"/>
      <c r="B6" s="546"/>
      <c r="C6" s="546"/>
      <c r="D6" s="546"/>
      <c r="E6" s="546"/>
      <c r="F6" s="546" t="s">
        <v>1115</v>
      </c>
      <c r="G6" s="546"/>
      <c r="H6" s="546"/>
      <c r="I6" s="546"/>
      <c r="J6" s="529">
        <v>3942391.18</v>
      </c>
    </row>
    <row r="7" spans="1:10" hidden="1" x14ac:dyDescent="0.25">
      <c r="A7" s="546"/>
      <c r="B7" s="546"/>
      <c r="C7" s="546"/>
      <c r="D7" s="546"/>
      <c r="E7" s="546"/>
      <c r="F7" s="546" t="s">
        <v>1118</v>
      </c>
      <c r="G7" s="546"/>
      <c r="H7" s="546"/>
      <c r="I7" s="546"/>
      <c r="J7" s="529">
        <v>3128490.28</v>
      </c>
    </row>
    <row r="8" spans="1:10" hidden="1" x14ac:dyDescent="0.25">
      <c r="A8" s="546"/>
      <c r="B8" s="546"/>
      <c r="C8" s="546"/>
      <c r="D8" s="546"/>
      <c r="E8" s="546"/>
      <c r="F8" s="546" t="s">
        <v>1119</v>
      </c>
      <c r="G8" s="546"/>
      <c r="H8" s="546"/>
      <c r="I8" s="546"/>
      <c r="J8" s="529">
        <v>12484055.800000001</v>
      </c>
    </row>
    <row r="9" spans="1:10" ht="15.75" hidden="1" thickBot="1" x14ac:dyDescent="0.3">
      <c r="A9" s="546"/>
      <c r="B9" s="546"/>
      <c r="C9" s="546"/>
      <c r="D9" s="546"/>
      <c r="E9" s="546"/>
      <c r="F9" s="546" t="s">
        <v>1120</v>
      </c>
      <c r="G9" s="546"/>
      <c r="H9" s="546"/>
      <c r="I9" s="546"/>
      <c r="J9" s="530">
        <v>1074592.8400000001</v>
      </c>
    </row>
    <row r="10" spans="1:10" ht="15.75" hidden="1" thickBot="1" x14ac:dyDescent="0.3">
      <c r="A10" s="546"/>
      <c r="B10" s="546"/>
      <c r="C10" s="546"/>
      <c r="D10" s="546"/>
      <c r="E10" s="546" t="s">
        <v>1127</v>
      </c>
      <c r="F10" s="546"/>
      <c r="G10" s="546"/>
      <c r="H10" s="546"/>
      <c r="I10" s="546"/>
      <c r="J10" s="548">
        <f>ROUND(SUM(J4:J9),5)</f>
        <v>50135843.420000002</v>
      </c>
    </row>
    <row r="11" spans="1:10" hidden="1" x14ac:dyDescent="0.25">
      <c r="A11" s="546"/>
      <c r="B11" s="546"/>
      <c r="C11" s="546"/>
      <c r="D11" s="546" t="s">
        <v>1128</v>
      </c>
      <c r="E11" s="546"/>
      <c r="F11" s="546"/>
      <c r="G11" s="546"/>
      <c r="H11" s="546"/>
      <c r="I11" s="546"/>
      <c r="J11" s="529">
        <f>ROUND(J3+J10,5)</f>
        <v>50135843.420000002</v>
      </c>
    </row>
    <row r="12" spans="1:10" hidden="1" x14ac:dyDescent="0.25">
      <c r="A12" s="546"/>
      <c r="B12" s="546"/>
      <c r="C12" s="546"/>
      <c r="D12" s="546" t="s">
        <v>829</v>
      </c>
      <c r="E12" s="546"/>
      <c r="F12" s="546"/>
      <c r="G12" s="546"/>
      <c r="H12" s="546"/>
      <c r="I12" s="546"/>
      <c r="J12" s="529"/>
    </row>
    <row r="13" spans="1:10" hidden="1" x14ac:dyDescent="0.25">
      <c r="A13" s="546"/>
      <c r="B13" s="546"/>
      <c r="C13" s="546"/>
      <c r="D13" s="546"/>
      <c r="E13" s="546" t="s">
        <v>692</v>
      </c>
      <c r="F13" s="546"/>
      <c r="G13" s="546"/>
      <c r="H13" s="546"/>
      <c r="I13" s="546"/>
      <c r="J13" s="529">
        <v>113897.33</v>
      </c>
    </row>
    <row r="14" spans="1:10" hidden="1" x14ac:dyDescent="0.25">
      <c r="A14" s="546"/>
      <c r="B14" s="546"/>
      <c r="C14" s="546"/>
      <c r="D14" s="546"/>
      <c r="E14" s="546" t="s">
        <v>693</v>
      </c>
      <c r="F14" s="546"/>
      <c r="G14" s="546"/>
      <c r="H14" s="546"/>
      <c r="I14" s="546"/>
      <c r="J14" s="529"/>
    </row>
    <row r="15" spans="1:10" hidden="1" x14ac:dyDescent="0.25">
      <c r="A15" s="546"/>
      <c r="B15" s="546"/>
      <c r="C15" s="546"/>
      <c r="D15" s="546"/>
      <c r="E15" s="546"/>
      <c r="F15" s="546" t="s">
        <v>1133</v>
      </c>
      <c r="G15" s="546"/>
      <c r="H15" s="546"/>
      <c r="I15" s="546"/>
      <c r="J15" s="529"/>
    </row>
    <row r="16" spans="1:10" hidden="1" x14ac:dyDescent="0.25">
      <c r="A16" s="546"/>
      <c r="B16" s="546"/>
      <c r="C16" s="546"/>
      <c r="D16" s="546"/>
      <c r="E16" s="546"/>
      <c r="F16" s="546"/>
      <c r="G16" s="546" t="s">
        <v>1134</v>
      </c>
      <c r="H16" s="546"/>
      <c r="I16" s="546"/>
      <c r="J16" s="529">
        <v>9389885.4299999997</v>
      </c>
    </row>
    <row r="17" spans="1:10" hidden="1" x14ac:dyDescent="0.25">
      <c r="A17" s="546"/>
      <c r="B17" s="546"/>
      <c r="C17" s="546"/>
      <c r="D17" s="546"/>
      <c r="E17" s="546"/>
      <c r="F17" s="546"/>
      <c r="G17" s="546" t="s">
        <v>1563</v>
      </c>
      <c r="H17" s="546"/>
      <c r="I17" s="546"/>
      <c r="J17" s="529">
        <v>3500</v>
      </c>
    </row>
    <row r="18" spans="1:10" hidden="1" x14ac:dyDescent="0.25">
      <c r="A18" s="546"/>
      <c r="B18" s="546"/>
      <c r="C18" s="546"/>
      <c r="D18" s="546"/>
      <c r="E18" s="546"/>
      <c r="F18" s="546"/>
      <c r="G18" s="546" t="s">
        <v>1135</v>
      </c>
      <c r="H18" s="546"/>
      <c r="I18" s="546"/>
      <c r="J18" s="529">
        <v>970401</v>
      </c>
    </row>
    <row r="19" spans="1:10" hidden="1" x14ac:dyDescent="0.25">
      <c r="A19" s="546"/>
      <c r="B19" s="546"/>
      <c r="C19" s="546"/>
      <c r="D19" s="546"/>
      <c r="E19" s="546"/>
      <c r="F19" s="546"/>
      <c r="G19" s="546" t="s">
        <v>1136</v>
      </c>
      <c r="H19" s="546"/>
      <c r="I19" s="546"/>
      <c r="J19" s="529">
        <v>74400</v>
      </c>
    </row>
    <row r="20" spans="1:10" ht="15.75" hidden="1" thickBot="1" x14ac:dyDescent="0.3">
      <c r="A20" s="546"/>
      <c r="B20" s="546"/>
      <c r="C20" s="546"/>
      <c r="D20" s="546"/>
      <c r="E20" s="546"/>
      <c r="F20" s="546"/>
      <c r="G20" s="546" t="s">
        <v>1137</v>
      </c>
      <c r="H20" s="546"/>
      <c r="I20" s="546"/>
      <c r="J20" s="534">
        <v>1108810</v>
      </c>
    </row>
    <row r="21" spans="1:10" hidden="1" x14ac:dyDescent="0.25">
      <c r="A21" s="546"/>
      <c r="B21" s="546"/>
      <c r="C21" s="546"/>
      <c r="D21" s="546"/>
      <c r="E21" s="546"/>
      <c r="F21" s="546" t="s">
        <v>1138</v>
      </c>
      <c r="G21" s="546"/>
      <c r="H21" s="546"/>
      <c r="I21" s="546"/>
      <c r="J21" s="529">
        <f>ROUND(SUM(J15:J20),5)</f>
        <v>11546996.43</v>
      </c>
    </row>
    <row r="22" spans="1:10" hidden="1" x14ac:dyDescent="0.25">
      <c r="A22" s="546"/>
      <c r="B22" s="546"/>
      <c r="C22" s="546"/>
      <c r="D22" s="546"/>
      <c r="E22" s="546"/>
      <c r="F22" s="546" t="s">
        <v>1139</v>
      </c>
      <c r="G22" s="546"/>
      <c r="H22" s="546"/>
      <c r="I22" s="546"/>
      <c r="J22" s="529"/>
    </row>
    <row r="23" spans="1:10" hidden="1" x14ac:dyDescent="0.25">
      <c r="A23" s="546"/>
      <c r="B23" s="546"/>
      <c r="C23" s="546"/>
      <c r="D23" s="546"/>
      <c r="E23" s="546"/>
      <c r="F23" s="546"/>
      <c r="G23" s="546" t="s">
        <v>1140</v>
      </c>
      <c r="H23" s="546"/>
      <c r="I23" s="546"/>
      <c r="J23" s="529">
        <v>442333.36</v>
      </c>
    </row>
    <row r="24" spans="1:10" hidden="1" x14ac:dyDescent="0.25">
      <c r="A24" s="546"/>
      <c r="B24" s="546"/>
      <c r="C24" s="546"/>
      <c r="D24" s="546"/>
      <c r="E24" s="546"/>
      <c r="F24" s="546"/>
      <c r="G24" s="546" t="s">
        <v>1147</v>
      </c>
      <c r="H24" s="546"/>
      <c r="I24" s="546"/>
      <c r="J24" s="529">
        <v>28000</v>
      </c>
    </row>
    <row r="25" spans="1:10" hidden="1" x14ac:dyDescent="0.25">
      <c r="A25" s="546"/>
      <c r="B25" s="546"/>
      <c r="C25" s="546"/>
      <c r="D25" s="546"/>
      <c r="E25" s="546"/>
      <c r="F25" s="546"/>
      <c r="G25" s="546" t="s">
        <v>1148</v>
      </c>
      <c r="H25" s="546"/>
      <c r="I25" s="546"/>
      <c r="J25" s="529">
        <v>20000</v>
      </c>
    </row>
    <row r="26" spans="1:10" ht="15.75" hidden="1" thickBot="1" x14ac:dyDescent="0.3">
      <c r="A26" s="546"/>
      <c r="B26" s="546"/>
      <c r="C26" s="546"/>
      <c r="D26" s="546"/>
      <c r="E26" s="546"/>
      <c r="F26" s="546"/>
      <c r="G26" s="546" t="s">
        <v>1149</v>
      </c>
      <c r="H26" s="546"/>
      <c r="I26" s="546"/>
      <c r="J26" s="534">
        <v>387000</v>
      </c>
    </row>
    <row r="27" spans="1:10" hidden="1" x14ac:dyDescent="0.25">
      <c r="A27" s="546"/>
      <c r="B27" s="546"/>
      <c r="C27" s="546"/>
      <c r="D27" s="546"/>
      <c r="E27" s="546"/>
      <c r="F27" s="546" t="s">
        <v>1151</v>
      </c>
      <c r="G27" s="546"/>
      <c r="H27" s="546"/>
      <c r="I27" s="546"/>
      <c r="J27" s="529">
        <f>ROUND(SUM(J22:J26),5)</f>
        <v>877333.36</v>
      </c>
    </row>
    <row r="28" spans="1:10" hidden="1" x14ac:dyDescent="0.25">
      <c r="A28" s="546"/>
      <c r="B28" s="546"/>
      <c r="C28" s="546"/>
      <c r="D28" s="546"/>
      <c r="E28" s="546"/>
      <c r="F28" s="546" t="s">
        <v>1152</v>
      </c>
      <c r="G28" s="546"/>
      <c r="H28" s="546"/>
      <c r="I28" s="546"/>
      <c r="J28" s="529"/>
    </row>
    <row r="29" spans="1:10" hidden="1" x14ac:dyDescent="0.25">
      <c r="A29" s="546"/>
      <c r="B29" s="546"/>
      <c r="C29" s="546"/>
      <c r="D29" s="546"/>
      <c r="E29" s="546"/>
      <c r="F29" s="546"/>
      <c r="G29" s="546" t="s">
        <v>1153</v>
      </c>
      <c r="H29" s="546"/>
      <c r="I29" s="546"/>
      <c r="J29" s="529">
        <v>10120462.640000001</v>
      </c>
    </row>
    <row r="30" spans="1:10" hidden="1" x14ac:dyDescent="0.25">
      <c r="A30" s="546"/>
      <c r="B30" s="546"/>
      <c r="C30" s="546"/>
      <c r="D30" s="546"/>
      <c r="E30" s="546"/>
      <c r="F30" s="546"/>
      <c r="G30" s="546" t="s">
        <v>1154</v>
      </c>
      <c r="H30" s="546"/>
      <c r="I30" s="546"/>
      <c r="J30" s="529">
        <v>820065.63</v>
      </c>
    </row>
    <row r="31" spans="1:10" hidden="1" x14ac:dyDescent="0.25">
      <c r="A31" s="546"/>
      <c r="B31" s="546"/>
      <c r="C31" s="546"/>
      <c r="D31" s="546"/>
      <c r="E31" s="546"/>
      <c r="F31" s="546"/>
      <c r="G31" s="546" t="s">
        <v>1156</v>
      </c>
      <c r="H31" s="546"/>
      <c r="I31" s="546"/>
      <c r="J31" s="529">
        <v>109972.3</v>
      </c>
    </row>
    <row r="32" spans="1:10" hidden="1" x14ac:dyDescent="0.25">
      <c r="A32" s="546"/>
      <c r="B32" s="546"/>
      <c r="C32" s="546"/>
      <c r="D32" s="546"/>
      <c r="E32" s="546"/>
      <c r="F32" s="546"/>
      <c r="G32" s="546" t="s">
        <v>1157</v>
      </c>
      <c r="H32" s="546"/>
      <c r="I32" s="546"/>
      <c r="J32" s="529">
        <v>11482.16</v>
      </c>
    </row>
    <row r="33" spans="1:11" ht="15.75" hidden="1" thickBot="1" x14ac:dyDescent="0.3">
      <c r="A33" s="546"/>
      <c r="B33" s="546"/>
      <c r="C33" s="546"/>
      <c r="D33" s="546"/>
      <c r="E33" s="546"/>
      <c r="F33" s="546"/>
      <c r="G33" s="546" t="s">
        <v>1159</v>
      </c>
      <c r="H33" s="546"/>
      <c r="I33" s="546"/>
      <c r="J33" s="534">
        <v>40555</v>
      </c>
    </row>
    <row r="34" spans="1:11" hidden="1" x14ac:dyDescent="0.25">
      <c r="A34" s="546"/>
      <c r="B34" s="546"/>
      <c r="C34" s="546"/>
      <c r="D34" s="546"/>
      <c r="E34" s="546"/>
      <c r="F34" s="546" t="s">
        <v>1160</v>
      </c>
      <c r="G34" s="546"/>
      <c r="H34" s="546"/>
      <c r="I34" s="546"/>
      <c r="J34" s="529">
        <f>ROUND(SUM(J28:J33),5)</f>
        <v>11102537.73</v>
      </c>
      <c r="K34" s="549">
        <f>+J34+J27+J21</f>
        <v>23526867.52</v>
      </c>
    </row>
    <row r="35" spans="1:11" hidden="1" x14ac:dyDescent="0.25">
      <c r="A35" s="546"/>
      <c r="B35" s="546"/>
      <c r="C35" s="546"/>
      <c r="D35" s="546"/>
      <c r="E35" s="546"/>
      <c r="F35" s="546" t="s">
        <v>1161</v>
      </c>
      <c r="G35" s="546"/>
      <c r="H35" s="546"/>
      <c r="I35" s="546"/>
      <c r="J35" s="529"/>
    </row>
    <row r="36" spans="1:11" hidden="1" x14ac:dyDescent="0.25">
      <c r="A36" s="546"/>
      <c r="B36" s="546"/>
      <c r="C36" s="546"/>
      <c r="D36" s="546"/>
      <c r="E36" s="546"/>
      <c r="F36" s="546"/>
      <c r="G36" s="546" t="s">
        <v>1162</v>
      </c>
      <c r="H36" s="546"/>
      <c r="I36" s="546"/>
      <c r="J36" s="529">
        <v>3156715</v>
      </c>
    </row>
    <row r="37" spans="1:11" hidden="1" x14ac:dyDescent="0.25">
      <c r="A37" s="546"/>
      <c r="B37" s="546"/>
      <c r="C37" s="546"/>
      <c r="D37" s="546"/>
      <c r="E37" s="546"/>
      <c r="F37" s="546"/>
      <c r="G37" s="546" t="s">
        <v>1163</v>
      </c>
      <c r="H37" s="546"/>
      <c r="I37" s="546"/>
      <c r="J37" s="529">
        <v>388225.8</v>
      </c>
    </row>
    <row r="38" spans="1:11" hidden="1" x14ac:dyDescent="0.25">
      <c r="A38" s="546"/>
      <c r="B38" s="546"/>
      <c r="C38" s="546"/>
      <c r="D38" s="546"/>
      <c r="E38" s="546"/>
      <c r="F38" s="546"/>
      <c r="G38" s="546" t="s">
        <v>1164</v>
      </c>
      <c r="H38" s="546"/>
      <c r="I38" s="546"/>
      <c r="J38" s="529">
        <v>97056.45</v>
      </c>
    </row>
    <row r="39" spans="1:11" hidden="1" x14ac:dyDescent="0.25">
      <c r="A39" s="546"/>
      <c r="B39" s="546"/>
      <c r="C39" s="546"/>
      <c r="D39" s="546"/>
      <c r="E39" s="546"/>
      <c r="F39" s="546"/>
      <c r="G39" s="546" t="s">
        <v>1165</v>
      </c>
      <c r="H39" s="546"/>
      <c r="I39" s="546"/>
      <c r="J39" s="529">
        <v>951429.39</v>
      </c>
    </row>
    <row r="40" spans="1:11" hidden="1" x14ac:dyDescent="0.25">
      <c r="A40" s="546"/>
      <c r="B40" s="546"/>
      <c r="C40" s="546"/>
      <c r="D40" s="546"/>
      <c r="E40" s="546"/>
      <c r="F40" s="546"/>
      <c r="G40" s="546" t="s">
        <v>1166</v>
      </c>
      <c r="H40" s="546"/>
      <c r="I40" s="546"/>
      <c r="J40" s="529">
        <v>493270.44</v>
      </c>
    </row>
    <row r="41" spans="1:11" ht="15.75" hidden="1" thickBot="1" x14ac:dyDescent="0.3">
      <c r="A41" s="546"/>
      <c r="B41" s="546"/>
      <c r="C41" s="546"/>
      <c r="D41" s="546"/>
      <c r="E41" s="546"/>
      <c r="F41" s="546"/>
      <c r="G41" s="546" t="s">
        <v>1167</v>
      </c>
      <c r="H41" s="546"/>
      <c r="I41" s="546"/>
      <c r="J41" s="530">
        <v>148578.75</v>
      </c>
    </row>
    <row r="42" spans="1:11" ht="15.75" hidden="1" thickBot="1" x14ac:dyDescent="0.3">
      <c r="A42" s="546"/>
      <c r="B42" s="546"/>
      <c r="C42" s="546"/>
      <c r="D42" s="546"/>
      <c r="E42" s="546"/>
      <c r="F42" s="546" t="s">
        <v>1169</v>
      </c>
      <c r="G42" s="546"/>
      <c r="H42" s="546"/>
      <c r="I42" s="546"/>
      <c r="J42" s="531">
        <f>ROUND(SUM(J35:J41),5)</f>
        <v>5235275.83</v>
      </c>
    </row>
    <row r="43" spans="1:11" ht="15.75" hidden="1" thickBot="1" x14ac:dyDescent="0.3">
      <c r="A43" s="546"/>
      <c r="B43" s="546"/>
      <c r="C43" s="546"/>
      <c r="D43" s="546"/>
      <c r="E43" s="546" t="s">
        <v>1185</v>
      </c>
      <c r="F43" s="546"/>
      <c r="G43" s="546"/>
      <c r="H43" s="546"/>
      <c r="I43" s="546"/>
      <c r="J43" s="531">
        <f>ROUND(J14+J21+J27+J34+J42,5)</f>
        <v>28762143.350000001</v>
      </c>
    </row>
    <row r="44" spans="1:11" ht="15.75" hidden="1" thickBot="1" x14ac:dyDescent="0.3">
      <c r="A44" s="546"/>
      <c r="B44" s="546"/>
      <c r="C44" s="546"/>
      <c r="D44" s="546" t="s">
        <v>1186</v>
      </c>
      <c r="E44" s="546"/>
      <c r="F44" s="546"/>
      <c r="G44" s="546"/>
      <c r="H44" s="546"/>
      <c r="I44" s="546"/>
      <c r="J44" s="548">
        <f>ROUND(SUM(J12:J13)+J43,5)</f>
        <v>28876040.68</v>
      </c>
    </row>
    <row r="45" spans="1:11" hidden="1" x14ac:dyDescent="0.25">
      <c r="A45" s="546"/>
      <c r="B45" s="546"/>
      <c r="C45" s="546" t="s">
        <v>56</v>
      </c>
      <c r="D45" s="546"/>
      <c r="E45" s="546"/>
      <c r="F45" s="546"/>
      <c r="G45" s="546"/>
      <c r="H45" s="546"/>
      <c r="I45" s="546"/>
      <c r="J45" s="529">
        <f>ROUND(J11-J44,5)</f>
        <v>21259802.739999998</v>
      </c>
    </row>
    <row r="46" spans="1:11" hidden="1" x14ac:dyDescent="0.25">
      <c r="A46" s="546"/>
      <c r="B46" s="546"/>
      <c r="C46" s="546"/>
      <c r="D46" s="546" t="s">
        <v>1187</v>
      </c>
      <c r="E46" s="546"/>
      <c r="F46" s="546"/>
      <c r="G46" s="546"/>
      <c r="H46" s="546"/>
      <c r="I46" s="546"/>
      <c r="J46" s="529"/>
    </row>
    <row r="47" spans="1:11" x14ac:dyDescent="0.25">
      <c r="A47" s="546"/>
      <c r="B47" s="546"/>
      <c r="C47" s="546"/>
      <c r="D47" s="546"/>
      <c r="E47" s="546" t="s">
        <v>1188</v>
      </c>
      <c r="F47" s="546"/>
      <c r="G47" s="546"/>
      <c r="H47" s="546"/>
      <c r="I47" s="546"/>
      <c r="J47" s="529"/>
    </row>
    <row r="48" spans="1:11" x14ac:dyDescent="0.25">
      <c r="A48" s="546"/>
      <c r="B48" s="546"/>
      <c r="C48" s="546"/>
      <c r="D48" s="546"/>
      <c r="E48" s="546"/>
      <c r="F48" s="546" t="s">
        <v>1189</v>
      </c>
      <c r="G48" s="546"/>
      <c r="H48" s="546"/>
      <c r="I48" s="546"/>
      <c r="J48" s="529"/>
    </row>
    <row r="49" spans="1:10" x14ac:dyDescent="0.25">
      <c r="A49" s="546"/>
      <c r="B49" s="546"/>
      <c r="C49" s="546"/>
      <c r="D49" s="546"/>
      <c r="E49" s="546"/>
      <c r="F49" s="546"/>
      <c r="G49" s="546" t="s">
        <v>1190</v>
      </c>
      <c r="H49" s="546"/>
      <c r="I49" s="546"/>
      <c r="J49" s="529"/>
    </row>
    <row r="50" spans="1:10" x14ac:dyDescent="0.25">
      <c r="A50" s="546"/>
      <c r="B50" s="546"/>
      <c r="C50" s="546"/>
      <c r="D50" s="546"/>
      <c r="E50" s="546"/>
      <c r="F50" s="546"/>
      <c r="G50" s="546"/>
      <c r="H50" s="546" t="s">
        <v>1191</v>
      </c>
      <c r="I50" s="546"/>
      <c r="J50" s="529">
        <v>6220</v>
      </c>
    </row>
    <row r="51" spans="1:10" x14ac:dyDescent="0.25">
      <c r="A51" s="546"/>
      <c r="B51" s="546"/>
      <c r="C51" s="546"/>
      <c r="D51" s="546"/>
      <c r="E51" s="546"/>
      <c r="F51" s="546"/>
      <c r="G51" s="546"/>
      <c r="H51" s="546" t="s">
        <v>1192</v>
      </c>
      <c r="I51" s="546"/>
      <c r="J51" s="529">
        <v>115479.6</v>
      </c>
    </row>
    <row r="52" spans="1:10" x14ac:dyDescent="0.25">
      <c r="A52" s="546"/>
      <c r="B52" s="546"/>
      <c r="C52" s="546"/>
      <c r="D52" s="546"/>
      <c r="E52" s="546"/>
      <c r="F52" s="546"/>
      <c r="G52" s="546"/>
      <c r="H52" s="546" t="s">
        <v>1193</v>
      </c>
      <c r="I52" s="546"/>
      <c r="J52" s="529">
        <v>17080</v>
      </c>
    </row>
    <row r="53" spans="1:10" x14ac:dyDescent="0.25">
      <c r="A53" s="546"/>
      <c r="B53" s="546"/>
      <c r="C53" s="546"/>
      <c r="D53" s="546"/>
      <c r="E53" s="546"/>
      <c r="F53" s="546"/>
      <c r="G53" s="546"/>
      <c r="H53" s="546" t="s">
        <v>1194</v>
      </c>
      <c r="I53" s="546"/>
      <c r="J53" s="529">
        <v>103325.98</v>
      </c>
    </row>
    <row r="54" spans="1:10" x14ac:dyDescent="0.25">
      <c r="A54" s="546"/>
      <c r="B54" s="546"/>
      <c r="C54" s="546"/>
      <c r="D54" s="546"/>
      <c r="E54" s="546"/>
      <c r="F54" s="546"/>
      <c r="G54" s="546"/>
      <c r="H54" s="546" t="s">
        <v>1195</v>
      </c>
      <c r="I54" s="546"/>
      <c r="J54" s="529">
        <v>11005.8</v>
      </c>
    </row>
    <row r="55" spans="1:10" x14ac:dyDescent="0.25">
      <c r="A55" s="546"/>
      <c r="B55" s="546"/>
      <c r="C55" s="546"/>
      <c r="D55" s="546"/>
      <c r="E55" s="546"/>
      <c r="F55" s="546"/>
      <c r="G55" s="546"/>
      <c r="H55" s="546" t="s">
        <v>1196</v>
      </c>
      <c r="I55" s="546"/>
      <c r="J55" s="529"/>
    </row>
    <row r="56" spans="1:10" ht="15.75" thickBot="1" x14ac:dyDescent="0.3">
      <c r="A56" s="546"/>
      <c r="B56" s="546"/>
      <c r="C56" s="546"/>
      <c r="D56" s="546"/>
      <c r="E56" s="546"/>
      <c r="F56" s="546"/>
      <c r="G56" s="546"/>
      <c r="H56" s="546"/>
      <c r="I56" s="546" t="s">
        <v>1197</v>
      </c>
      <c r="J56" s="534">
        <v>33510</v>
      </c>
    </row>
    <row r="57" spans="1:10" x14ac:dyDescent="0.25">
      <c r="A57" s="546"/>
      <c r="B57" s="546"/>
      <c r="C57" s="546"/>
      <c r="D57" s="546"/>
      <c r="E57" s="546"/>
      <c r="F57" s="546"/>
      <c r="G57" s="546"/>
      <c r="H57" s="546" t="s">
        <v>1198</v>
      </c>
      <c r="I57" s="546"/>
      <c r="J57" s="529">
        <f>ROUND(SUM(J55:J56),5)</f>
        <v>33510</v>
      </c>
    </row>
    <row r="58" spans="1:10" x14ac:dyDescent="0.25">
      <c r="A58" s="546"/>
      <c r="B58" s="546"/>
      <c r="C58" s="546"/>
      <c r="D58" s="546"/>
      <c r="E58" s="546"/>
      <c r="F58" s="546"/>
      <c r="G58" s="546"/>
      <c r="H58" s="546" t="s">
        <v>1199</v>
      </c>
      <c r="I58" s="546"/>
      <c r="J58" s="529">
        <v>351330.3</v>
      </c>
    </row>
    <row r="59" spans="1:10" ht="15.75" thickBot="1" x14ac:dyDescent="0.3">
      <c r="A59" s="546"/>
      <c r="B59" s="546"/>
      <c r="C59" s="546"/>
      <c r="D59" s="546"/>
      <c r="E59" s="546"/>
      <c r="F59" s="546"/>
      <c r="G59" s="546"/>
      <c r="H59" s="546" t="s">
        <v>1201</v>
      </c>
      <c r="I59" s="546"/>
      <c r="J59" s="534">
        <v>52038</v>
      </c>
    </row>
    <row r="60" spans="1:10" x14ac:dyDescent="0.25">
      <c r="A60" s="546"/>
      <c r="B60" s="546"/>
      <c r="C60" s="546"/>
      <c r="D60" s="546"/>
      <c r="E60" s="546"/>
      <c r="F60" s="546"/>
      <c r="G60" s="546" t="s">
        <v>1208</v>
      </c>
      <c r="H60" s="546"/>
      <c r="I60" s="546"/>
      <c r="J60" s="529">
        <f>ROUND(SUM(J49:J54)+SUM(J57:J59),5)</f>
        <v>689989.68</v>
      </c>
    </row>
    <row r="61" spans="1:10" x14ac:dyDescent="0.25">
      <c r="A61" s="546"/>
      <c r="B61" s="546"/>
      <c r="C61" s="546"/>
      <c r="D61" s="546"/>
      <c r="E61" s="546"/>
      <c r="F61" s="546"/>
      <c r="G61" s="546" t="s">
        <v>1209</v>
      </c>
      <c r="H61" s="546"/>
      <c r="I61" s="546"/>
      <c r="J61" s="529"/>
    </row>
    <row r="62" spans="1:10" x14ac:dyDescent="0.25">
      <c r="A62" s="546"/>
      <c r="B62" s="546"/>
      <c r="C62" s="546"/>
      <c r="D62" s="546"/>
      <c r="E62" s="546"/>
      <c r="F62" s="546"/>
      <c r="G62" s="546"/>
      <c r="H62" s="546" t="s">
        <v>1210</v>
      </c>
      <c r="I62" s="546"/>
      <c r="J62" s="529">
        <v>583500</v>
      </c>
    </row>
    <row r="63" spans="1:10" x14ac:dyDescent="0.25">
      <c r="A63" s="546"/>
      <c r="B63" s="546"/>
      <c r="C63" s="546"/>
      <c r="D63" s="546"/>
      <c r="E63" s="546"/>
      <c r="F63" s="546"/>
      <c r="G63" s="546"/>
      <c r="H63" s="546" t="s">
        <v>1211</v>
      </c>
      <c r="I63" s="546"/>
      <c r="J63" s="529">
        <v>70020</v>
      </c>
    </row>
    <row r="64" spans="1:10" x14ac:dyDescent="0.25">
      <c r="A64" s="546"/>
      <c r="B64" s="546"/>
      <c r="C64" s="546"/>
      <c r="D64" s="546"/>
      <c r="E64" s="546"/>
      <c r="F64" s="546"/>
      <c r="G64" s="546"/>
      <c r="H64" s="546" t="s">
        <v>1212</v>
      </c>
      <c r="I64" s="546"/>
      <c r="J64" s="529">
        <v>17505</v>
      </c>
    </row>
    <row r="65" spans="1:10" x14ac:dyDescent="0.25">
      <c r="A65" s="546"/>
      <c r="B65" s="546"/>
      <c r="C65" s="546"/>
      <c r="D65" s="546"/>
      <c r="E65" s="546"/>
      <c r="F65" s="546"/>
      <c r="G65" s="546"/>
      <c r="H65" s="546" t="s">
        <v>1213</v>
      </c>
      <c r="I65" s="546"/>
      <c r="J65" s="529">
        <v>421500</v>
      </c>
    </row>
    <row r="66" spans="1:10" x14ac:dyDescent="0.25">
      <c r="A66" s="546"/>
      <c r="B66" s="546"/>
      <c r="C66" s="546"/>
      <c r="D66" s="546"/>
      <c r="E66" s="546"/>
      <c r="F66" s="546"/>
      <c r="G66" s="546"/>
      <c r="H66" s="546" t="s">
        <v>1214</v>
      </c>
      <c r="I66" s="546"/>
      <c r="J66" s="529">
        <v>16500</v>
      </c>
    </row>
    <row r="67" spans="1:10" ht="15.75" thickBot="1" x14ac:dyDescent="0.3">
      <c r="A67" s="546"/>
      <c r="B67" s="546"/>
      <c r="C67" s="546"/>
      <c r="D67" s="546"/>
      <c r="E67" s="546"/>
      <c r="F67" s="546"/>
      <c r="G67" s="546"/>
      <c r="H67" s="546" t="s">
        <v>1215</v>
      </c>
      <c r="I67" s="546"/>
      <c r="J67" s="534">
        <v>93000</v>
      </c>
    </row>
    <row r="68" spans="1:10" x14ac:dyDescent="0.25">
      <c r="A68" s="546"/>
      <c r="B68" s="546"/>
      <c r="C68" s="546"/>
      <c r="D68" s="546"/>
      <c r="E68" s="546"/>
      <c r="F68" s="546"/>
      <c r="G68" s="546" t="s">
        <v>1217</v>
      </c>
      <c r="H68" s="546"/>
      <c r="I68" s="546"/>
      <c r="J68" s="529">
        <f>ROUND(SUM(J61:J67),5)</f>
        <v>1202025</v>
      </c>
    </row>
    <row r="69" spans="1:10" x14ac:dyDescent="0.25">
      <c r="A69" s="546"/>
      <c r="B69" s="546"/>
      <c r="C69" s="546"/>
      <c r="D69" s="546"/>
      <c r="E69" s="546"/>
      <c r="F69" s="546"/>
      <c r="G69" s="546" t="s">
        <v>1218</v>
      </c>
      <c r="H69" s="546"/>
      <c r="I69" s="546"/>
      <c r="J69" s="529"/>
    </row>
    <row r="70" spans="1:10" x14ac:dyDescent="0.25">
      <c r="A70" s="546"/>
      <c r="B70" s="546"/>
      <c r="C70" s="546"/>
      <c r="D70" s="546"/>
      <c r="E70" s="546"/>
      <c r="F70" s="546"/>
      <c r="G70" s="546"/>
      <c r="H70" s="546" t="s">
        <v>1220</v>
      </c>
      <c r="I70" s="546"/>
      <c r="J70" s="529">
        <v>14554.4</v>
      </c>
    </row>
    <row r="71" spans="1:10" x14ac:dyDescent="0.25">
      <c r="A71" s="546"/>
      <c r="B71" s="546"/>
      <c r="C71" s="546"/>
      <c r="D71" s="546"/>
      <c r="E71" s="546"/>
      <c r="F71" s="546"/>
      <c r="G71" s="546"/>
      <c r="H71" s="546" t="s">
        <v>1222</v>
      </c>
      <c r="I71" s="546"/>
      <c r="J71" s="529">
        <v>5455.95</v>
      </c>
    </row>
    <row r="72" spans="1:10" x14ac:dyDescent="0.25">
      <c r="A72" s="546"/>
      <c r="B72" s="546"/>
      <c r="C72" s="546"/>
      <c r="D72" s="546"/>
      <c r="E72" s="546"/>
      <c r="F72" s="546"/>
      <c r="G72" s="546"/>
      <c r="H72" s="546" t="s">
        <v>1223</v>
      </c>
      <c r="I72" s="546"/>
      <c r="J72" s="529">
        <v>-6501.1</v>
      </c>
    </row>
    <row r="73" spans="1:10" ht="15.75" thickBot="1" x14ac:dyDescent="0.3">
      <c r="A73" s="546"/>
      <c r="B73" s="546"/>
      <c r="C73" s="546"/>
      <c r="D73" s="546"/>
      <c r="E73" s="546"/>
      <c r="F73" s="546"/>
      <c r="G73" s="546"/>
      <c r="H73" s="546" t="s">
        <v>1224</v>
      </c>
      <c r="I73" s="546"/>
      <c r="J73" s="534">
        <v>140320.17000000001</v>
      </c>
    </row>
    <row r="74" spans="1:10" x14ac:dyDescent="0.25">
      <c r="A74" s="546"/>
      <c r="B74" s="546"/>
      <c r="C74" s="546"/>
      <c r="D74" s="546"/>
      <c r="E74" s="546"/>
      <c r="F74" s="546"/>
      <c r="G74" s="546" t="s">
        <v>1225</v>
      </c>
      <c r="H74" s="546"/>
      <c r="I74" s="546"/>
      <c r="J74" s="529">
        <f>ROUND(SUM(J69:J73),5)</f>
        <v>153829.42000000001</v>
      </c>
    </row>
    <row r="75" spans="1:10" x14ac:dyDescent="0.25">
      <c r="A75" s="546"/>
      <c r="B75" s="546"/>
      <c r="C75" s="546"/>
      <c r="D75" s="546"/>
      <c r="E75" s="546"/>
      <c r="F75" s="546"/>
      <c r="G75" s="546" t="s">
        <v>1226</v>
      </c>
      <c r="H75" s="546"/>
      <c r="I75" s="546"/>
      <c r="J75" s="529"/>
    </row>
    <row r="76" spans="1:10" x14ac:dyDescent="0.25">
      <c r="A76" s="546"/>
      <c r="B76" s="546"/>
      <c r="C76" s="546"/>
      <c r="D76" s="546"/>
      <c r="E76" s="546"/>
      <c r="F76" s="546"/>
      <c r="G76" s="546"/>
      <c r="H76" s="546" t="s">
        <v>1227</v>
      </c>
      <c r="I76" s="546"/>
      <c r="J76" s="529">
        <v>77934</v>
      </c>
    </row>
    <row r="77" spans="1:10" x14ac:dyDescent="0.25">
      <c r="A77" s="546"/>
      <c r="B77" s="546"/>
      <c r="C77" s="546"/>
      <c r="D77" s="546"/>
      <c r="E77" s="546"/>
      <c r="F77" s="546"/>
      <c r="G77" s="546"/>
      <c r="H77" s="546" t="s">
        <v>1228</v>
      </c>
      <c r="I77" s="546"/>
      <c r="J77" s="529">
        <v>6500</v>
      </c>
    </row>
    <row r="78" spans="1:10" x14ac:dyDescent="0.25">
      <c r="A78" s="546"/>
      <c r="B78" s="546"/>
      <c r="C78" s="546"/>
      <c r="D78" s="546"/>
      <c r="E78" s="546"/>
      <c r="F78" s="546"/>
      <c r="G78" s="546"/>
      <c r="H78" s="546" t="s">
        <v>1230</v>
      </c>
      <c r="I78" s="546"/>
      <c r="J78" s="529">
        <v>39930</v>
      </c>
    </row>
    <row r="79" spans="1:10" x14ac:dyDescent="0.25">
      <c r="A79" s="546"/>
      <c r="B79" s="546"/>
      <c r="C79" s="546"/>
      <c r="D79" s="546"/>
      <c r="E79" s="546"/>
      <c r="F79" s="546"/>
      <c r="G79" s="546"/>
      <c r="H79" s="546" t="s">
        <v>1231</v>
      </c>
      <c r="I79" s="546"/>
      <c r="J79" s="529">
        <v>2620</v>
      </c>
    </row>
    <row r="80" spans="1:10" ht="15.75" thickBot="1" x14ac:dyDescent="0.3">
      <c r="A80" s="546"/>
      <c r="B80" s="546"/>
      <c r="C80" s="546"/>
      <c r="D80" s="546"/>
      <c r="E80" s="546"/>
      <c r="F80" s="546"/>
      <c r="G80" s="546"/>
      <c r="H80" s="546" t="s">
        <v>1232</v>
      </c>
      <c r="I80" s="546"/>
      <c r="J80" s="534">
        <v>138000</v>
      </c>
    </row>
    <row r="81" spans="1:10" x14ac:dyDescent="0.25">
      <c r="A81" s="546"/>
      <c r="B81" s="546"/>
      <c r="C81" s="546"/>
      <c r="D81" s="546"/>
      <c r="E81" s="546"/>
      <c r="F81" s="546"/>
      <c r="G81" s="546" t="s">
        <v>1235</v>
      </c>
      <c r="H81" s="546"/>
      <c r="I81" s="546"/>
      <c r="J81" s="529">
        <f>ROUND(SUM(J75:J80),5)</f>
        <v>264984</v>
      </c>
    </row>
    <row r="82" spans="1:10" x14ac:dyDescent="0.25">
      <c r="A82" s="546"/>
      <c r="B82" s="546"/>
      <c r="C82" s="546"/>
      <c r="D82" s="546"/>
      <c r="E82" s="546"/>
      <c r="F82" s="546"/>
      <c r="G82" s="546" t="s">
        <v>1236</v>
      </c>
      <c r="H82" s="546"/>
      <c r="I82" s="546"/>
      <c r="J82" s="529"/>
    </row>
    <row r="83" spans="1:10" x14ac:dyDescent="0.25">
      <c r="A83" s="546"/>
      <c r="B83" s="546"/>
      <c r="C83" s="546"/>
      <c r="D83" s="546"/>
      <c r="E83" s="546"/>
      <c r="F83" s="546"/>
      <c r="G83" s="546"/>
      <c r="H83" s="546" t="s">
        <v>1237</v>
      </c>
      <c r="I83" s="546"/>
      <c r="J83" s="529">
        <v>78334.5</v>
      </c>
    </row>
    <row r="84" spans="1:10" x14ac:dyDescent="0.25">
      <c r="A84" s="546"/>
      <c r="B84" s="546"/>
      <c r="C84" s="546"/>
      <c r="D84" s="546"/>
      <c r="E84" s="546"/>
      <c r="F84" s="546"/>
      <c r="G84" s="546"/>
      <c r="H84" s="546" t="s">
        <v>1238</v>
      </c>
      <c r="I84" s="546"/>
      <c r="J84" s="529">
        <v>4550</v>
      </c>
    </row>
    <row r="85" spans="1:10" x14ac:dyDescent="0.25">
      <c r="A85" s="546"/>
      <c r="B85" s="546"/>
      <c r="C85" s="546"/>
      <c r="D85" s="546"/>
      <c r="E85" s="546"/>
      <c r="F85" s="546"/>
      <c r="G85" s="546"/>
      <c r="H85" s="546" t="s">
        <v>1239</v>
      </c>
      <c r="I85" s="546"/>
      <c r="J85" s="529">
        <v>87953</v>
      </c>
    </row>
    <row r="86" spans="1:10" x14ac:dyDescent="0.25">
      <c r="A86" s="546"/>
      <c r="B86" s="546"/>
      <c r="C86" s="546"/>
      <c r="D86" s="546"/>
      <c r="E86" s="546"/>
      <c r="F86" s="546"/>
      <c r="G86" s="546"/>
      <c r="H86" s="546" t="s">
        <v>1240</v>
      </c>
      <c r="I86" s="546"/>
      <c r="J86" s="529">
        <v>14587</v>
      </c>
    </row>
    <row r="87" spans="1:10" x14ac:dyDescent="0.25">
      <c r="A87" s="546"/>
      <c r="B87" s="546"/>
      <c r="C87" s="546"/>
      <c r="D87" s="546"/>
      <c r="E87" s="546"/>
      <c r="F87" s="546"/>
      <c r="G87" s="546"/>
      <c r="H87" s="546" t="s">
        <v>1241</v>
      </c>
      <c r="I87" s="546"/>
      <c r="J87" s="529">
        <v>430465.5</v>
      </c>
    </row>
    <row r="88" spans="1:10" x14ac:dyDescent="0.25">
      <c r="A88" s="546"/>
      <c r="B88" s="546"/>
      <c r="C88" s="546"/>
      <c r="D88" s="546"/>
      <c r="E88" s="546"/>
      <c r="F88" s="546"/>
      <c r="G88" s="546"/>
      <c r="H88" s="546" t="s">
        <v>1242</v>
      </c>
      <c r="I88" s="546"/>
      <c r="J88" s="529">
        <v>2850</v>
      </c>
    </row>
    <row r="89" spans="1:10" x14ac:dyDescent="0.25">
      <c r="A89" s="546"/>
      <c r="B89" s="546"/>
      <c r="C89" s="546"/>
      <c r="D89" s="546"/>
      <c r="E89" s="546"/>
      <c r="F89" s="546"/>
      <c r="G89" s="546"/>
      <c r="H89" s="546" t="s">
        <v>757</v>
      </c>
      <c r="I89" s="546"/>
      <c r="J89" s="529">
        <v>430351.62</v>
      </c>
    </row>
    <row r="90" spans="1:10" x14ac:dyDescent="0.25">
      <c r="A90" s="546"/>
      <c r="B90" s="546"/>
      <c r="C90" s="546"/>
      <c r="D90" s="546"/>
      <c r="E90" s="546"/>
      <c r="F90" s="546"/>
      <c r="G90" s="546"/>
      <c r="H90" s="546" t="s">
        <v>759</v>
      </c>
      <c r="I90" s="546"/>
      <c r="J90" s="529">
        <v>371067.75</v>
      </c>
    </row>
    <row r="91" spans="1:10" x14ac:dyDescent="0.25">
      <c r="A91" s="546"/>
      <c r="B91" s="546"/>
      <c r="C91" s="546"/>
      <c r="D91" s="546"/>
      <c r="E91" s="546"/>
      <c r="F91" s="546"/>
      <c r="G91" s="546"/>
      <c r="H91" s="546" t="s">
        <v>758</v>
      </c>
      <c r="I91" s="546"/>
      <c r="J91" s="529">
        <v>169068.48</v>
      </c>
    </row>
    <row r="92" spans="1:10" ht="15.75" thickBot="1" x14ac:dyDescent="0.3">
      <c r="A92" s="546"/>
      <c r="B92" s="546"/>
      <c r="C92" s="546"/>
      <c r="D92" s="546"/>
      <c r="E92" s="546"/>
      <c r="F92" s="546"/>
      <c r="G92" s="546"/>
      <c r="H92" s="546" t="s">
        <v>1245</v>
      </c>
      <c r="I92" s="546"/>
      <c r="J92" s="534">
        <v>8600</v>
      </c>
    </row>
    <row r="93" spans="1:10" x14ac:dyDescent="0.25">
      <c r="A93" s="546"/>
      <c r="B93" s="546"/>
      <c r="C93" s="546"/>
      <c r="D93" s="546"/>
      <c r="E93" s="546"/>
      <c r="F93" s="546"/>
      <c r="G93" s="546" t="s">
        <v>1247</v>
      </c>
      <c r="H93" s="546"/>
      <c r="I93" s="546"/>
      <c r="J93" s="529">
        <f>ROUND(SUM(J82:J92),5)</f>
        <v>1597827.85</v>
      </c>
    </row>
    <row r="94" spans="1:10" x14ac:dyDescent="0.25">
      <c r="A94" s="546"/>
      <c r="B94" s="546"/>
      <c r="C94" s="546"/>
      <c r="D94" s="546"/>
      <c r="E94" s="546"/>
      <c r="F94" s="546"/>
      <c r="G94" s="546" t="s">
        <v>1248</v>
      </c>
      <c r="H94" s="546"/>
      <c r="I94" s="546"/>
      <c r="J94" s="529"/>
    </row>
    <row r="95" spans="1:10" ht="15.75" thickBot="1" x14ac:dyDescent="0.3">
      <c r="A95" s="546"/>
      <c r="B95" s="546"/>
      <c r="C95" s="546"/>
      <c r="D95" s="546"/>
      <c r="E95" s="546"/>
      <c r="F95" s="546"/>
      <c r="G95" s="546"/>
      <c r="H95" s="546" t="s">
        <v>1251</v>
      </c>
      <c r="I95" s="546"/>
      <c r="J95" s="534">
        <v>1163.1099999999999</v>
      </c>
    </row>
    <row r="96" spans="1:10" x14ac:dyDescent="0.25">
      <c r="A96" s="546"/>
      <c r="B96" s="546"/>
      <c r="C96" s="546"/>
      <c r="D96" s="546"/>
      <c r="E96" s="546"/>
      <c r="F96" s="546"/>
      <c r="G96" s="546" t="s">
        <v>1256</v>
      </c>
      <c r="H96" s="546"/>
      <c r="I96" s="546"/>
      <c r="J96" s="529">
        <f>ROUND(SUM(J94:J95),5)</f>
        <v>1163.1099999999999</v>
      </c>
    </row>
    <row r="97" spans="1:10" ht="15.75" thickBot="1" x14ac:dyDescent="0.3">
      <c r="A97" s="546"/>
      <c r="B97" s="546"/>
      <c r="C97" s="546"/>
      <c r="D97" s="546"/>
      <c r="E97" s="546"/>
      <c r="F97" s="546"/>
      <c r="G97" s="546" t="s">
        <v>1564</v>
      </c>
      <c r="H97" s="546"/>
      <c r="I97" s="546"/>
      <c r="J97" s="534">
        <v>1500</v>
      </c>
    </row>
    <row r="98" spans="1:10" x14ac:dyDescent="0.25">
      <c r="A98" s="546"/>
      <c r="B98" s="546"/>
      <c r="C98" s="546"/>
      <c r="D98" s="546"/>
      <c r="E98" s="546"/>
      <c r="F98" s="546" t="s">
        <v>1257</v>
      </c>
      <c r="G98" s="546"/>
      <c r="H98" s="546"/>
      <c r="I98" s="546"/>
      <c r="J98" s="529">
        <f>ROUND(J48+J60+J68+J74+J81+J93+SUM(J96:J97),5)</f>
        <v>3911319.06</v>
      </c>
    </row>
    <row r="99" spans="1:10" x14ac:dyDescent="0.25">
      <c r="A99" s="546"/>
      <c r="B99" s="546"/>
      <c r="C99" s="546"/>
      <c r="D99" s="546"/>
      <c r="E99" s="546"/>
      <c r="F99" s="546" t="s">
        <v>1258</v>
      </c>
      <c r="G99" s="546"/>
      <c r="H99" s="546"/>
      <c r="I99" s="546"/>
      <c r="J99" s="529"/>
    </row>
    <row r="100" spans="1:10" x14ac:dyDescent="0.25">
      <c r="A100" s="546"/>
      <c r="B100" s="546"/>
      <c r="C100" s="546"/>
      <c r="D100" s="546"/>
      <c r="E100" s="546"/>
      <c r="F100" s="546"/>
      <c r="G100" s="546" t="s">
        <v>1259</v>
      </c>
      <c r="H100" s="546"/>
      <c r="I100" s="546"/>
      <c r="J100" s="529"/>
    </row>
    <row r="101" spans="1:10" x14ac:dyDescent="0.25">
      <c r="A101" s="546"/>
      <c r="B101" s="546"/>
      <c r="C101" s="546"/>
      <c r="D101" s="546"/>
      <c r="E101" s="546"/>
      <c r="F101" s="546"/>
      <c r="G101" s="546"/>
      <c r="H101" s="546" t="s">
        <v>1260</v>
      </c>
      <c r="I101" s="546"/>
      <c r="J101" s="529">
        <v>37000</v>
      </c>
    </row>
    <row r="102" spans="1:10" x14ac:dyDescent="0.25">
      <c r="A102" s="546"/>
      <c r="B102" s="546"/>
      <c r="C102" s="546"/>
      <c r="D102" s="546"/>
      <c r="E102" s="546"/>
      <c r="F102" s="546"/>
      <c r="G102" s="546"/>
      <c r="H102" s="546" t="s">
        <v>1261</v>
      </c>
      <c r="I102" s="546"/>
      <c r="J102" s="529">
        <v>910</v>
      </c>
    </row>
    <row r="103" spans="1:10" x14ac:dyDescent="0.25">
      <c r="A103" s="546"/>
      <c r="B103" s="546"/>
      <c r="C103" s="546"/>
      <c r="D103" s="546"/>
      <c r="E103" s="546"/>
      <c r="F103" s="546"/>
      <c r="G103" s="546"/>
      <c r="H103" s="546" t="s">
        <v>1262</v>
      </c>
      <c r="I103" s="546"/>
      <c r="J103" s="529">
        <v>163071.79999999999</v>
      </c>
    </row>
    <row r="104" spans="1:10" x14ac:dyDescent="0.25">
      <c r="A104" s="546"/>
      <c r="B104" s="546"/>
      <c r="C104" s="546"/>
      <c r="D104" s="546"/>
      <c r="E104" s="546"/>
      <c r="F104" s="546"/>
      <c r="G104" s="546"/>
      <c r="H104" s="546" t="s">
        <v>1263</v>
      </c>
      <c r="I104" s="546"/>
      <c r="J104" s="529">
        <v>25900</v>
      </c>
    </row>
    <row r="105" spans="1:10" x14ac:dyDescent="0.25">
      <c r="A105" s="546"/>
      <c r="B105" s="546"/>
      <c r="C105" s="546"/>
      <c r="D105" s="546"/>
      <c r="E105" s="546"/>
      <c r="F105" s="546"/>
      <c r="G105" s="546"/>
      <c r="H105" s="546" t="s">
        <v>1264</v>
      </c>
      <c r="I105" s="546"/>
      <c r="J105" s="529">
        <v>55763.28</v>
      </c>
    </row>
    <row r="106" spans="1:10" x14ac:dyDescent="0.25">
      <c r="A106" s="546"/>
      <c r="B106" s="546"/>
      <c r="C106" s="546"/>
      <c r="D106" s="546"/>
      <c r="E106" s="546"/>
      <c r="F106" s="546"/>
      <c r="G106" s="546"/>
      <c r="H106" s="546" t="s">
        <v>1265</v>
      </c>
      <c r="I106" s="546"/>
      <c r="J106" s="529">
        <v>171674</v>
      </c>
    </row>
    <row r="107" spans="1:10" x14ac:dyDescent="0.25">
      <c r="A107" s="546"/>
      <c r="B107" s="546"/>
      <c r="C107" s="546"/>
      <c r="D107" s="546"/>
      <c r="E107" s="546"/>
      <c r="F107" s="546"/>
      <c r="G107" s="546"/>
      <c r="H107" s="546" t="s">
        <v>1266</v>
      </c>
      <c r="I107" s="546"/>
      <c r="J107" s="529">
        <v>7107</v>
      </c>
    </row>
    <row r="108" spans="1:10" x14ac:dyDescent="0.25">
      <c r="A108" s="546"/>
      <c r="B108" s="546"/>
      <c r="C108" s="546"/>
      <c r="D108" s="546"/>
      <c r="E108" s="546"/>
      <c r="F108" s="546"/>
      <c r="G108" s="546"/>
      <c r="H108" s="546" t="s">
        <v>1267</v>
      </c>
      <c r="I108" s="546"/>
      <c r="J108" s="529">
        <v>21766.799999999999</v>
      </c>
    </row>
    <row r="109" spans="1:10" x14ac:dyDescent="0.25">
      <c r="A109" s="546"/>
      <c r="B109" s="546"/>
      <c r="C109" s="546"/>
      <c r="D109" s="546"/>
      <c r="E109" s="546"/>
      <c r="F109" s="546"/>
      <c r="G109" s="546"/>
      <c r="H109" s="546" t="s">
        <v>1268</v>
      </c>
      <c r="I109" s="546"/>
      <c r="J109" s="529">
        <v>91500</v>
      </c>
    </row>
    <row r="110" spans="1:10" x14ac:dyDescent="0.25">
      <c r="A110" s="546"/>
      <c r="B110" s="546"/>
      <c r="C110" s="546"/>
      <c r="D110" s="546"/>
      <c r="E110" s="546"/>
      <c r="F110" s="546"/>
      <c r="G110" s="546"/>
      <c r="H110" s="546" t="s">
        <v>1269</v>
      </c>
      <c r="I110" s="546"/>
      <c r="J110" s="529">
        <v>7400</v>
      </c>
    </row>
    <row r="111" spans="1:10" x14ac:dyDescent="0.25">
      <c r="A111" s="546"/>
      <c r="B111" s="546"/>
      <c r="C111" s="546"/>
      <c r="D111" s="546"/>
      <c r="E111" s="546"/>
      <c r="F111" s="546"/>
      <c r="G111" s="546"/>
      <c r="H111" s="546" t="s">
        <v>1270</v>
      </c>
      <c r="I111" s="546"/>
      <c r="J111" s="529">
        <v>1430</v>
      </c>
    </row>
    <row r="112" spans="1:10" x14ac:dyDescent="0.25">
      <c r="A112" s="546"/>
      <c r="B112" s="546"/>
      <c r="C112" s="546"/>
      <c r="D112" s="546"/>
      <c r="E112" s="546"/>
      <c r="F112" s="546"/>
      <c r="G112" s="546"/>
      <c r="H112" s="546" t="s">
        <v>1272</v>
      </c>
      <c r="I112" s="546"/>
      <c r="J112" s="529">
        <v>28035</v>
      </c>
    </row>
    <row r="113" spans="1:10" ht="15.75" thickBot="1" x14ac:dyDescent="0.3">
      <c r="A113" s="546"/>
      <c r="B113" s="546"/>
      <c r="C113" s="546"/>
      <c r="D113" s="546"/>
      <c r="E113" s="546"/>
      <c r="F113" s="546"/>
      <c r="G113" s="546"/>
      <c r="H113" s="546" t="s">
        <v>1273</v>
      </c>
      <c r="I113" s="546"/>
      <c r="J113" s="534">
        <v>34403.89</v>
      </c>
    </row>
    <row r="114" spans="1:10" x14ac:dyDescent="0.25">
      <c r="A114" s="546"/>
      <c r="B114" s="546"/>
      <c r="C114" s="546"/>
      <c r="D114" s="546"/>
      <c r="E114" s="546"/>
      <c r="F114" s="546"/>
      <c r="G114" s="546" t="s">
        <v>1275</v>
      </c>
      <c r="H114" s="546"/>
      <c r="I114" s="546"/>
      <c r="J114" s="529">
        <f>ROUND(SUM(J100:J113),5)</f>
        <v>645961.77</v>
      </c>
    </row>
    <row r="115" spans="1:10" x14ac:dyDescent="0.25">
      <c r="A115" s="546"/>
      <c r="B115" s="546"/>
      <c r="C115" s="546"/>
      <c r="D115" s="546"/>
      <c r="E115" s="546"/>
      <c r="F115" s="546"/>
      <c r="G115" s="546" t="s">
        <v>1276</v>
      </c>
      <c r="H115" s="546"/>
      <c r="I115" s="546"/>
      <c r="J115" s="529"/>
    </row>
    <row r="116" spans="1:10" x14ac:dyDescent="0.25">
      <c r="A116" s="546"/>
      <c r="B116" s="546"/>
      <c r="C116" s="546"/>
      <c r="D116" s="546"/>
      <c r="E116" s="546"/>
      <c r="F116" s="546"/>
      <c r="G116" s="546"/>
      <c r="H116" s="546" t="s">
        <v>1277</v>
      </c>
      <c r="I116" s="546"/>
      <c r="J116" s="529">
        <v>142500</v>
      </c>
    </row>
    <row r="117" spans="1:10" x14ac:dyDescent="0.25">
      <c r="A117" s="546"/>
      <c r="B117" s="546"/>
      <c r="C117" s="546"/>
      <c r="D117" s="546"/>
      <c r="E117" s="546"/>
      <c r="F117" s="546"/>
      <c r="G117" s="546"/>
      <c r="H117" s="546" t="s">
        <v>1278</v>
      </c>
      <c r="I117" s="546"/>
      <c r="J117" s="529">
        <v>17100</v>
      </c>
    </row>
    <row r="118" spans="1:10" x14ac:dyDescent="0.25">
      <c r="A118" s="546"/>
      <c r="B118" s="546"/>
      <c r="C118" s="546"/>
      <c r="D118" s="546"/>
      <c r="E118" s="546"/>
      <c r="F118" s="546"/>
      <c r="G118" s="546"/>
      <c r="H118" s="546" t="s">
        <v>1279</v>
      </c>
      <c r="I118" s="546"/>
      <c r="J118" s="529">
        <v>4275</v>
      </c>
    </row>
    <row r="119" spans="1:10" ht="15.75" thickBot="1" x14ac:dyDescent="0.3">
      <c r="A119" s="546"/>
      <c r="B119" s="546"/>
      <c r="C119" s="546"/>
      <c r="D119" s="546"/>
      <c r="E119" s="546"/>
      <c r="F119" s="546"/>
      <c r="G119" s="546"/>
      <c r="H119" s="546" t="s">
        <v>1280</v>
      </c>
      <c r="I119" s="546"/>
      <c r="J119" s="534">
        <v>52500</v>
      </c>
    </row>
    <row r="120" spans="1:10" x14ac:dyDescent="0.25">
      <c r="A120" s="546"/>
      <c r="B120" s="546"/>
      <c r="C120" s="546"/>
      <c r="D120" s="546"/>
      <c r="E120" s="546"/>
      <c r="F120" s="546"/>
      <c r="G120" s="546" t="s">
        <v>1283</v>
      </c>
      <c r="H120" s="546"/>
      <c r="I120" s="546"/>
      <c r="J120" s="529">
        <f>ROUND(SUM(J115:J119),5)</f>
        <v>216375</v>
      </c>
    </row>
    <row r="121" spans="1:10" x14ac:dyDescent="0.25">
      <c r="A121" s="546"/>
      <c r="B121" s="546"/>
      <c r="C121" s="546"/>
      <c r="D121" s="546"/>
      <c r="E121" s="546"/>
      <c r="F121" s="546"/>
      <c r="G121" s="546" t="s">
        <v>1284</v>
      </c>
      <c r="H121" s="546"/>
      <c r="I121" s="546"/>
      <c r="J121" s="529"/>
    </row>
    <row r="122" spans="1:10" x14ac:dyDescent="0.25">
      <c r="A122" s="546"/>
      <c r="B122" s="546"/>
      <c r="C122" s="546"/>
      <c r="D122" s="546"/>
      <c r="E122" s="546"/>
      <c r="F122" s="546"/>
      <c r="G122" s="546"/>
      <c r="H122" s="546" t="s">
        <v>1285</v>
      </c>
      <c r="I122" s="546"/>
      <c r="J122" s="529">
        <v>-3246.48</v>
      </c>
    </row>
    <row r="123" spans="1:10" ht="15.75" thickBot="1" x14ac:dyDescent="0.3">
      <c r="A123" s="546"/>
      <c r="B123" s="546"/>
      <c r="C123" s="546"/>
      <c r="D123" s="546"/>
      <c r="E123" s="546"/>
      <c r="F123" s="546"/>
      <c r="G123" s="546"/>
      <c r="H123" s="546" t="s">
        <v>1287</v>
      </c>
      <c r="I123" s="546"/>
      <c r="J123" s="534">
        <v>6523.93</v>
      </c>
    </row>
    <row r="124" spans="1:10" x14ac:dyDescent="0.25">
      <c r="A124" s="546"/>
      <c r="B124" s="546"/>
      <c r="C124" s="546"/>
      <c r="D124" s="546"/>
      <c r="E124" s="546"/>
      <c r="F124" s="546"/>
      <c r="G124" s="546" t="s">
        <v>1289</v>
      </c>
      <c r="H124" s="546"/>
      <c r="I124" s="546"/>
      <c r="J124" s="529">
        <f>ROUND(SUM(J121:J123),5)</f>
        <v>3277.45</v>
      </c>
    </row>
    <row r="125" spans="1:10" x14ac:dyDescent="0.25">
      <c r="A125" s="546"/>
      <c r="B125" s="546"/>
      <c r="C125" s="546"/>
      <c r="D125" s="546"/>
      <c r="E125" s="546"/>
      <c r="F125" s="546"/>
      <c r="G125" s="546" t="s">
        <v>1290</v>
      </c>
      <c r="H125" s="546"/>
      <c r="I125" s="546"/>
      <c r="J125" s="529"/>
    </row>
    <row r="126" spans="1:10" x14ac:dyDescent="0.25">
      <c r="A126" s="546"/>
      <c r="B126" s="546"/>
      <c r="C126" s="546"/>
      <c r="D126" s="546"/>
      <c r="E126" s="546"/>
      <c r="F126" s="546"/>
      <c r="G126" s="546"/>
      <c r="H126" s="546" t="s">
        <v>1291</v>
      </c>
      <c r="I126" s="546"/>
      <c r="J126" s="529">
        <v>27500</v>
      </c>
    </row>
    <row r="127" spans="1:10" x14ac:dyDescent="0.25">
      <c r="A127" s="546"/>
      <c r="B127" s="546"/>
      <c r="C127" s="546"/>
      <c r="D127" s="546"/>
      <c r="E127" s="546"/>
      <c r="F127" s="546"/>
      <c r="G127" s="546"/>
      <c r="H127" s="546" t="s">
        <v>1292</v>
      </c>
      <c r="I127" s="546"/>
      <c r="J127" s="529">
        <v>90775</v>
      </c>
    </row>
    <row r="128" spans="1:10" x14ac:dyDescent="0.25">
      <c r="A128" s="546"/>
      <c r="B128" s="546"/>
      <c r="C128" s="546"/>
      <c r="D128" s="546"/>
      <c r="E128" s="546"/>
      <c r="F128" s="546"/>
      <c r="G128" s="546"/>
      <c r="H128" s="546" t="s">
        <v>1293</v>
      </c>
      <c r="I128" s="546"/>
      <c r="J128" s="529">
        <v>20780</v>
      </c>
    </row>
    <row r="129" spans="1:10" x14ac:dyDescent="0.25">
      <c r="A129" s="546"/>
      <c r="B129" s="546"/>
      <c r="C129" s="546"/>
      <c r="D129" s="546"/>
      <c r="E129" s="546"/>
      <c r="F129" s="546"/>
      <c r="G129" s="546"/>
      <c r="H129" s="546" t="s">
        <v>1294</v>
      </c>
      <c r="I129" s="546"/>
      <c r="J129" s="529">
        <v>1000</v>
      </c>
    </row>
    <row r="130" spans="1:10" ht="15.75" thickBot="1" x14ac:dyDescent="0.3">
      <c r="A130" s="546"/>
      <c r="B130" s="546"/>
      <c r="C130" s="546"/>
      <c r="D130" s="546"/>
      <c r="E130" s="546"/>
      <c r="F130" s="546"/>
      <c r="G130" s="546"/>
      <c r="H130" s="546" t="s">
        <v>1565</v>
      </c>
      <c r="I130" s="546"/>
      <c r="J130" s="534">
        <v>12000</v>
      </c>
    </row>
    <row r="131" spans="1:10" x14ac:dyDescent="0.25">
      <c r="A131" s="546"/>
      <c r="B131" s="546"/>
      <c r="C131" s="546"/>
      <c r="D131" s="546"/>
      <c r="E131" s="546"/>
      <c r="F131" s="546"/>
      <c r="G131" s="546" t="s">
        <v>1295</v>
      </c>
      <c r="H131" s="546"/>
      <c r="I131" s="546"/>
      <c r="J131" s="529">
        <f>ROUND(SUM(J125:J130),5)</f>
        <v>152055</v>
      </c>
    </row>
    <row r="132" spans="1:10" x14ac:dyDescent="0.25">
      <c r="A132" s="546"/>
      <c r="B132" s="546"/>
      <c r="C132" s="546"/>
      <c r="D132" s="546"/>
      <c r="E132" s="546"/>
      <c r="F132" s="546"/>
      <c r="G132" s="546" t="s">
        <v>1296</v>
      </c>
      <c r="H132" s="546"/>
      <c r="I132" s="546"/>
      <c r="J132" s="529"/>
    </row>
    <row r="133" spans="1:10" x14ac:dyDescent="0.25">
      <c r="A133" s="546"/>
      <c r="B133" s="546"/>
      <c r="C133" s="546"/>
      <c r="D133" s="546"/>
      <c r="E133" s="546"/>
      <c r="F133" s="546"/>
      <c r="G133" s="546"/>
      <c r="H133" s="546" t="s">
        <v>1297</v>
      </c>
      <c r="I133" s="546"/>
      <c r="J133" s="529">
        <v>35917</v>
      </c>
    </row>
    <row r="134" spans="1:10" x14ac:dyDescent="0.25">
      <c r="A134" s="546"/>
      <c r="B134" s="546"/>
      <c r="C134" s="546"/>
      <c r="D134" s="546"/>
      <c r="E134" s="546"/>
      <c r="F134" s="546"/>
      <c r="G134" s="546"/>
      <c r="H134" s="546" t="s">
        <v>1298</v>
      </c>
      <c r="I134" s="546"/>
      <c r="J134" s="529">
        <v>89420</v>
      </c>
    </row>
    <row r="135" spans="1:10" x14ac:dyDescent="0.25">
      <c r="A135" s="546"/>
      <c r="B135" s="546"/>
      <c r="C135" s="546"/>
      <c r="D135" s="546"/>
      <c r="E135" s="546"/>
      <c r="F135" s="546"/>
      <c r="G135" s="546"/>
      <c r="H135" s="546" t="s">
        <v>1299</v>
      </c>
      <c r="I135" s="546"/>
      <c r="J135" s="529">
        <v>7290</v>
      </c>
    </row>
    <row r="136" spans="1:10" x14ac:dyDescent="0.25">
      <c r="A136" s="546"/>
      <c r="B136" s="546"/>
      <c r="C136" s="546"/>
      <c r="D136" s="546"/>
      <c r="E136" s="546"/>
      <c r="F136" s="546"/>
      <c r="G136" s="546"/>
      <c r="H136" s="546" t="s">
        <v>1300</v>
      </c>
      <c r="I136" s="546"/>
      <c r="J136" s="529">
        <v>52020</v>
      </c>
    </row>
    <row r="137" spans="1:10" x14ac:dyDescent="0.25">
      <c r="A137" s="546"/>
      <c r="B137" s="546"/>
      <c r="C137" s="546"/>
      <c r="D137" s="546"/>
      <c r="E137" s="546"/>
      <c r="F137" s="546"/>
      <c r="G137" s="546"/>
      <c r="H137" s="546" t="s">
        <v>1301</v>
      </c>
      <c r="I137" s="546"/>
      <c r="J137" s="529">
        <v>4000</v>
      </c>
    </row>
    <row r="138" spans="1:10" x14ac:dyDescent="0.25">
      <c r="A138" s="546"/>
      <c r="B138" s="546"/>
      <c r="C138" s="546"/>
      <c r="D138" s="546"/>
      <c r="E138" s="546"/>
      <c r="F138" s="546"/>
      <c r="G138" s="546"/>
      <c r="H138" s="546" t="s">
        <v>755</v>
      </c>
      <c r="I138" s="546"/>
      <c r="J138" s="529">
        <v>172185.93</v>
      </c>
    </row>
    <row r="139" spans="1:10" ht="15.75" thickBot="1" x14ac:dyDescent="0.3">
      <c r="A139" s="546"/>
      <c r="B139" s="546"/>
      <c r="C139" s="546"/>
      <c r="D139" s="546"/>
      <c r="E139" s="546"/>
      <c r="F139" s="546"/>
      <c r="G139" s="546"/>
      <c r="H139" s="546" t="s">
        <v>756</v>
      </c>
      <c r="I139" s="546"/>
      <c r="J139" s="534">
        <v>189816.93</v>
      </c>
    </row>
    <row r="140" spans="1:10" x14ac:dyDescent="0.25">
      <c r="A140" s="546"/>
      <c r="B140" s="546"/>
      <c r="C140" s="546"/>
      <c r="D140" s="546"/>
      <c r="E140" s="546"/>
      <c r="F140" s="546"/>
      <c r="G140" s="546" t="s">
        <v>1303</v>
      </c>
      <c r="H140" s="546"/>
      <c r="I140" s="546"/>
      <c r="J140" s="529">
        <f>ROUND(SUM(J132:J139),5)</f>
        <v>550649.86</v>
      </c>
    </row>
    <row r="141" spans="1:10" x14ac:dyDescent="0.25">
      <c r="A141" s="546"/>
      <c r="B141" s="546"/>
      <c r="C141" s="546"/>
      <c r="D141" s="546"/>
      <c r="E141" s="546"/>
      <c r="F141" s="546"/>
      <c r="G141" s="546" t="s">
        <v>1304</v>
      </c>
      <c r="H141" s="546"/>
      <c r="I141" s="546"/>
      <c r="J141" s="529"/>
    </row>
    <row r="142" spans="1:10" x14ac:dyDescent="0.25">
      <c r="A142" s="546"/>
      <c r="B142" s="546"/>
      <c r="C142" s="546"/>
      <c r="D142" s="546"/>
      <c r="E142" s="546"/>
      <c r="F142" s="546"/>
      <c r="G142" s="546"/>
      <c r="H142" s="546" t="s">
        <v>1305</v>
      </c>
      <c r="I142" s="546"/>
      <c r="J142" s="529">
        <v>5330</v>
      </c>
    </row>
    <row r="143" spans="1:10" x14ac:dyDescent="0.25">
      <c r="A143" s="546"/>
      <c r="B143" s="546"/>
      <c r="C143" s="546"/>
      <c r="D143" s="546"/>
      <c r="E143" s="546"/>
      <c r="F143" s="546"/>
      <c r="G143" s="546"/>
      <c r="H143" s="546" t="s">
        <v>1306</v>
      </c>
      <c r="I143" s="546"/>
      <c r="J143" s="529">
        <v>34777.68</v>
      </c>
    </row>
    <row r="144" spans="1:10" ht="15.75" thickBot="1" x14ac:dyDescent="0.3">
      <c r="A144" s="546"/>
      <c r="B144" s="546"/>
      <c r="C144" s="546"/>
      <c r="D144" s="546"/>
      <c r="E144" s="546"/>
      <c r="F144" s="546"/>
      <c r="G144" s="546"/>
      <c r="H144" s="546" t="s">
        <v>1307</v>
      </c>
      <c r="I144" s="546"/>
      <c r="J144" s="530">
        <v>2950</v>
      </c>
    </row>
    <row r="145" spans="1:10" ht="15.75" thickBot="1" x14ac:dyDescent="0.3">
      <c r="A145" s="546"/>
      <c r="B145" s="546"/>
      <c r="C145" s="546"/>
      <c r="D145" s="546"/>
      <c r="E145" s="546"/>
      <c r="F145" s="546"/>
      <c r="G145" s="546" t="s">
        <v>1308</v>
      </c>
      <c r="H145" s="546"/>
      <c r="I145" s="546"/>
      <c r="J145" s="548">
        <f>ROUND(SUM(J141:J144),5)</f>
        <v>43057.68</v>
      </c>
    </row>
    <row r="146" spans="1:10" x14ac:dyDescent="0.25">
      <c r="A146" s="546"/>
      <c r="B146" s="546"/>
      <c r="C146" s="546"/>
      <c r="D146" s="546"/>
      <c r="E146" s="546"/>
      <c r="F146" s="546" t="s">
        <v>1310</v>
      </c>
      <c r="G146" s="546"/>
      <c r="H146" s="546"/>
      <c r="I146" s="546"/>
      <c r="J146" s="529">
        <f>ROUND(J99+J114+J120+J124+J131+J140+J145,5)</f>
        <v>1611376.76</v>
      </c>
    </row>
    <row r="147" spans="1:10" x14ac:dyDescent="0.25">
      <c r="A147" s="546"/>
      <c r="B147" s="546"/>
      <c r="C147" s="546"/>
      <c r="D147" s="546"/>
      <c r="E147" s="546"/>
      <c r="F147" s="546" t="s">
        <v>1311</v>
      </c>
      <c r="G147" s="546"/>
      <c r="H147" s="546"/>
      <c r="I147" s="546"/>
      <c r="J147" s="529"/>
    </row>
    <row r="148" spans="1:10" x14ac:dyDescent="0.25">
      <c r="A148" s="546"/>
      <c r="B148" s="546"/>
      <c r="C148" s="546"/>
      <c r="D148" s="546"/>
      <c r="E148" s="546"/>
      <c r="F148" s="546"/>
      <c r="G148" s="546" t="s">
        <v>1312</v>
      </c>
      <c r="H148" s="546"/>
      <c r="I148" s="546"/>
      <c r="J148" s="529"/>
    </row>
    <row r="149" spans="1:10" x14ac:dyDescent="0.25">
      <c r="A149" s="546"/>
      <c r="B149" s="546"/>
      <c r="C149" s="546"/>
      <c r="D149" s="546"/>
      <c r="E149" s="546"/>
      <c r="F149" s="546"/>
      <c r="G149" s="546"/>
      <c r="H149" s="546" t="s">
        <v>1313</v>
      </c>
      <c r="I149" s="546"/>
      <c r="J149" s="529">
        <v>14300</v>
      </c>
    </row>
    <row r="150" spans="1:10" x14ac:dyDescent="0.25">
      <c r="A150" s="546"/>
      <c r="B150" s="546"/>
      <c r="C150" s="546"/>
      <c r="D150" s="546"/>
      <c r="E150" s="546"/>
      <c r="F150" s="546"/>
      <c r="G150" s="546"/>
      <c r="H150" s="546" t="s">
        <v>1314</v>
      </c>
      <c r="I150" s="546"/>
      <c r="J150" s="529">
        <v>37704</v>
      </c>
    </row>
    <row r="151" spans="1:10" x14ac:dyDescent="0.25">
      <c r="A151" s="546"/>
      <c r="B151" s="546"/>
      <c r="C151" s="546"/>
      <c r="D151" s="546"/>
      <c r="E151" s="546"/>
      <c r="F151" s="546"/>
      <c r="G151" s="546"/>
      <c r="H151" s="546" t="s">
        <v>1316</v>
      </c>
      <c r="I151" s="546"/>
      <c r="J151" s="529">
        <v>-907</v>
      </c>
    </row>
    <row r="152" spans="1:10" ht="15.75" thickBot="1" x14ac:dyDescent="0.3">
      <c r="A152" s="546"/>
      <c r="B152" s="546"/>
      <c r="C152" s="546"/>
      <c r="D152" s="546"/>
      <c r="E152" s="546"/>
      <c r="F152" s="546"/>
      <c r="G152" s="546"/>
      <c r="H152" s="546" t="s">
        <v>1317</v>
      </c>
      <c r="I152" s="546"/>
      <c r="J152" s="534">
        <v>9300</v>
      </c>
    </row>
    <row r="153" spans="1:10" x14ac:dyDescent="0.25">
      <c r="A153" s="546"/>
      <c r="B153" s="546"/>
      <c r="C153" s="546"/>
      <c r="D153" s="546"/>
      <c r="E153" s="546"/>
      <c r="F153" s="546"/>
      <c r="G153" s="546" t="s">
        <v>1318</v>
      </c>
      <c r="H153" s="546"/>
      <c r="I153" s="546"/>
      <c r="J153" s="529">
        <f>ROUND(SUM(J148:J152),5)</f>
        <v>60397</v>
      </c>
    </row>
    <row r="154" spans="1:10" x14ac:dyDescent="0.25">
      <c r="A154" s="546"/>
      <c r="B154" s="546"/>
      <c r="C154" s="546"/>
      <c r="D154" s="546"/>
      <c r="E154" s="546"/>
      <c r="F154" s="546"/>
      <c r="G154" s="546" t="s">
        <v>1319</v>
      </c>
      <c r="H154" s="546"/>
      <c r="I154" s="546"/>
      <c r="J154" s="529"/>
    </row>
    <row r="155" spans="1:10" x14ac:dyDescent="0.25">
      <c r="A155" s="546"/>
      <c r="B155" s="546"/>
      <c r="C155" s="546"/>
      <c r="D155" s="546"/>
      <c r="E155" s="546"/>
      <c r="F155" s="546"/>
      <c r="G155" s="546"/>
      <c r="H155" s="546" t="s">
        <v>1320</v>
      </c>
      <c r="I155" s="546"/>
      <c r="J155" s="529">
        <v>3517</v>
      </c>
    </row>
    <row r="156" spans="1:10" x14ac:dyDescent="0.25">
      <c r="A156" s="546"/>
      <c r="B156" s="546"/>
      <c r="C156" s="546"/>
      <c r="D156" s="546"/>
      <c r="E156" s="546"/>
      <c r="F156" s="546"/>
      <c r="G156" s="546"/>
      <c r="H156" s="546" t="s">
        <v>1321</v>
      </c>
      <c r="I156" s="546"/>
      <c r="J156" s="529">
        <v>117045</v>
      </c>
    </row>
    <row r="157" spans="1:10" ht="15.75" thickBot="1" x14ac:dyDescent="0.3">
      <c r="A157" s="546"/>
      <c r="B157" s="546"/>
      <c r="C157" s="546"/>
      <c r="D157" s="546"/>
      <c r="E157" s="546"/>
      <c r="F157" s="546"/>
      <c r="G157" s="546"/>
      <c r="H157" s="546" t="s">
        <v>753</v>
      </c>
      <c r="I157" s="546"/>
      <c r="J157" s="530">
        <v>28357.200000000001</v>
      </c>
    </row>
    <row r="158" spans="1:10" ht="15.75" thickBot="1" x14ac:dyDescent="0.3">
      <c r="A158" s="546"/>
      <c r="B158" s="546"/>
      <c r="C158" s="546"/>
      <c r="D158" s="546"/>
      <c r="E158" s="546"/>
      <c r="F158" s="546"/>
      <c r="G158" s="546" t="s">
        <v>1322</v>
      </c>
      <c r="H158" s="546"/>
      <c r="I158" s="546"/>
      <c r="J158" s="548">
        <f>ROUND(SUM(J154:J157),5)</f>
        <v>148919.20000000001</v>
      </c>
    </row>
    <row r="159" spans="1:10" x14ac:dyDescent="0.25">
      <c r="A159" s="546"/>
      <c r="B159" s="546"/>
      <c r="C159" s="546"/>
      <c r="D159" s="546"/>
      <c r="E159" s="546"/>
      <c r="F159" s="546" t="s">
        <v>1323</v>
      </c>
      <c r="G159" s="546"/>
      <c r="H159" s="546"/>
      <c r="I159" s="546"/>
      <c r="J159" s="529">
        <f>ROUND(J147+J153+J158,5)</f>
        <v>209316.2</v>
      </c>
    </row>
    <row r="160" spans="1:10" x14ac:dyDescent="0.25">
      <c r="A160" s="546"/>
      <c r="B160" s="546"/>
      <c r="C160" s="546"/>
      <c r="D160" s="546"/>
      <c r="E160" s="546"/>
      <c r="F160" s="546" t="s">
        <v>1324</v>
      </c>
      <c r="G160" s="546"/>
      <c r="H160" s="546"/>
      <c r="I160" s="546"/>
      <c r="J160" s="529"/>
    </row>
    <row r="161" spans="1:10" x14ac:dyDescent="0.25">
      <c r="A161" s="546"/>
      <c r="B161" s="546"/>
      <c r="C161" s="546"/>
      <c r="D161" s="546"/>
      <c r="E161" s="546"/>
      <c r="F161" s="546"/>
      <c r="G161" s="546" t="s">
        <v>1325</v>
      </c>
      <c r="H161" s="546"/>
      <c r="I161" s="546"/>
      <c r="J161" s="529"/>
    </row>
    <row r="162" spans="1:10" x14ac:dyDescent="0.25">
      <c r="A162" s="546"/>
      <c r="B162" s="546"/>
      <c r="C162" s="546"/>
      <c r="D162" s="546"/>
      <c r="E162" s="546"/>
      <c r="F162" s="546"/>
      <c r="G162" s="546"/>
      <c r="H162" s="546" t="s">
        <v>1326</v>
      </c>
      <c r="I162" s="546"/>
      <c r="J162" s="529">
        <v>153459</v>
      </c>
    </row>
    <row r="163" spans="1:10" x14ac:dyDescent="0.25">
      <c r="A163" s="546"/>
      <c r="B163" s="546"/>
      <c r="C163" s="546"/>
      <c r="D163" s="546"/>
      <c r="E163" s="546"/>
      <c r="F163" s="546"/>
      <c r="G163" s="546"/>
      <c r="H163" s="546" t="s">
        <v>1327</v>
      </c>
      <c r="I163" s="546"/>
      <c r="J163" s="529"/>
    </row>
    <row r="164" spans="1:10" x14ac:dyDescent="0.25">
      <c r="A164" s="546"/>
      <c r="B164" s="546"/>
      <c r="C164" s="546"/>
      <c r="D164" s="546"/>
      <c r="E164" s="546"/>
      <c r="F164" s="546"/>
      <c r="G164" s="546"/>
      <c r="H164" s="546"/>
      <c r="I164" s="546" t="s">
        <v>1328</v>
      </c>
      <c r="J164" s="529">
        <v>94987</v>
      </c>
    </row>
    <row r="165" spans="1:10" ht="15.75" thickBot="1" x14ac:dyDescent="0.3">
      <c r="A165" s="546"/>
      <c r="B165" s="546"/>
      <c r="C165" s="546"/>
      <c r="D165" s="546"/>
      <c r="E165" s="546"/>
      <c r="F165" s="546"/>
      <c r="G165" s="546"/>
      <c r="H165" s="546"/>
      <c r="I165" s="546" t="s">
        <v>1329</v>
      </c>
      <c r="J165" s="534">
        <v>2225</v>
      </c>
    </row>
    <row r="166" spans="1:10" x14ac:dyDescent="0.25">
      <c r="A166" s="546"/>
      <c r="B166" s="546"/>
      <c r="C166" s="546"/>
      <c r="D166" s="546"/>
      <c r="E166" s="546"/>
      <c r="F166" s="546"/>
      <c r="G166" s="546"/>
      <c r="H166" s="546" t="s">
        <v>1330</v>
      </c>
      <c r="I166" s="546"/>
      <c r="J166" s="529">
        <f>ROUND(SUM(J163:J165),5)</f>
        <v>97212</v>
      </c>
    </row>
    <row r="167" spans="1:10" ht="15.75" thickBot="1" x14ac:dyDescent="0.3">
      <c r="A167" s="546"/>
      <c r="B167" s="546"/>
      <c r="C167" s="546"/>
      <c r="D167" s="546"/>
      <c r="E167" s="546"/>
      <c r="F167" s="546"/>
      <c r="G167" s="546"/>
      <c r="H167" s="546" t="s">
        <v>1331</v>
      </c>
      <c r="I167" s="546"/>
      <c r="J167" s="534">
        <v>-718.7</v>
      </c>
    </row>
    <row r="168" spans="1:10" x14ac:dyDescent="0.25">
      <c r="A168" s="546"/>
      <c r="B168" s="546"/>
      <c r="C168" s="546"/>
      <c r="D168" s="546"/>
      <c r="E168" s="546"/>
      <c r="F168" s="546"/>
      <c r="G168" s="546" t="s">
        <v>1332</v>
      </c>
      <c r="H168" s="546"/>
      <c r="I168" s="546"/>
      <c r="J168" s="529">
        <f>ROUND(SUM(J161:J162)+SUM(J166:J167),5)</f>
        <v>249952.3</v>
      </c>
    </row>
    <row r="169" spans="1:10" x14ac:dyDescent="0.25">
      <c r="A169" s="546"/>
      <c r="B169" s="546"/>
      <c r="C169" s="546"/>
      <c r="D169" s="546"/>
      <c r="E169" s="546"/>
      <c r="F169" s="546"/>
      <c r="G169" s="546" t="s">
        <v>1333</v>
      </c>
      <c r="H169" s="546"/>
      <c r="I169" s="546"/>
      <c r="J169" s="529"/>
    </row>
    <row r="170" spans="1:10" x14ac:dyDescent="0.25">
      <c r="A170" s="546"/>
      <c r="B170" s="546"/>
      <c r="C170" s="546"/>
      <c r="D170" s="546"/>
      <c r="E170" s="546"/>
      <c r="F170" s="546"/>
      <c r="G170" s="546"/>
      <c r="H170" s="546" t="s">
        <v>1334</v>
      </c>
      <c r="I170" s="546"/>
      <c r="J170" s="529">
        <v>199171.83</v>
      </c>
    </row>
    <row r="171" spans="1:10" x14ac:dyDescent="0.25">
      <c r="A171" s="546"/>
      <c r="B171" s="546"/>
      <c r="C171" s="546"/>
      <c r="D171" s="546"/>
      <c r="E171" s="546"/>
      <c r="F171" s="546"/>
      <c r="G171" s="546"/>
      <c r="H171" s="546" t="s">
        <v>1335</v>
      </c>
      <c r="I171" s="546"/>
      <c r="J171" s="529">
        <v>18000</v>
      </c>
    </row>
    <row r="172" spans="1:10" ht="15.75" thickBot="1" x14ac:dyDescent="0.3">
      <c r="A172" s="546"/>
      <c r="B172" s="546"/>
      <c r="C172" s="546"/>
      <c r="D172" s="546"/>
      <c r="E172" s="546"/>
      <c r="F172" s="546"/>
      <c r="G172" s="546"/>
      <c r="H172" s="546" t="s">
        <v>1336</v>
      </c>
      <c r="I172" s="546"/>
      <c r="J172" s="534">
        <v>4500</v>
      </c>
    </row>
    <row r="173" spans="1:10" x14ac:dyDescent="0.25">
      <c r="A173" s="546"/>
      <c r="B173" s="546"/>
      <c r="C173" s="546"/>
      <c r="D173" s="546"/>
      <c r="E173" s="546"/>
      <c r="F173" s="546"/>
      <c r="G173" s="546" t="s">
        <v>1338</v>
      </c>
      <c r="H173" s="546"/>
      <c r="I173" s="546"/>
      <c r="J173" s="529">
        <f>ROUND(SUM(J169:J172),5)</f>
        <v>221671.83</v>
      </c>
    </row>
    <row r="174" spans="1:10" x14ac:dyDescent="0.25">
      <c r="A174" s="546"/>
      <c r="B174" s="546"/>
      <c r="C174" s="546"/>
      <c r="D174" s="546"/>
      <c r="E174" s="546"/>
      <c r="F174" s="546"/>
      <c r="G174" s="546" t="s">
        <v>1339</v>
      </c>
      <c r="H174" s="546"/>
      <c r="I174" s="546"/>
      <c r="J174" s="529"/>
    </row>
    <row r="175" spans="1:10" x14ac:dyDescent="0.25">
      <c r="A175" s="546"/>
      <c r="B175" s="546"/>
      <c r="C175" s="546"/>
      <c r="D175" s="546"/>
      <c r="E175" s="546"/>
      <c r="F175" s="546"/>
      <c r="G175" s="546"/>
      <c r="H175" s="546" t="s">
        <v>1341</v>
      </c>
      <c r="I175" s="546"/>
      <c r="J175" s="529">
        <v>107493.1</v>
      </c>
    </row>
    <row r="176" spans="1:10" ht="15.75" thickBot="1" x14ac:dyDescent="0.3">
      <c r="A176" s="546"/>
      <c r="B176" s="546"/>
      <c r="C176" s="546"/>
      <c r="D176" s="546"/>
      <c r="E176" s="546"/>
      <c r="F176" s="546"/>
      <c r="G176" s="546"/>
      <c r="H176" s="546" t="s">
        <v>1342</v>
      </c>
      <c r="I176" s="546"/>
      <c r="J176" s="530">
        <v>225000</v>
      </c>
    </row>
    <row r="177" spans="1:10" ht="15.75" thickBot="1" x14ac:dyDescent="0.3">
      <c r="A177" s="546"/>
      <c r="B177" s="546"/>
      <c r="C177" s="546"/>
      <c r="D177" s="546"/>
      <c r="E177" s="546"/>
      <c r="F177" s="546"/>
      <c r="G177" s="546" t="s">
        <v>1343</v>
      </c>
      <c r="H177" s="546"/>
      <c r="I177" s="546"/>
      <c r="J177" s="548">
        <f>ROUND(SUM(J174:J176),5)</f>
        <v>332493.09999999998</v>
      </c>
    </row>
    <row r="178" spans="1:10" x14ac:dyDescent="0.25">
      <c r="A178" s="546"/>
      <c r="B178" s="546"/>
      <c r="C178" s="546"/>
      <c r="D178" s="546"/>
      <c r="E178" s="546"/>
      <c r="F178" s="546" t="s">
        <v>1344</v>
      </c>
      <c r="G178" s="546"/>
      <c r="H178" s="546"/>
      <c r="I178" s="546"/>
      <c r="J178" s="529">
        <f>ROUND(J160+J168+J173+J177,5)</f>
        <v>804117.23</v>
      </c>
    </row>
    <row r="179" spans="1:10" x14ac:dyDescent="0.25">
      <c r="A179" s="546"/>
      <c r="B179" s="546"/>
      <c r="C179" s="546"/>
      <c r="D179" s="546"/>
      <c r="E179" s="546"/>
      <c r="F179" s="546" t="s">
        <v>1353</v>
      </c>
      <c r="G179" s="546"/>
      <c r="H179" s="546"/>
      <c r="I179" s="546"/>
      <c r="J179" s="529"/>
    </row>
    <row r="180" spans="1:10" x14ac:dyDescent="0.25">
      <c r="A180" s="546"/>
      <c r="B180" s="546"/>
      <c r="C180" s="546"/>
      <c r="D180" s="546"/>
      <c r="E180" s="546"/>
      <c r="F180" s="546"/>
      <c r="G180" s="546" t="s">
        <v>1354</v>
      </c>
      <c r="H180" s="546"/>
      <c r="I180" s="546"/>
      <c r="J180" s="529"/>
    </row>
    <row r="181" spans="1:10" x14ac:dyDescent="0.25">
      <c r="A181" s="546"/>
      <c r="B181" s="546"/>
      <c r="C181" s="546"/>
      <c r="D181" s="546"/>
      <c r="E181" s="546"/>
      <c r="F181" s="546"/>
      <c r="G181" s="546"/>
      <c r="H181" s="546" t="s">
        <v>1357</v>
      </c>
      <c r="I181" s="546"/>
      <c r="J181" s="529">
        <v>27000</v>
      </c>
    </row>
    <row r="182" spans="1:10" x14ac:dyDescent="0.25">
      <c r="A182" s="546"/>
      <c r="B182" s="546"/>
      <c r="C182" s="546"/>
      <c r="D182" s="546"/>
      <c r="E182" s="546"/>
      <c r="F182" s="546"/>
      <c r="G182" s="546"/>
      <c r="H182" s="546" t="s">
        <v>1358</v>
      </c>
      <c r="I182" s="546"/>
      <c r="J182" s="529">
        <v>6750</v>
      </c>
    </row>
    <row r="183" spans="1:10" ht="15.75" thickBot="1" x14ac:dyDescent="0.3">
      <c r="A183" s="546"/>
      <c r="B183" s="546"/>
      <c r="C183" s="546"/>
      <c r="D183" s="546"/>
      <c r="E183" s="546"/>
      <c r="F183" s="546"/>
      <c r="G183" s="546"/>
      <c r="H183" s="546" t="s">
        <v>1359</v>
      </c>
      <c r="I183" s="546"/>
      <c r="J183" s="534">
        <v>1500000</v>
      </c>
    </row>
    <row r="184" spans="1:10" x14ac:dyDescent="0.25">
      <c r="A184" s="546"/>
      <c r="B184" s="546"/>
      <c r="C184" s="546"/>
      <c r="D184" s="546"/>
      <c r="E184" s="546"/>
      <c r="F184" s="546"/>
      <c r="G184" s="546" t="s">
        <v>1362</v>
      </c>
      <c r="H184" s="546"/>
      <c r="I184" s="546"/>
      <c r="J184" s="529">
        <f>ROUND(SUM(J180:J183),5)</f>
        <v>1533750</v>
      </c>
    </row>
    <row r="185" spans="1:10" x14ac:dyDescent="0.25">
      <c r="A185" s="546"/>
      <c r="B185" s="546"/>
      <c r="C185" s="546"/>
      <c r="D185" s="546"/>
      <c r="E185" s="546"/>
      <c r="F185" s="546"/>
      <c r="G185" s="546" t="s">
        <v>1363</v>
      </c>
      <c r="H185" s="546"/>
      <c r="I185" s="546"/>
      <c r="J185" s="529"/>
    </row>
    <row r="186" spans="1:10" x14ac:dyDescent="0.25">
      <c r="A186" s="546"/>
      <c r="B186" s="546"/>
      <c r="C186" s="546"/>
      <c r="D186" s="546"/>
      <c r="E186" s="546"/>
      <c r="F186" s="546"/>
      <c r="G186" s="546"/>
      <c r="H186" s="546" t="s">
        <v>1365</v>
      </c>
      <c r="I186" s="546"/>
      <c r="J186" s="529">
        <v>14100</v>
      </c>
    </row>
    <row r="187" spans="1:10" x14ac:dyDescent="0.25">
      <c r="A187" s="546"/>
      <c r="B187" s="546"/>
      <c r="C187" s="546"/>
      <c r="D187" s="546"/>
      <c r="E187" s="546"/>
      <c r="F187" s="546"/>
      <c r="G187" s="546"/>
      <c r="H187" s="546" t="s">
        <v>1366</v>
      </c>
      <c r="I187" s="546"/>
      <c r="J187" s="529">
        <v>8034</v>
      </c>
    </row>
    <row r="188" spans="1:10" x14ac:dyDescent="0.25">
      <c r="A188" s="546"/>
      <c r="B188" s="546"/>
      <c r="C188" s="546"/>
      <c r="D188" s="546"/>
      <c r="E188" s="546"/>
      <c r="F188" s="546"/>
      <c r="G188" s="546"/>
      <c r="H188" s="546" t="s">
        <v>1372</v>
      </c>
      <c r="I188" s="546"/>
      <c r="J188" s="529">
        <v>0</v>
      </c>
    </row>
    <row r="189" spans="1:10" x14ac:dyDescent="0.25">
      <c r="A189" s="546"/>
      <c r="B189" s="546"/>
      <c r="C189" s="546"/>
      <c r="D189" s="546"/>
      <c r="E189" s="546"/>
      <c r="F189" s="546"/>
      <c r="G189" s="546"/>
      <c r="H189" s="546" t="s">
        <v>1374</v>
      </c>
      <c r="I189" s="546"/>
      <c r="J189" s="529">
        <v>0</v>
      </c>
    </row>
    <row r="190" spans="1:10" x14ac:dyDescent="0.25">
      <c r="A190" s="546"/>
      <c r="B190" s="546"/>
      <c r="C190" s="546"/>
      <c r="D190" s="546"/>
      <c r="E190" s="546"/>
      <c r="F190" s="546"/>
      <c r="G190" s="546"/>
      <c r="H190" s="546" t="s">
        <v>1375</v>
      </c>
      <c r="I190" s="546"/>
      <c r="J190" s="529">
        <v>16320</v>
      </c>
    </row>
    <row r="191" spans="1:10" x14ac:dyDescent="0.25">
      <c r="A191" s="546"/>
      <c r="B191" s="546"/>
      <c r="C191" s="546"/>
      <c r="D191" s="546"/>
      <c r="E191" s="546"/>
      <c r="F191" s="546"/>
      <c r="G191" s="546"/>
      <c r="H191" s="546" t="s">
        <v>1376</v>
      </c>
      <c r="I191" s="546"/>
      <c r="J191" s="529">
        <v>203000</v>
      </c>
    </row>
    <row r="192" spans="1:10" x14ac:dyDescent="0.25">
      <c r="A192" s="546"/>
      <c r="B192" s="546"/>
      <c r="C192" s="546"/>
      <c r="D192" s="546"/>
      <c r="E192" s="546"/>
      <c r="F192" s="546"/>
      <c r="G192" s="546"/>
      <c r="H192" s="546" t="s">
        <v>1377</v>
      </c>
      <c r="I192" s="546"/>
      <c r="J192" s="529">
        <v>0</v>
      </c>
    </row>
    <row r="193" spans="1:10" x14ac:dyDescent="0.25">
      <c r="A193" s="546"/>
      <c r="B193" s="546"/>
      <c r="C193" s="546"/>
      <c r="D193" s="546"/>
      <c r="E193" s="546"/>
      <c r="F193" s="546"/>
      <c r="G193" s="546"/>
      <c r="H193" s="546" t="s">
        <v>1378</v>
      </c>
      <c r="I193" s="546"/>
      <c r="J193" s="529">
        <v>2340</v>
      </c>
    </row>
    <row r="194" spans="1:10" x14ac:dyDescent="0.25">
      <c r="A194" s="546"/>
      <c r="B194" s="546"/>
      <c r="C194" s="546"/>
      <c r="D194" s="546"/>
      <c r="E194" s="546"/>
      <c r="F194" s="546"/>
      <c r="G194" s="546"/>
      <c r="H194" s="546" t="s">
        <v>1379</v>
      </c>
      <c r="I194" s="546"/>
      <c r="J194" s="529">
        <v>0</v>
      </c>
    </row>
    <row r="195" spans="1:10" x14ac:dyDescent="0.25">
      <c r="A195" s="546"/>
      <c r="B195" s="546"/>
      <c r="C195" s="546"/>
      <c r="D195" s="546"/>
      <c r="E195" s="546"/>
      <c r="F195" s="546"/>
      <c r="G195" s="546"/>
      <c r="H195" s="546" t="s">
        <v>1566</v>
      </c>
      <c r="I195" s="546"/>
      <c r="J195" s="529">
        <v>0</v>
      </c>
    </row>
    <row r="196" spans="1:10" x14ac:dyDescent="0.25">
      <c r="A196" s="546"/>
      <c r="B196" s="546"/>
      <c r="C196" s="546"/>
      <c r="D196" s="546"/>
      <c r="E196" s="546"/>
      <c r="F196" s="546"/>
      <c r="G196" s="546"/>
      <c r="H196" s="546" t="s">
        <v>1380</v>
      </c>
      <c r="I196" s="546"/>
      <c r="J196" s="529">
        <v>18010</v>
      </c>
    </row>
    <row r="197" spans="1:10" x14ac:dyDescent="0.25">
      <c r="A197" s="546"/>
      <c r="B197" s="546"/>
      <c r="C197" s="546"/>
      <c r="D197" s="546"/>
      <c r="E197" s="546"/>
      <c r="F197" s="546"/>
      <c r="G197" s="546"/>
      <c r="H197" s="546" t="s">
        <v>1381</v>
      </c>
      <c r="I197" s="546"/>
      <c r="J197" s="529">
        <v>0</v>
      </c>
    </row>
    <row r="198" spans="1:10" ht="15.75" thickBot="1" x14ac:dyDescent="0.3">
      <c r="A198" s="546"/>
      <c r="B198" s="546"/>
      <c r="C198" s="546"/>
      <c r="D198" s="546"/>
      <c r="E198" s="546"/>
      <c r="F198" s="546"/>
      <c r="G198" s="546"/>
      <c r="H198" s="546" t="s">
        <v>1567</v>
      </c>
      <c r="I198" s="546"/>
      <c r="J198" s="534">
        <v>0</v>
      </c>
    </row>
    <row r="199" spans="1:10" x14ac:dyDescent="0.25">
      <c r="A199" s="546"/>
      <c r="B199" s="546"/>
      <c r="C199" s="546"/>
      <c r="D199" s="546"/>
      <c r="E199" s="546"/>
      <c r="F199" s="546"/>
      <c r="G199" s="546" t="s">
        <v>1382</v>
      </c>
      <c r="H199" s="546"/>
      <c r="I199" s="546"/>
      <c r="J199" s="529">
        <f>ROUND(SUM(J185:J198),5)</f>
        <v>261804</v>
      </c>
    </row>
    <row r="200" spans="1:10" x14ac:dyDescent="0.25">
      <c r="A200" s="546"/>
      <c r="B200" s="546"/>
      <c r="C200" s="546"/>
      <c r="D200" s="546"/>
      <c r="E200" s="546"/>
      <c r="F200" s="546"/>
      <c r="G200" s="546" t="s">
        <v>1383</v>
      </c>
      <c r="H200" s="546"/>
      <c r="I200" s="546"/>
      <c r="J200" s="529"/>
    </row>
    <row r="201" spans="1:10" x14ac:dyDescent="0.25">
      <c r="A201" s="546"/>
      <c r="B201" s="546"/>
      <c r="C201" s="546"/>
      <c r="D201" s="546"/>
      <c r="E201" s="546"/>
      <c r="F201" s="546"/>
      <c r="G201" s="546"/>
      <c r="H201" s="546" t="s">
        <v>1384</v>
      </c>
      <c r="I201" s="546"/>
      <c r="J201" s="529">
        <v>0</v>
      </c>
    </row>
    <row r="202" spans="1:10" x14ac:dyDescent="0.25">
      <c r="A202" s="546"/>
      <c r="B202" s="546"/>
      <c r="C202" s="546"/>
      <c r="D202" s="546"/>
      <c r="E202" s="546"/>
      <c r="F202" s="546"/>
      <c r="G202" s="546"/>
      <c r="H202" s="546" t="s">
        <v>1385</v>
      </c>
      <c r="I202" s="546"/>
      <c r="J202" s="529">
        <v>0</v>
      </c>
    </row>
    <row r="203" spans="1:10" x14ac:dyDescent="0.25">
      <c r="A203" s="546"/>
      <c r="B203" s="546"/>
      <c r="C203" s="546"/>
      <c r="D203" s="546"/>
      <c r="E203" s="546"/>
      <c r="F203" s="546"/>
      <c r="G203" s="546"/>
      <c r="H203" s="546" t="s">
        <v>1386</v>
      </c>
      <c r="I203" s="546"/>
      <c r="J203" s="529">
        <v>0</v>
      </c>
    </row>
    <row r="204" spans="1:10" x14ac:dyDescent="0.25">
      <c r="A204" s="546"/>
      <c r="B204" s="546"/>
      <c r="C204" s="546"/>
      <c r="D204" s="546"/>
      <c r="E204" s="546"/>
      <c r="F204" s="546"/>
      <c r="G204" s="546"/>
      <c r="H204" s="546" t="s">
        <v>1387</v>
      </c>
      <c r="I204" s="546"/>
      <c r="J204" s="529">
        <v>0</v>
      </c>
    </row>
    <row r="205" spans="1:10" x14ac:dyDescent="0.25">
      <c r="A205" s="546"/>
      <c r="B205" s="546"/>
      <c r="C205" s="546"/>
      <c r="D205" s="546"/>
      <c r="E205" s="546"/>
      <c r="F205" s="546"/>
      <c r="G205" s="546"/>
      <c r="H205" s="546" t="s">
        <v>1389</v>
      </c>
      <c r="I205" s="546"/>
      <c r="J205" s="529">
        <v>0</v>
      </c>
    </row>
    <row r="206" spans="1:10" ht="15.75" thickBot="1" x14ac:dyDescent="0.3">
      <c r="A206" s="546"/>
      <c r="B206" s="546"/>
      <c r="C206" s="546"/>
      <c r="D206" s="546"/>
      <c r="E206" s="546"/>
      <c r="F206" s="546"/>
      <c r="G206" s="546"/>
      <c r="H206" s="546" t="s">
        <v>1390</v>
      </c>
      <c r="I206" s="546"/>
      <c r="J206" s="534">
        <v>0</v>
      </c>
    </row>
    <row r="207" spans="1:10" x14ac:dyDescent="0.25">
      <c r="A207" s="546"/>
      <c r="B207" s="546"/>
      <c r="C207" s="546"/>
      <c r="D207" s="546"/>
      <c r="E207" s="546"/>
      <c r="F207" s="546"/>
      <c r="G207" s="546" t="s">
        <v>1392</v>
      </c>
      <c r="H207" s="546"/>
      <c r="I207" s="546"/>
      <c r="J207" s="529">
        <f>ROUND(SUM(J200:J206),5)</f>
        <v>0</v>
      </c>
    </row>
    <row r="208" spans="1:10" x14ac:dyDescent="0.25">
      <c r="A208" s="546"/>
      <c r="B208" s="546"/>
      <c r="C208" s="546"/>
      <c r="D208" s="546"/>
      <c r="E208" s="546"/>
      <c r="F208" s="546"/>
      <c r="G208" s="546" t="s">
        <v>1393</v>
      </c>
      <c r="H208" s="546"/>
      <c r="I208" s="546"/>
      <c r="J208" s="529"/>
    </row>
    <row r="209" spans="1:10" x14ac:dyDescent="0.25">
      <c r="A209" s="546"/>
      <c r="B209" s="546"/>
      <c r="C209" s="546"/>
      <c r="D209" s="546"/>
      <c r="E209" s="546"/>
      <c r="F209" s="546"/>
      <c r="G209" s="546"/>
      <c r="H209" s="546" t="s">
        <v>1394</v>
      </c>
      <c r="I209" s="546"/>
      <c r="J209" s="529">
        <v>0</v>
      </c>
    </row>
    <row r="210" spans="1:10" x14ac:dyDescent="0.25">
      <c r="A210" s="546"/>
      <c r="B210" s="546"/>
      <c r="C210" s="546"/>
      <c r="D210" s="546"/>
      <c r="E210" s="546"/>
      <c r="F210" s="546"/>
      <c r="G210" s="546"/>
      <c r="H210" s="546" t="s">
        <v>1395</v>
      </c>
      <c r="I210" s="546"/>
      <c r="J210" s="529">
        <v>0</v>
      </c>
    </row>
    <row r="211" spans="1:10" x14ac:dyDescent="0.25">
      <c r="A211" s="546"/>
      <c r="B211" s="546"/>
      <c r="C211" s="546"/>
      <c r="D211" s="546"/>
      <c r="E211" s="546"/>
      <c r="F211" s="546"/>
      <c r="G211" s="546"/>
      <c r="H211" s="546" t="s">
        <v>1396</v>
      </c>
      <c r="I211" s="546"/>
      <c r="J211" s="529">
        <v>0</v>
      </c>
    </row>
    <row r="212" spans="1:10" x14ac:dyDescent="0.25">
      <c r="A212" s="546"/>
      <c r="B212" s="546"/>
      <c r="C212" s="546"/>
      <c r="D212" s="546"/>
      <c r="E212" s="546"/>
      <c r="F212" s="546"/>
      <c r="G212" s="546"/>
      <c r="H212" s="546" t="s">
        <v>1397</v>
      </c>
      <c r="I212" s="546"/>
      <c r="J212" s="529">
        <v>0</v>
      </c>
    </row>
    <row r="213" spans="1:10" ht="15.75" thickBot="1" x14ac:dyDescent="0.3">
      <c r="A213" s="546"/>
      <c r="B213" s="546"/>
      <c r="C213" s="546"/>
      <c r="D213" s="546"/>
      <c r="E213" s="546"/>
      <c r="F213" s="546"/>
      <c r="G213" s="546"/>
      <c r="H213" s="546" t="s">
        <v>1398</v>
      </c>
      <c r="I213" s="546"/>
      <c r="J213" s="534">
        <v>0</v>
      </c>
    </row>
    <row r="214" spans="1:10" x14ac:dyDescent="0.25">
      <c r="A214" s="546"/>
      <c r="B214" s="546"/>
      <c r="C214" s="546"/>
      <c r="D214" s="546"/>
      <c r="E214" s="546"/>
      <c r="F214" s="546"/>
      <c r="G214" s="546" t="s">
        <v>1399</v>
      </c>
      <c r="H214" s="546"/>
      <c r="I214" s="546"/>
      <c r="J214" s="529">
        <f>ROUND(SUM(J208:J213),5)</f>
        <v>0</v>
      </c>
    </row>
    <row r="215" spans="1:10" x14ac:dyDescent="0.25">
      <c r="A215" s="546"/>
      <c r="B215" s="546"/>
      <c r="C215" s="546"/>
      <c r="D215" s="546"/>
      <c r="E215" s="546"/>
      <c r="F215" s="546"/>
      <c r="G215" s="546" t="s">
        <v>1400</v>
      </c>
      <c r="H215" s="546"/>
      <c r="I215" s="546"/>
      <c r="J215" s="529"/>
    </row>
    <row r="216" spans="1:10" x14ac:dyDescent="0.25">
      <c r="A216" s="546"/>
      <c r="B216" s="546"/>
      <c r="C216" s="546"/>
      <c r="D216" s="546"/>
      <c r="E216" s="546"/>
      <c r="F216" s="546"/>
      <c r="G216" s="546"/>
      <c r="H216" s="546" t="s">
        <v>1568</v>
      </c>
      <c r="I216" s="546"/>
      <c r="J216" s="529">
        <v>0</v>
      </c>
    </row>
    <row r="217" spans="1:10" x14ac:dyDescent="0.25">
      <c r="A217" s="546"/>
      <c r="B217" s="546"/>
      <c r="C217" s="546"/>
      <c r="D217" s="546"/>
      <c r="E217" s="546"/>
      <c r="F217" s="546"/>
      <c r="G217" s="546"/>
      <c r="H217" s="546" t="s">
        <v>1401</v>
      </c>
      <c r="I217" s="546"/>
      <c r="J217" s="529">
        <v>15000</v>
      </c>
    </row>
    <row r="218" spans="1:10" x14ac:dyDescent="0.25">
      <c r="A218" s="546"/>
      <c r="B218" s="546"/>
      <c r="C218" s="546"/>
      <c r="D218" s="546"/>
      <c r="E218" s="546"/>
      <c r="F218" s="546"/>
      <c r="G218" s="546"/>
      <c r="H218" s="546" t="s">
        <v>1402</v>
      </c>
      <c r="I218" s="546"/>
      <c r="J218" s="529">
        <v>0</v>
      </c>
    </row>
    <row r="219" spans="1:10" x14ac:dyDescent="0.25">
      <c r="A219" s="546"/>
      <c r="B219" s="546"/>
      <c r="C219" s="546"/>
      <c r="D219" s="546"/>
      <c r="E219" s="546"/>
      <c r="F219" s="546"/>
      <c r="G219" s="546"/>
      <c r="H219" s="546" t="s">
        <v>1404</v>
      </c>
      <c r="I219" s="546"/>
      <c r="J219" s="529">
        <v>0</v>
      </c>
    </row>
    <row r="220" spans="1:10" x14ac:dyDescent="0.25">
      <c r="A220" s="546"/>
      <c r="B220" s="546"/>
      <c r="C220" s="546"/>
      <c r="D220" s="546"/>
      <c r="E220" s="546"/>
      <c r="F220" s="546"/>
      <c r="G220" s="546"/>
      <c r="H220" s="546" t="s">
        <v>1405</v>
      </c>
      <c r="I220" s="546"/>
      <c r="J220" s="529">
        <v>0</v>
      </c>
    </row>
    <row r="221" spans="1:10" x14ac:dyDescent="0.25">
      <c r="A221" s="546"/>
      <c r="B221" s="546"/>
      <c r="C221" s="546"/>
      <c r="D221" s="546"/>
      <c r="E221" s="546"/>
      <c r="F221" s="546"/>
      <c r="G221" s="546"/>
      <c r="H221" s="546" t="s">
        <v>1406</v>
      </c>
      <c r="I221" s="546"/>
      <c r="J221" s="529">
        <v>0</v>
      </c>
    </row>
    <row r="222" spans="1:10" x14ac:dyDescent="0.25">
      <c r="A222" s="546"/>
      <c r="B222" s="546"/>
      <c r="C222" s="546"/>
      <c r="D222" s="546"/>
      <c r="E222" s="546"/>
      <c r="F222" s="546"/>
      <c r="G222" s="546"/>
      <c r="H222" s="546" t="s">
        <v>1408</v>
      </c>
      <c r="I222" s="546"/>
      <c r="J222" s="529"/>
    </row>
    <row r="223" spans="1:10" x14ac:dyDescent="0.25">
      <c r="A223" s="546"/>
      <c r="B223" s="546"/>
      <c r="C223" s="546"/>
      <c r="D223" s="546"/>
      <c r="E223" s="546"/>
      <c r="F223" s="546"/>
      <c r="G223" s="546"/>
      <c r="H223" s="546"/>
      <c r="I223" s="546" t="s">
        <v>1409</v>
      </c>
      <c r="J223" s="529">
        <v>-29241</v>
      </c>
    </row>
    <row r="224" spans="1:10" x14ac:dyDescent="0.25">
      <c r="A224" s="546"/>
      <c r="B224" s="546"/>
      <c r="C224" s="546"/>
      <c r="D224" s="546"/>
      <c r="E224" s="546"/>
      <c r="F224" s="546"/>
      <c r="G224" s="546"/>
      <c r="H224" s="546"/>
      <c r="I224" s="546" t="s">
        <v>1410</v>
      </c>
      <c r="J224" s="529">
        <v>0</v>
      </c>
    </row>
    <row r="225" spans="1:10" x14ac:dyDescent="0.25">
      <c r="A225" s="546"/>
      <c r="B225" s="546"/>
      <c r="C225" s="546"/>
      <c r="D225" s="546"/>
      <c r="E225" s="546"/>
      <c r="F225" s="546"/>
      <c r="G225" s="546"/>
      <c r="H225" s="546"/>
      <c r="I225" s="546" t="s">
        <v>1412</v>
      </c>
      <c r="J225" s="529">
        <v>0</v>
      </c>
    </row>
    <row r="226" spans="1:10" x14ac:dyDescent="0.25">
      <c r="A226" s="546"/>
      <c r="B226" s="546"/>
      <c r="C226" s="546"/>
      <c r="D226" s="546"/>
      <c r="E226" s="546"/>
      <c r="F226" s="546"/>
      <c r="G226" s="546"/>
      <c r="H226" s="546"/>
      <c r="I226" s="546" t="s">
        <v>1569</v>
      </c>
      <c r="J226" s="529">
        <v>0</v>
      </c>
    </row>
    <row r="227" spans="1:10" ht="15.75" thickBot="1" x14ac:dyDescent="0.3">
      <c r="A227" s="546"/>
      <c r="B227" s="546"/>
      <c r="C227" s="546"/>
      <c r="D227" s="546"/>
      <c r="E227" s="546"/>
      <c r="F227" s="546"/>
      <c r="G227" s="546"/>
      <c r="H227" s="546"/>
      <c r="I227" s="546" t="s">
        <v>1414</v>
      </c>
      <c r="J227" s="534">
        <v>0</v>
      </c>
    </row>
    <row r="228" spans="1:10" x14ac:dyDescent="0.25">
      <c r="A228" s="546"/>
      <c r="B228" s="546"/>
      <c r="C228" s="546"/>
      <c r="D228" s="546"/>
      <c r="E228" s="546"/>
      <c r="F228" s="546"/>
      <c r="G228" s="546"/>
      <c r="H228" s="546" t="s">
        <v>1415</v>
      </c>
      <c r="I228" s="546"/>
      <c r="J228" s="529">
        <f>ROUND(SUM(J224:J227),5)</f>
        <v>0</v>
      </c>
    </row>
    <row r="229" spans="1:10" x14ac:dyDescent="0.25">
      <c r="A229" s="546"/>
      <c r="B229" s="546"/>
      <c r="C229" s="546"/>
      <c r="D229" s="546"/>
      <c r="E229" s="546"/>
      <c r="F229" s="546"/>
      <c r="G229" s="546"/>
      <c r="H229" s="546" t="s">
        <v>1570</v>
      </c>
      <c r="I229" s="546"/>
      <c r="J229" s="529">
        <v>0</v>
      </c>
    </row>
    <row r="230" spans="1:10" ht="15.75" thickBot="1" x14ac:dyDescent="0.3">
      <c r="A230" s="546"/>
      <c r="B230" s="546"/>
      <c r="C230" s="546"/>
      <c r="D230" s="546"/>
      <c r="E230" s="546"/>
      <c r="F230" s="546"/>
      <c r="G230" s="546"/>
      <c r="H230" s="546" t="s">
        <v>1416</v>
      </c>
      <c r="I230" s="546"/>
      <c r="J230" s="534">
        <v>0</v>
      </c>
    </row>
    <row r="231" spans="1:10" x14ac:dyDescent="0.25">
      <c r="A231" s="546"/>
      <c r="B231" s="546"/>
      <c r="C231" s="546"/>
      <c r="D231" s="546"/>
      <c r="E231" s="546"/>
      <c r="F231" s="546"/>
      <c r="G231" s="546" t="s">
        <v>1417</v>
      </c>
      <c r="H231" s="546"/>
      <c r="I231" s="546"/>
      <c r="J231" s="529">
        <f>ROUND(SUM(J215:J221)+SUM(J228:J230),5)</f>
        <v>15000</v>
      </c>
    </row>
    <row r="232" spans="1:10" x14ac:dyDescent="0.25">
      <c r="A232" s="546"/>
      <c r="B232" s="546"/>
      <c r="C232" s="546"/>
      <c r="D232" s="546"/>
      <c r="E232" s="546"/>
      <c r="F232" s="546"/>
      <c r="G232" s="546" t="s">
        <v>1418</v>
      </c>
      <c r="H232" s="546"/>
      <c r="I232" s="546"/>
      <c r="J232" s="529"/>
    </row>
    <row r="233" spans="1:10" x14ac:dyDescent="0.25">
      <c r="A233" s="546"/>
      <c r="B233" s="546"/>
      <c r="C233" s="546"/>
      <c r="D233" s="546"/>
      <c r="E233" s="546"/>
      <c r="F233" s="546"/>
      <c r="G233" s="546"/>
      <c r="H233" s="546" t="s">
        <v>754</v>
      </c>
      <c r="I233" s="546"/>
      <c r="J233" s="529">
        <v>366274.47</v>
      </c>
    </row>
    <row r="234" spans="1:10" x14ac:dyDescent="0.25">
      <c r="A234" s="546"/>
      <c r="B234" s="546"/>
      <c r="C234" s="546"/>
      <c r="D234" s="546"/>
      <c r="E234" s="546"/>
      <c r="F234" s="546"/>
      <c r="G234" s="546"/>
      <c r="H234" s="546" t="s">
        <v>749</v>
      </c>
      <c r="I234" s="546"/>
      <c r="J234" s="529">
        <v>182178.48</v>
      </c>
    </row>
    <row r="235" spans="1:10" x14ac:dyDescent="0.25">
      <c r="A235" s="546"/>
      <c r="B235" s="546"/>
      <c r="C235" s="546"/>
      <c r="D235" s="546"/>
      <c r="E235" s="546"/>
      <c r="F235" s="546"/>
      <c r="G235" s="546"/>
      <c r="H235" s="546" t="s">
        <v>750</v>
      </c>
      <c r="I235" s="546"/>
      <c r="J235" s="529">
        <v>439412.31</v>
      </c>
    </row>
    <row r="236" spans="1:10" ht="15.75" thickBot="1" x14ac:dyDescent="0.3">
      <c r="A236" s="546"/>
      <c r="B236" s="546"/>
      <c r="C236" s="546"/>
      <c r="D236" s="546"/>
      <c r="E236" s="546"/>
      <c r="F236" s="546"/>
      <c r="G236" s="546"/>
      <c r="H236" s="546" t="s">
        <v>751</v>
      </c>
      <c r="I236" s="546"/>
      <c r="J236" s="534">
        <v>150714.15</v>
      </c>
    </row>
    <row r="237" spans="1:10" x14ac:dyDescent="0.25">
      <c r="A237" s="546"/>
      <c r="B237" s="546"/>
      <c r="C237" s="546"/>
      <c r="D237" s="546"/>
      <c r="E237" s="546"/>
      <c r="F237" s="546"/>
      <c r="G237" s="546" t="s">
        <v>1419</v>
      </c>
      <c r="H237" s="546"/>
      <c r="I237" s="546"/>
      <c r="J237" s="529">
        <f>ROUND(SUM(J232:J236),5)</f>
        <v>1138579.4099999999</v>
      </c>
    </row>
    <row r="238" spans="1:10" x14ac:dyDescent="0.25">
      <c r="A238" s="546"/>
      <c r="B238" s="546"/>
      <c r="C238" s="546"/>
      <c r="D238" s="546"/>
      <c r="E238" s="546"/>
      <c r="F238" s="546"/>
      <c r="G238" s="546" t="s">
        <v>1420</v>
      </c>
      <c r="H238" s="546"/>
      <c r="I238" s="546"/>
      <c r="J238" s="529"/>
    </row>
    <row r="239" spans="1:10" ht="15.75" thickBot="1" x14ac:dyDescent="0.3">
      <c r="A239" s="546"/>
      <c r="B239" s="546"/>
      <c r="C239" s="546"/>
      <c r="D239" s="546"/>
      <c r="E239" s="546"/>
      <c r="F239" s="546"/>
      <c r="G239" s="546"/>
      <c r="H239" s="546" t="s">
        <v>1421</v>
      </c>
      <c r="I239" s="546"/>
      <c r="J239" s="534">
        <v>7130</v>
      </c>
    </row>
    <row r="240" spans="1:10" x14ac:dyDescent="0.25">
      <c r="A240" s="546"/>
      <c r="B240" s="546"/>
      <c r="C240" s="546"/>
      <c r="D240" s="546"/>
      <c r="E240" s="546"/>
      <c r="F240" s="546"/>
      <c r="G240" s="546" t="s">
        <v>1422</v>
      </c>
      <c r="H240" s="546"/>
      <c r="I240" s="546"/>
      <c r="J240" s="529">
        <f>ROUND(SUM(J238:J239),5)</f>
        <v>7130</v>
      </c>
    </row>
    <row r="241" spans="1:10" x14ac:dyDescent="0.25">
      <c r="A241" s="546"/>
      <c r="B241" s="546"/>
      <c r="C241" s="546"/>
      <c r="D241" s="546"/>
      <c r="E241" s="546"/>
      <c r="F241" s="546"/>
      <c r="G241" s="546" t="s">
        <v>1423</v>
      </c>
      <c r="H241" s="546"/>
      <c r="I241" s="546"/>
      <c r="J241" s="529"/>
    </row>
    <row r="242" spans="1:10" x14ac:dyDescent="0.25">
      <c r="A242" s="546"/>
      <c r="B242" s="546"/>
      <c r="C242" s="546"/>
      <c r="D242" s="546"/>
      <c r="E242" s="546"/>
      <c r="F242" s="546"/>
      <c r="G242" s="546"/>
      <c r="H242" s="546" t="s">
        <v>1424</v>
      </c>
      <c r="I242" s="546"/>
      <c r="J242" s="529">
        <v>196026.73</v>
      </c>
    </row>
    <row r="243" spans="1:10" x14ac:dyDescent="0.25">
      <c r="A243" s="546"/>
      <c r="B243" s="546"/>
      <c r="C243" s="546"/>
      <c r="D243" s="546"/>
      <c r="E243" s="546"/>
      <c r="F243" s="546"/>
      <c r="G243" s="546"/>
      <c r="H243" s="546" t="s">
        <v>1425</v>
      </c>
      <c r="I243" s="546"/>
      <c r="J243" s="529">
        <v>74561.5</v>
      </c>
    </row>
    <row r="244" spans="1:10" x14ac:dyDescent="0.25">
      <c r="A244" s="546"/>
      <c r="B244" s="546"/>
      <c r="C244" s="546"/>
      <c r="D244" s="546"/>
      <c r="E244" s="546"/>
      <c r="F244" s="546"/>
      <c r="G244" s="546"/>
      <c r="H244" s="546" t="s">
        <v>1426</v>
      </c>
      <c r="I244" s="546"/>
      <c r="J244" s="529">
        <v>2797422.34</v>
      </c>
    </row>
    <row r="245" spans="1:10" x14ac:dyDescent="0.25">
      <c r="A245" s="546"/>
      <c r="B245" s="546"/>
      <c r="C245" s="546"/>
      <c r="D245" s="546"/>
      <c r="E245" s="546"/>
      <c r="F245" s="546"/>
      <c r="G245" s="546"/>
      <c r="H245" s="546" t="s">
        <v>1427</v>
      </c>
      <c r="I245" s="546"/>
      <c r="J245" s="529">
        <v>51603.81</v>
      </c>
    </row>
    <row r="246" spans="1:10" x14ac:dyDescent="0.25">
      <c r="A246" s="546"/>
      <c r="B246" s="546"/>
      <c r="C246" s="546"/>
      <c r="D246" s="546"/>
      <c r="E246" s="546"/>
      <c r="F246" s="546"/>
      <c r="G246" s="546"/>
      <c r="H246" s="546" t="s">
        <v>1428</v>
      </c>
      <c r="I246" s="546"/>
      <c r="J246" s="529">
        <v>92.38</v>
      </c>
    </row>
    <row r="247" spans="1:10" ht="15.75" thickBot="1" x14ac:dyDescent="0.3">
      <c r="A247" s="546"/>
      <c r="B247" s="546"/>
      <c r="C247" s="546"/>
      <c r="D247" s="546"/>
      <c r="E247" s="546"/>
      <c r="F247" s="546"/>
      <c r="G247" s="546"/>
      <c r="H247" s="546" t="s">
        <v>1433</v>
      </c>
      <c r="I247" s="546"/>
      <c r="J247" s="530">
        <v>51745.66</v>
      </c>
    </row>
    <row r="248" spans="1:10" ht="15.75" thickBot="1" x14ac:dyDescent="0.3">
      <c r="A248" s="546"/>
      <c r="B248" s="546"/>
      <c r="C248" s="546"/>
      <c r="D248" s="546"/>
      <c r="E248" s="546"/>
      <c r="F248" s="546"/>
      <c r="G248" s="546" t="s">
        <v>1435</v>
      </c>
      <c r="H248" s="546"/>
      <c r="I248" s="546"/>
      <c r="J248" s="531">
        <f>ROUND(SUM(J241:J247),5)</f>
        <v>3171452.42</v>
      </c>
    </row>
    <row r="249" spans="1:10" ht="15.75" thickBot="1" x14ac:dyDescent="0.3">
      <c r="A249" s="546"/>
      <c r="B249" s="546"/>
      <c r="C249" s="546"/>
      <c r="D249" s="546"/>
      <c r="E249" s="546"/>
      <c r="F249" s="546" t="s">
        <v>1437</v>
      </c>
      <c r="G249" s="546"/>
      <c r="H249" s="546"/>
      <c r="I249" s="546"/>
      <c r="J249" s="548">
        <f>ROUND(J179+J184+J199+J207+J214+J231+J237+J240+J248,5)</f>
        <v>6127715.8300000001</v>
      </c>
    </row>
    <row r="250" spans="1:10" x14ac:dyDescent="0.25">
      <c r="A250" s="546"/>
      <c r="B250" s="546"/>
      <c r="C250" s="546"/>
      <c r="D250" s="546"/>
      <c r="E250" s="546" t="s">
        <v>1438</v>
      </c>
      <c r="F250" s="546"/>
      <c r="G250" s="546"/>
      <c r="H250" s="546"/>
      <c r="I250" s="546"/>
      <c r="J250" s="529">
        <f>ROUND(J47+J98+J146+J159+J178+J249,5)</f>
        <v>12663845.08</v>
      </c>
    </row>
    <row r="251" spans="1:10" x14ac:dyDescent="0.25">
      <c r="A251" s="546"/>
      <c r="B251" s="546"/>
      <c r="C251" s="546"/>
      <c r="D251" s="546"/>
      <c r="E251" s="546" t="s">
        <v>1439</v>
      </c>
      <c r="F251" s="546"/>
      <c r="G251" s="546"/>
      <c r="H251" s="546"/>
      <c r="I251" s="546"/>
      <c r="J251" s="529"/>
    </row>
    <row r="252" spans="1:10" x14ac:dyDescent="0.25">
      <c r="A252" s="546"/>
      <c r="B252" s="546"/>
      <c r="C252" s="546"/>
      <c r="D252" s="546"/>
      <c r="E252" s="546"/>
      <c r="F252" s="546" t="s">
        <v>1571</v>
      </c>
      <c r="G252" s="546"/>
      <c r="H252" s="546"/>
      <c r="I252" s="546"/>
      <c r="J252" s="529">
        <v>7920</v>
      </c>
    </row>
    <row r="253" spans="1:10" x14ac:dyDescent="0.25">
      <c r="A253" s="546"/>
      <c r="B253" s="546"/>
      <c r="C253" s="546"/>
      <c r="D253" s="546"/>
      <c r="E253" s="546"/>
      <c r="F253" s="546" t="s">
        <v>1572</v>
      </c>
      <c r="G253" s="546"/>
      <c r="H253" s="546"/>
      <c r="I253" s="546"/>
      <c r="J253" s="529">
        <v>145000</v>
      </c>
    </row>
    <row r="254" spans="1:10" x14ac:dyDescent="0.25">
      <c r="A254" s="546"/>
      <c r="B254" s="546"/>
      <c r="C254" s="546"/>
      <c r="D254" s="546"/>
      <c r="E254" s="546"/>
      <c r="F254" s="546" t="s">
        <v>1573</v>
      </c>
      <c r="G254" s="546"/>
      <c r="H254" s="546"/>
      <c r="I254" s="546"/>
      <c r="J254" s="529">
        <v>1200</v>
      </c>
    </row>
    <row r="255" spans="1:10" x14ac:dyDescent="0.25">
      <c r="A255" s="546"/>
      <c r="B255" s="546"/>
      <c r="C255" s="546"/>
      <c r="D255" s="546"/>
      <c r="E255" s="546"/>
      <c r="F255" s="546" t="s">
        <v>1574</v>
      </c>
      <c r="G255" s="546"/>
      <c r="H255" s="546"/>
      <c r="I255" s="546"/>
      <c r="J255" s="529">
        <v>1566</v>
      </c>
    </row>
    <row r="256" spans="1:10" x14ac:dyDescent="0.25">
      <c r="A256" s="546"/>
      <c r="B256" s="546"/>
      <c r="C256" s="546"/>
      <c r="D256" s="546"/>
      <c r="E256" s="546"/>
      <c r="F256" s="546" t="s">
        <v>1575</v>
      </c>
      <c r="G256" s="546"/>
      <c r="H256" s="546"/>
      <c r="I256" s="546"/>
      <c r="J256" s="529">
        <v>300</v>
      </c>
    </row>
    <row r="257" spans="1:10" ht="15.75" thickBot="1" x14ac:dyDescent="0.3">
      <c r="A257" s="546"/>
      <c r="B257" s="546"/>
      <c r="C257" s="546"/>
      <c r="D257" s="546"/>
      <c r="E257" s="546"/>
      <c r="F257" s="546" t="s">
        <v>1576</v>
      </c>
      <c r="G257" s="546"/>
      <c r="H257" s="546"/>
      <c r="I257" s="546"/>
      <c r="J257" s="530">
        <v>761513.75</v>
      </c>
    </row>
    <row r="258" spans="1:10" ht="15.75" thickBot="1" x14ac:dyDescent="0.3">
      <c r="A258" s="546"/>
      <c r="B258" s="546"/>
      <c r="C258" s="546"/>
      <c r="D258" s="546"/>
      <c r="E258" s="546" t="s">
        <v>1577</v>
      </c>
      <c r="F258" s="546"/>
      <c r="G258" s="546"/>
      <c r="H258" s="546"/>
      <c r="I258" s="546"/>
      <c r="J258" s="531">
        <f>ROUND(SUM(J251:J257),5)</f>
        <v>917499.75</v>
      </c>
    </row>
    <row r="259" spans="1:10" ht="15.75" thickBot="1" x14ac:dyDescent="0.3">
      <c r="A259" s="546"/>
      <c r="B259" s="546"/>
      <c r="C259" s="546"/>
      <c r="D259" s="546" t="s">
        <v>1440</v>
      </c>
      <c r="E259" s="546"/>
      <c r="F259" s="546"/>
      <c r="G259" s="546"/>
      <c r="H259" s="546"/>
      <c r="I259" s="546"/>
      <c r="J259" s="548">
        <f>ROUND(J46+J250+J258,5)</f>
        <v>13581344.83</v>
      </c>
    </row>
    <row r="260" spans="1:10" x14ac:dyDescent="0.25">
      <c r="A260" s="546"/>
      <c r="B260" s="546" t="s">
        <v>1441</v>
      </c>
      <c r="C260" s="546"/>
      <c r="D260" s="546"/>
      <c r="E260" s="546"/>
      <c r="F260" s="546"/>
      <c r="G260" s="546"/>
      <c r="H260" s="546"/>
      <c r="I260" s="546"/>
      <c r="J260" s="529">
        <f>ROUND(J2+J45-J259,5)</f>
        <v>7678457.9100000001</v>
      </c>
    </row>
    <row r="261" spans="1:10" x14ac:dyDescent="0.25">
      <c r="A261" s="546"/>
      <c r="B261" s="546" t="s">
        <v>1442</v>
      </c>
      <c r="C261" s="546"/>
      <c r="D261" s="546"/>
      <c r="E261" s="546"/>
      <c r="F261" s="546"/>
      <c r="G261" s="546"/>
      <c r="H261" s="546"/>
      <c r="I261" s="546"/>
      <c r="J261" s="529"/>
    </row>
    <row r="262" spans="1:10" x14ac:dyDescent="0.25">
      <c r="A262" s="546"/>
      <c r="B262" s="546"/>
      <c r="C262" s="546" t="s">
        <v>43</v>
      </c>
      <c r="D262" s="546"/>
      <c r="E262" s="546"/>
      <c r="F262" s="546"/>
      <c r="G262" s="546"/>
      <c r="H262" s="546"/>
      <c r="I262" s="546"/>
      <c r="J262" s="529"/>
    </row>
    <row r="263" spans="1:10" x14ac:dyDescent="0.25">
      <c r="A263" s="546"/>
      <c r="B263" s="546"/>
      <c r="C263" s="546"/>
      <c r="D263" s="546" t="s">
        <v>1443</v>
      </c>
      <c r="E263" s="546"/>
      <c r="F263" s="546"/>
      <c r="G263" s="546"/>
      <c r="H263" s="546"/>
      <c r="I263" s="546"/>
      <c r="J263" s="529"/>
    </row>
    <row r="264" spans="1:10" x14ac:dyDescent="0.25">
      <c r="A264" s="546"/>
      <c r="B264" s="546"/>
      <c r="C264" s="546"/>
      <c r="D264" s="546"/>
      <c r="E264" s="546" t="s">
        <v>1578</v>
      </c>
      <c r="F264" s="546"/>
      <c r="G264" s="546"/>
      <c r="H264" s="546"/>
      <c r="I264" s="546"/>
      <c r="J264" s="529">
        <v>5706.1</v>
      </c>
    </row>
    <row r="265" spans="1:10" ht="15.75" thickBot="1" x14ac:dyDescent="0.3">
      <c r="A265" s="546"/>
      <c r="B265" s="546"/>
      <c r="C265" s="546"/>
      <c r="D265" s="546"/>
      <c r="E265" s="546" t="s">
        <v>1446</v>
      </c>
      <c r="F265" s="546"/>
      <c r="G265" s="546"/>
      <c r="H265" s="546"/>
      <c r="I265" s="546"/>
      <c r="J265" s="530">
        <v>2243.59</v>
      </c>
    </row>
    <row r="266" spans="1:10" ht="15.75" thickBot="1" x14ac:dyDescent="0.3">
      <c r="A266" s="546"/>
      <c r="B266" s="546"/>
      <c r="C266" s="546"/>
      <c r="D266" s="546" t="s">
        <v>1451</v>
      </c>
      <c r="E266" s="546"/>
      <c r="F266" s="546"/>
      <c r="G266" s="546"/>
      <c r="H266" s="546"/>
      <c r="I266" s="546"/>
      <c r="J266" s="531">
        <f>ROUND(SUM(J263:J265),5)</f>
        <v>7949.69</v>
      </c>
    </row>
    <row r="267" spans="1:10" ht="15.75" thickBot="1" x14ac:dyDescent="0.3">
      <c r="A267" s="546"/>
      <c r="B267" s="546"/>
      <c r="C267" s="546" t="s">
        <v>1452</v>
      </c>
      <c r="D267" s="546"/>
      <c r="E267" s="546"/>
      <c r="F267" s="546"/>
      <c r="G267" s="546"/>
      <c r="H267" s="546"/>
      <c r="I267" s="546"/>
      <c r="J267" s="531">
        <f>ROUND(J262+J266,5)</f>
        <v>7949.69</v>
      </c>
    </row>
    <row r="268" spans="1:10" ht="15.75" thickBot="1" x14ac:dyDescent="0.3">
      <c r="A268" s="546"/>
      <c r="B268" s="546" t="s">
        <v>1455</v>
      </c>
      <c r="C268" s="546"/>
      <c r="D268" s="546"/>
      <c r="E268" s="546"/>
      <c r="F268" s="546"/>
      <c r="G268" s="546"/>
      <c r="H268" s="546"/>
      <c r="I268" s="546"/>
      <c r="J268" s="531">
        <f>ROUND(J261+J267,5)</f>
        <v>7949.69</v>
      </c>
    </row>
    <row r="269" spans="1:10" s="551" customFormat="1" ht="12" thickBot="1" x14ac:dyDescent="0.25">
      <c r="A269" s="546" t="s">
        <v>1109</v>
      </c>
      <c r="B269" s="546"/>
      <c r="C269" s="546"/>
      <c r="D269" s="546"/>
      <c r="E269" s="546"/>
      <c r="F269" s="546"/>
      <c r="G269" s="546"/>
      <c r="H269" s="546"/>
      <c r="I269" s="546"/>
      <c r="J269" s="550">
        <f>ROUND(J260+J268,5)</f>
        <v>7686407.5999999996</v>
      </c>
    </row>
    <row r="270" spans="1:10" ht="15.75" thickTop="1" x14ac:dyDescent="0.25"/>
  </sheetData>
  <pageMargins left="0.7" right="0.7" top="0.75" bottom="0.75" header="0.1" footer="0.3"/>
  <pageSetup orientation="portrait" r:id="rId1"/>
  <headerFooter>
    <oddHeader>&amp;L&amp;"Arial,Bold"&amp;8 1:12 AM
&amp;"Arial,Bold"&amp;8 04/19/18
&amp;"Arial,Bold"&amp;8 Accrual Basis&amp;C&amp;"Arial,Bold"&amp;12 Tropical Fish International (Pvt) Limited
&amp;"Arial,Bold"&amp;14 Profit &amp;&amp; Loss
&amp;"Arial,Bold"&amp;10 January through March 2018</oddHeader>
    <oddFooter>&amp;R&amp;"Arial,Bold"&amp;8 Page &amp;P of &amp;N</oddFooter>
  </headerFooter>
  <drawing r:id="rId2"/>
  <legacyDrawing r:id="rId3"/>
  <controls>
    <mc:AlternateContent xmlns:mc="http://schemas.openxmlformats.org/markup-compatibility/2006">
      <mc:Choice Requires="x14">
        <control shapeId="35841" r:id="rId4" name="FILTER">
          <controlPr defaultSize="0" autoLine="0" r:id="rId5">
            <anchor moveWithCells="1">
              <from>
                <xdr:col>0</xdr:col>
                <xdr:colOff>0</xdr:colOff>
                <xdr:row>46</xdr:row>
                <xdr:rowOff>0</xdr:rowOff>
              </from>
              <to>
                <xdr:col>4</xdr:col>
                <xdr:colOff>114300</xdr:colOff>
                <xdr:row>47</xdr:row>
                <xdr:rowOff>38100</xdr:rowOff>
              </to>
            </anchor>
          </controlPr>
        </control>
      </mc:Choice>
      <mc:Fallback>
        <control shapeId="35841" r:id="rId4" name="FILTER"/>
      </mc:Fallback>
    </mc:AlternateContent>
    <mc:AlternateContent xmlns:mc="http://schemas.openxmlformats.org/markup-compatibility/2006">
      <mc:Choice Requires="x14">
        <control shapeId="35842" r:id="rId6" name="HEADER">
          <controlPr defaultSize="0" autoLine="0" r:id="rId7">
            <anchor moveWithCells="1">
              <from>
                <xdr:col>0</xdr:col>
                <xdr:colOff>0</xdr:colOff>
                <xdr:row>46</xdr:row>
                <xdr:rowOff>0</xdr:rowOff>
              </from>
              <to>
                <xdr:col>4</xdr:col>
                <xdr:colOff>114300</xdr:colOff>
                <xdr:row>47</xdr:row>
                <xdr:rowOff>38100</xdr:rowOff>
              </to>
            </anchor>
          </controlPr>
        </control>
      </mc:Choice>
      <mc:Fallback>
        <control shapeId="35842" r:id="rId6" name="HEADER"/>
      </mc:Fallback>
    </mc:AlternateContent>
  </control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tabColor rgb="FFFFFF00"/>
  </sheetPr>
  <dimension ref="A1:N157"/>
  <sheetViews>
    <sheetView view="pageBreakPreview" zoomScaleSheetLayoutView="100" workbookViewId="0">
      <selection activeCell="K21" sqref="K21"/>
    </sheetView>
  </sheetViews>
  <sheetFormatPr defaultRowHeight="12.75" customHeight="1" x14ac:dyDescent="0.2"/>
  <cols>
    <col min="1" max="1" width="55.5703125" style="3" customWidth="1"/>
    <col min="2" max="2" width="11.7109375" style="10" customWidth="1"/>
    <col min="3" max="3" width="0.7109375" style="10" customWidth="1"/>
    <col min="4" max="4" width="13" style="77" customWidth="1"/>
    <col min="5" max="5" width="0.85546875" style="77" customWidth="1"/>
    <col min="6" max="6" width="12.42578125" style="77" customWidth="1"/>
    <col min="7" max="7" width="1" style="3" customWidth="1"/>
    <col min="8" max="8" width="12" style="1" bestFit="1" customWidth="1"/>
    <col min="9" max="9" width="9.140625" style="1"/>
    <col min="10" max="10" width="12" style="1" bestFit="1" customWidth="1"/>
    <col min="11" max="11" width="11.7109375" style="15" bestFit="1" customWidth="1"/>
    <col min="12" max="12" width="11.140625" style="1" bestFit="1" customWidth="1"/>
    <col min="13" max="14" width="9.140625" style="1"/>
    <col min="15" max="16384" width="9.140625" style="3"/>
  </cols>
  <sheetData>
    <row r="1" spans="1:14" ht="12.75" customHeight="1" x14ac:dyDescent="0.2">
      <c r="B1" s="50"/>
      <c r="C1" s="50"/>
      <c r="D1" s="74"/>
      <c r="E1" s="74"/>
      <c r="F1" s="11" t="s">
        <v>53</v>
      </c>
    </row>
    <row r="2" spans="1:14" ht="12.75" customHeight="1" x14ac:dyDescent="0.2">
      <c r="A2" s="2" t="str">
        <f>'[2]P&amp;L'!A2</f>
        <v>TROPICAL FISH INTERNATIONAL (PRIVATE) LIMITED</v>
      </c>
      <c r="B2" s="15"/>
      <c r="C2" s="15"/>
      <c r="D2" s="75"/>
      <c r="E2" s="75"/>
      <c r="F2" s="75"/>
    </row>
    <row r="3" spans="1:14" s="1" customFormat="1" ht="12.75" customHeight="1" x14ac:dyDescent="0.2">
      <c r="A3" s="52" t="s">
        <v>648</v>
      </c>
      <c r="B3" s="15"/>
      <c r="C3" s="15"/>
      <c r="D3" s="75"/>
      <c r="E3" s="75"/>
      <c r="F3" s="335" t="s">
        <v>72</v>
      </c>
      <c r="K3" s="15"/>
    </row>
    <row r="4" spans="1:14" ht="12.75" customHeight="1" x14ac:dyDescent="0.2">
      <c r="A4" s="265"/>
      <c r="B4" s="59"/>
      <c r="C4" s="59"/>
      <c r="D4" s="266"/>
      <c r="E4" s="266"/>
      <c r="F4" s="266"/>
    </row>
    <row r="5" spans="1:14" s="1" customFormat="1" ht="12.75" customHeight="1" x14ac:dyDescent="0.2">
      <c r="A5" s="52" t="s">
        <v>649</v>
      </c>
      <c r="B5" s="15"/>
      <c r="C5" s="15"/>
      <c r="D5" s="261" t="s">
        <v>853</v>
      </c>
      <c r="E5" s="105"/>
      <c r="F5" s="261" t="s">
        <v>646</v>
      </c>
      <c r="K5" s="15"/>
    </row>
    <row r="6" spans="1:14" ht="12.75" customHeight="1" x14ac:dyDescent="0.2">
      <c r="A6" s="28"/>
      <c r="B6" s="267"/>
      <c r="C6" s="267"/>
      <c r="D6" s="267"/>
      <c r="E6" s="267"/>
      <c r="F6" s="267"/>
    </row>
    <row r="7" spans="1:14" ht="12.75" customHeight="1" x14ac:dyDescent="0.2">
      <c r="B7" s="51"/>
      <c r="C7" s="51"/>
      <c r="D7" s="76"/>
      <c r="E7" s="76"/>
      <c r="F7" s="76"/>
    </row>
    <row r="8" spans="1:14" ht="12.75" customHeight="1" x14ac:dyDescent="0.2">
      <c r="A8" s="4" t="s">
        <v>252</v>
      </c>
    </row>
    <row r="9" spans="1:14" ht="12.75" customHeight="1" x14ac:dyDescent="0.2">
      <c r="A9" s="18" t="s">
        <v>779</v>
      </c>
      <c r="D9" s="78">
        <f>CI!D20</f>
        <v>7686407.6000000034</v>
      </c>
      <c r="F9" s="78">
        <v>3839556.9700000193</v>
      </c>
      <c r="G9" s="78"/>
      <c r="H9" s="80"/>
    </row>
    <row r="10" spans="1:14" ht="12.75" customHeight="1" x14ac:dyDescent="0.2">
      <c r="D10" s="78"/>
      <c r="F10" s="78"/>
      <c r="G10" s="78"/>
      <c r="H10" s="80"/>
    </row>
    <row r="11" spans="1:14" ht="12.75" customHeight="1" x14ac:dyDescent="0.25">
      <c r="A11" s="43" t="s">
        <v>69</v>
      </c>
      <c r="D11" s="78"/>
      <c r="F11" s="78"/>
      <c r="G11" s="78"/>
      <c r="H11" s="80"/>
    </row>
    <row r="12" spans="1:14" ht="12.75" customHeight="1" x14ac:dyDescent="0.2">
      <c r="A12" s="3" t="s">
        <v>55</v>
      </c>
      <c r="D12" s="78">
        <f>'4-5'!D17</f>
        <v>2499427.3199999998</v>
      </c>
      <c r="F12" s="78">
        <v>12953197.040000001</v>
      </c>
      <c r="G12" s="78"/>
      <c r="H12" s="80"/>
    </row>
    <row r="13" spans="1:14" ht="12.75" customHeight="1" x14ac:dyDescent="0.2">
      <c r="A13" s="3" t="s">
        <v>248</v>
      </c>
      <c r="D13" s="78">
        <v>0</v>
      </c>
      <c r="F13" s="78">
        <v>0</v>
      </c>
      <c r="G13" s="78"/>
      <c r="H13" s="80"/>
    </row>
    <row r="14" spans="1:14" ht="12.75" customHeight="1" x14ac:dyDescent="0.2">
      <c r="A14" s="3" t="s">
        <v>780</v>
      </c>
      <c r="D14" s="78" t="e">
        <f>-'4-5'!#REF!</f>
        <v>#REF!</v>
      </c>
      <c r="F14" s="78">
        <v>-2851287.3</v>
      </c>
      <c r="G14" s="80"/>
      <c r="H14" s="80"/>
    </row>
    <row r="15" spans="1:14" ht="12.75" customHeight="1" x14ac:dyDescent="0.2">
      <c r="A15" s="61" t="s">
        <v>302</v>
      </c>
      <c r="D15" s="78" t="e">
        <f>'4-5'!#REF!</f>
        <v>#REF!</v>
      </c>
      <c r="F15" s="78">
        <v>-782692</v>
      </c>
      <c r="G15" s="80"/>
      <c r="H15" s="80"/>
    </row>
    <row r="16" spans="1:14" s="108" customFormat="1" ht="12.75" customHeight="1" x14ac:dyDescent="0.2">
      <c r="A16" s="113" t="s">
        <v>8</v>
      </c>
      <c r="B16" s="10"/>
      <c r="C16" s="10"/>
      <c r="D16" s="78">
        <f>'4-5'!D38</f>
        <v>2975333.31</v>
      </c>
      <c r="E16" s="3"/>
      <c r="F16" s="78">
        <v>17684060.120000001</v>
      </c>
      <c r="G16" s="80"/>
      <c r="H16" s="80"/>
      <c r="I16" s="340"/>
      <c r="J16" s="340"/>
      <c r="K16" s="341"/>
      <c r="L16" s="340"/>
      <c r="M16" s="340"/>
      <c r="N16" s="340"/>
    </row>
    <row r="17" spans="1:14" s="108" customFormat="1" ht="12.75" customHeight="1" x14ac:dyDescent="0.2">
      <c r="A17" s="113" t="str">
        <f>+'4-5'!B28</f>
        <v>Provision for Impairment of Investment in  Subsidiaries</v>
      </c>
      <c r="B17" s="10"/>
      <c r="C17" s="10"/>
      <c r="D17" s="78"/>
      <c r="E17" s="3"/>
      <c r="F17" s="78">
        <v>0</v>
      </c>
      <c r="G17" s="80"/>
      <c r="H17" s="80"/>
      <c r="I17" s="340"/>
      <c r="J17" s="340"/>
      <c r="K17" s="341"/>
      <c r="L17" s="340"/>
      <c r="M17" s="340"/>
      <c r="N17" s="340"/>
    </row>
    <row r="18" spans="1:14" s="108" customFormat="1" ht="12.75" customHeight="1" x14ac:dyDescent="0.2">
      <c r="A18" s="6" t="s">
        <v>42</v>
      </c>
      <c r="B18" s="10"/>
      <c r="C18" s="10"/>
      <c r="D18" s="78"/>
      <c r="E18" s="3"/>
      <c r="F18" s="78">
        <v>602039.98</v>
      </c>
      <c r="G18" s="80"/>
      <c r="H18" s="80"/>
      <c r="I18" s="340"/>
      <c r="J18" s="340"/>
      <c r="K18" s="341"/>
      <c r="L18" s="340"/>
      <c r="M18" s="340"/>
      <c r="N18" s="340"/>
    </row>
    <row r="19" spans="1:14" s="108" customFormat="1" ht="12.75" customHeight="1" x14ac:dyDescent="0.2">
      <c r="A19" s="3" t="s">
        <v>303</v>
      </c>
      <c r="B19" s="10"/>
      <c r="C19" s="10"/>
      <c r="D19" s="78"/>
      <c r="E19" s="3"/>
      <c r="F19" s="78">
        <v>1850124.67</v>
      </c>
      <c r="G19" s="80"/>
      <c r="H19" s="80"/>
      <c r="I19" s="340"/>
      <c r="J19" s="340"/>
      <c r="K19" s="341"/>
      <c r="L19" s="340"/>
      <c r="M19" s="340"/>
      <c r="N19" s="340"/>
    </row>
    <row r="20" spans="1:14" s="108" customFormat="1" ht="12.75" customHeight="1" x14ac:dyDescent="0.2">
      <c r="A20" s="3" t="s">
        <v>1510</v>
      </c>
      <c r="B20" s="10"/>
      <c r="C20" s="10"/>
      <c r="D20" s="78" t="e">
        <f>'4-5'!#REF!</f>
        <v>#REF!</v>
      </c>
      <c r="E20" s="3"/>
      <c r="F20" s="78"/>
      <c r="G20" s="80"/>
      <c r="H20" s="80"/>
      <c r="I20" s="340"/>
      <c r="J20" s="340"/>
      <c r="K20" s="341"/>
      <c r="L20" s="340"/>
      <c r="M20" s="340"/>
      <c r="N20" s="340"/>
    </row>
    <row r="21" spans="1:14" ht="12.75" customHeight="1" x14ac:dyDescent="0.2">
      <c r="A21" s="19" t="s">
        <v>317</v>
      </c>
      <c r="B21" s="15"/>
      <c r="C21" s="15"/>
      <c r="D21" s="116" t="e">
        <f>SUM(D9:D20)</f>
        <v>#REF!</v>
      </c>
      <c r="F21" s="116">
        <v>33294999.480000019</v>
      </c>
      <c r="G21" s="79"/>
      <c r="H21" s="79"/>
    </row>
    <row r="22" spans="1:14" ht="12.75" customHeight="1" x14ac:dyDescent="0.2">
      <c r="A22" s="19"/>
      <c r="D22" s="78"/>
      <c r="F22" s="78"/>
      <c r="G22" s="80"/>
      <c r="H22" s="80"/>
    </row>
    <row r="23" spans="1:14" ht="12.75" customHeight="1" x14ac:dyDescent="0.2">
      <c r="A23" s="4" t="s">
        <v>66</v>
      </c>
      <c r="D23" s="78"/>
      <c r="F23" s="78"/>
      <c r="G23" s="80"/>
      <c r="H23" s="80"/>
    </row>
    <row r="24" spans="1:14" ht="12.75" customHeight="1" x14ac:dyDescent="0.2">
      <c r="A24" s="3" t="s">
        <v>29</v>
      </c>
      <c r="D24" s="78" t="e">
        <f>FP!#REF!-FP!C18</f>
        <v>#REF!</v>
      </c>
      <c r="F24" s="78">
        <v>-219892.02999999747</v>
      </c>
      <c r="G24" s="80"/>
      <c r="H24" s="80"/>
    </row>
    <row r="25" spans="1:14" ht="12.75" customHeight="1" x14ac:dyDescent="0.2">
      <c r="A25" s="3" t="s">
        <v>17</v>
      </c>
      <c r="D25" s="78" t="e">
        <f>FP!#REF!-FP!C19</f>
        <v>#REF!</v>
      </c>
      <c r="F25" s="78">
        <v>-27827397.259999998</v>
      </c>
      <c r="G25" s="80"/>
      <c r="H25" s="80"/>
    </row>
    <row r="26" spans="1:14" ht="12.75" customHeight="1" x14ac:dyDescent="0.2">
      <c r="A26" s="18" t="s">
        <v>0</v>
      </c>
      <c r="D26" s="78" t="e">
        <f>FP!#REF!-FP!C20</f>
        <v>#REF!</v>
      </c>
      <c r="F26" s="78">
        <v>-13055643.069999993</v>
      </c>
      <c r="G26" s="80"/>
      <c r="H26" s="80"/>
    </row>
    <row r="27" spans="1:14" ht="12.75" customHeight="1" x14ac:dyDescent="0.2">
      <c r="A27" s="18" t="s">
        <v>79</v>
      </c>
      <c r="B27" s="26"/>
      <c r="C27" s="26"/>
      <c r="D27" s="78" t="e">
        <f>FP!C44-FP!#REF!</f>
        <v>#REF!</v>
      </c>
      <c r="F27" s="78">
        <v>4286793.4899999984</v>
      </c>
      <c r="G27" s="80"/>
      <c r="H27" s="80"/>
    </row>
    <row r="28" spans="1:14" ht="12.75" customHeight="1" x14ac:dyDescent="0.2">
      <c r="A28" s="3" t="str">
        <f>[2]Balance!A35</f>
        <v>Trade and Other Payables</v>
      </c>
      <c r="D28" s="78" t="e">
        <f>FP!C43-FP!#REF!</f>
        <v>#REF!</v>
      </c>
      <c r="F28" s="78">
        <v>1073812.849999994</v>
      </c>
      <c r="G28" s="80"/>
      <c r="H28" s="80"/>
    </row>
    <row r="29" spans="1:14" ht="12.75" customHeight="1" x14ac:dyDescent="0.2">
      <c r="A29" s="30" t="s">
        <v>783</v>
      </c>
      <c r="B29" s="15"/>
      <c r="C29" s="15"/>
      <c r="D29" s="116" t="e">
        <f>SUM(D21:D28)</f>
        <v>#REF!</v>
      </c>
      <c r="F29" s="116">
        <v>-2447326.5399999768</v>
      </c>
      <c r="G29" s="79"/>
      <c r="H29" s="79"/>
    </row>
    <row r="30" spans="1:14" ht="12.75" customHeight="1" x14ac:dyDescent="0.2">
      <c r="B30" s="12"/>
      <c r="C30" s="12"/>
      <c r="D30" s="78"/>
      <c r="F30" s="78"/>
      <c r="G30" s="80"/>
      <c r="H30" s="80"/>
    </row>
    <row r="31" spans="1:14" ht="12.75" customHeight="1" x14ac:dyDescent="0.2">
      <c r="A31" s="3" t="s">
        <v>848</v>
      </c>
      <c r="B31" s="12"/>
      <c r="C31" s="12"/>
      <c r="D31" s="78">
        <f>'11-15'!I10</f>
        <v>0</v>
      </c>
      <c r="F31" s="78">
        <v>-255000</v>
      </c>
      <c r="G31" s="80"/>
      <c r="H31" s="80"/>
    </row>
    <row r="32" spans="1:14" ht="12.75" customHeight="1" x14ac:dyDescent="0.2">
      <c r="A32" s="3" t="s">
        <v>58</v>
      </c>
      <c r="D32" s="78">
        <f>-('4-5'!D36+'4-5'!D37)</f>
        <v>-2923729.5</v>
      </c>
      <c r="F32" s="78">
        <v>-19426199.949999999</v>
      </c>
      <c r="G32" s="80"/>
      <c r="H32" s="80"/>
      <c r="J32" s="342"/>
    </row>
    <row r="33" spans="1:12" ht="12.75" customHeight="1" x14ac:dyDescent="0.2">
      <c r="A33" s="3" t="s">
        <v>852</v>
      </c>
      <c r="D33" s="78">
        <v>0</v>
      </c>
      <c r="F33" s="78">
        <v>0</v>
      </c>
      <c r="G33" s="80"/>
      <c r="H33" s="80"/>
    </row>
    <row r="34" spans="1:12" ht="12.75" customHeight="1" x14ac:dyDescent="0.2">
      <c r="A34" s="19" t="s">
        <v>784</v>
      </c>
      <c r="D34" s="83" t="e">
        <f>SUM(D29:D33)</f>
        <v>#REF!</v>
      </c>
      <c r="F34" s="83">
        <v>-22128526.489999976</v>
      </c>
      <c r="G34" s="79"/>
      <c r="H34" s="79"/>
    </row>
    <row r="35" spans="1:12" ht="12.75" customHeight="1" x14ac:dyDescent="0.2">
      <c r="D35" s="78"/>
      <c r="F35" s="78"/>
      <c r="G35" s="80"/>
      <c r="H35" s="80"/>
    </row>
    <row r="36" spans="1:12" ht="12.75" customHeight="1" x14ac:dyDescent="0.2">
      <c r="A36" s="4" t="s">
        <v>253</v>
      </c>
      <c r="D36" s="78"/>
      <c r="F36" s="78"/>
      <c r="G36" s="80"/>
      <c r="H36" s="80"/>
    </row>
    <row r="37" spans="1:12" ht="12.75" hidden="1" customHeight="1" x14ac:dyDescent="0.2">
      <c r="A37" s="3" t="s">
        <v>299</v>
      </c>
      <c r="D37" s="78">
        <v>0</v>
      </c>
      <c r="F37" s="78">
        <v>0</v>
      </c>
      <c r="G37" s="80"/>
      <c r="H37" s="80"/>
    </row>
    <row r="38" spans="1:12" ht="12.75" customHeight="1" x14ac:dyDescent="0.2">
      <c r="A38" s="18" t="s">
        <v>4</v>
      </c>
      <c r="D38" s="78" t="e">
        <f>-#REF!-#REF!</f>
        <v>#REF!</v>
      </c>
      <c r="F38" s="78">
        <v>-15810869.189999999</v>
      </c>
      <c r="G38" s="80"/>
      <c r="H38" s="80"/>
    </row>
    <row r="39" spans="1:12" ht="12.75" customHeight="1" x14ac:dyDescent="0.2">
      <c r="A39" s="18" t="s">
        <v>645</v>
      </c>
      <c r="D39" s="78">
        <v>0</v>
      </c>
      <c r="F39" s="78">
        <v>0</v>
      </c>
      <c r="G39" s="80"/>
      <c r="H39" s="80"/>
    </row>
    <row r="40" spans="1:12" ht="12.75" customHeight="1" x14ac:dyDescent="0.2">
      <c r="A40" s="1" t="s">
        <v>1512</v>
      </c>
      <c r="D40" s="78" t="e">
        <f>FP!#REF!-FP!C14</f>
        <v>#REF!</v>
      </c>
      <c r="F40" s="78"/>
      <c r="G40" s="80"/>
      <c r="H40" s="80"/>
    </row>
    <row r="41" spans="1:12" ht="12.75" customHeight="1" x14ac:dyDescent="0.2">
      <c r="A41" s="18" t="s">
        <v>517</v>
      </c>
      <c r="D41" s="78"/>
      <c r="F41" s="78">
        <v>2851287.3</v>
      </c>
      <c r="G41" s="80"/>
      <c r="H41" s="80"/>
    </row>
    <row r="42" spans="1:12" ht="12.75" customHeight="1" x14ac:dyDescent="0.2">
      <c r="A42" s="4" t="s">
        <v>5</v>
      </c>
      <c r="D42" s="83" t="e">
        <f>SUM(D37:D41)</f>
        <v>#REF!</v>
      </c>
      <c r="F42" s="83">
        <v>-12959581.890000001</v>
      </c>
      <c r="G42" s="79"/>
      <c r="H42" s="79"/>
      <c r="J42" s="3"/>
      <c r="L42" s="21"/>
    </row>
    <row r="43" spans="1:12" ht="12.75" customHeight="1" x14ac:dyDescent="0.2">
      <c r="A43" s="4"/>
      <c r="D43" s="78"/>
      <c r="F43" s="78"/>
      <c r="G43" s="80"/>
      <c r="H43" s="80"/>
      <c r="L43" s="21"/>
    </row>
    <row r="44" spans="1:12" ht="12.75" customHeight="1" x14ac:dyDescent="0.2">
      <c r="A44" s="4" t="s">
        <v>254</v>
      </c>
      <c r="D44" s="78"/>
      <c r="F44" s="78"/>
      <c r="G44" s="80"/>
      <c r="H44" s="80"/>
    </row>
    <row r="45" spans="1:12" ht="12.75" customHeight="1" x14ac:dyDescent="0.2">
      <c r="A45" s="3" t="s">
        <v>31</v>
      </c>
      <c r="D45" s="78"/>
      <c r="F45" s="78">
        <v>-3118055.83</v>
      </c>
      <c r="G45" s="80"/>
      <c r="H45" s="80"/>
    </row>
    <row r="46" spans="1:12" ht="12.75" customHeight="1" x14ac:dyDescent="0.2">
      <c r="A46" s="3" t="s">
        <v>850</v>
      </c>
      <c r="D46" s="78"/>
      <c r="F46" s="78">
        <v>588803.38000000268</v>
      </c>
      <c r="G46" s="80"/>
      <c r="H46" s="80"/>
    </row>
    <row r="47" spans="1:12" ht="12.75" customHeight="1" x14ac:dyDescent="0.2">
      <c r="A47" s="3" t="s">
        <v>851</v>
      </c>
      <c r="D47" s="78"/>
      <c r="F47" s="78">
        <v>40340399.289999999</v>
      </c>
      <c r="G47" s="80"/>
      <c r="H47" s="80"/>
      <c r="J47" s="15"/>
      <c r="L47" s="21"/>
    </row>
    <row r="48" spans="1:12" ht="12.75" customHeight="1" x14ac:dyDescent="0.2">
      <c r="A48" s="4" t="s">
        <v>778</v>
      </c>
      <c r="D48" s="83">
        <f>SUM(D45:D47)</f>
        <v>0</v>
      </c>
      <c r="F48" s="83">
        <v>37811146.840000004</v>
      </c>
      <c r="G48" s="79"/>
      <c r="H48" s="79"/>
      <c r="L48" s="21"/>
    </row>
    <row r="49" spans="1:10" ht="12.75" customHeight="1" x14ac:dyDescent="0.2">
      <c r="D49" s="78"/>
      <c r="F49" s="78"/>
      <c r="G49" s="80"/>
      <c r="H49" s="80"/>
    </row>
    <row r="50" spans="1:10" ht="12.75" customHeight="1" x14ac:dyDescent="0.2">
      <c r="A50" s="4" t="s">
        <v>255</v>
      </c>
      <c r="D50" s="82" t="e">
        <f>SUM(D48,D42,D34)</f>
        <v>#REF!</v>
      </c>
      <c r="F50" s="82">
        <v>2723038.460000027</v>
      </c>
      <c r="G50" s="79"/>
      <c r="H50" s="79"/>
    </row>
    <row r="51" spans="1:10" ht="12.75" customHeight="1" x14ac:dyDescent="0.2">
      <c r="D51" s="78"/>
      <c r="F51" s="78"/>
      <c r="G51" s="80"/>
      <c r="H51" s="80"/>
    </row>
    <row r="52" spans="1:10" ht="12.75" customHeight="1" x14ac:dyDescent="0.2">
      <c r="A52" s="3" t="s">
        <v>23</v>
      </c>
      <c r="D52" s="78">
        <f>F54</f>
        <v>19228395.579999954</v>
      </c>
      <c r="F52" s="419">
        <v>16505356.219999928</v>
      </c>
      <c r="G52" s="80"/>
      <c r="H52" s="420" t="s">
        <v>1513</v>
      </c>
    </row>
    <row r="53" spans="1:10" ht="12.75" customHeight="1" x14ac:dyDescent="0.2">
      <c r="D53" s="78"/>
      <c r="F53" s="78"/>
      <c r="G53" s="80"/>
      <c r="H53" s="80"/>
    </row>
    <row r="54" spans="1:10" ht="12.75" customHeight="1" thickBot="1" x14ac:dyDescent="0.25">
      <c r="A54" s="4" t="s">
        <v>24</v>
      </c>
      <c r="B54" s="292" t="s">
        <v>1511</v>
      </c>
      <c r="D54" s="84"/>
      <c r="F54" s="84">
        <v>19228395.579999954</v>
      </c>
      <c r="G54" s="79"/>
      <c r="H54" s="79"/>
      <c r="J54" s="24"/>
    </row>
    <row r="55" spans="1:10" ht="12.75" customHeight="1" thickTop="1" x14ac:dyDescent="0.2">
      <c r="A55" s="1"/>
      <c r="B55" s="15"/>
      <c r="C55" s="15"/>
      <c r="D55" s="124"/>
      <c r="E55" s="124"/>
      <c r="F55" s="124"/>
      <c r="J55" s="21"/>
    </row>
    <row r="56" spans="1:10" ht="12.75" customHeight="1" x14ac:dyDescent="0.2">
      <c r="A56" s="1"/>
      <c r="B56" s="15"/>
      <c r="C56" s="15"/>
      <c r="D56" s="124"/>
      <c r="E56" s="124"/>
      <c r="F56" s="124"/>
    </row>
    <row r="57" spans="1:10" ht="12.75" customHeight="1" x14ac:dyDescent="0.2">
      <c r="A57" s="1"/>
      <c r="B57" s="15"/>
      <c r="C57" s="15"/>
      <c r="D57" s="124"/>
      <c r="E57" s="124"/>
      <c r="F57" s="124"/>
    </row>
    <row r="58" spans="1:10" ht="12.75" customHeight="1" x14ac:dyDescent="0.2">
      <c r="A58" s="1"/>
      <c r="B58" s="15"/>
      <c r="C58" s="15"/>
      <c r="D58" s="124"/>
      <c r="E58" s="124"/>
      <c r="F58" s="124"/>
    </row>
    <row r="59" spans="1:10" ht="12.75" customHeight="1" x14ac:dyDescent="0.2">
      <c r="A59" s="1"/>
      <c r="B59" s="15"/>
      <c r="C59" s="15"/>
      <c r="D59" s="124"/>
      <c r="E59" s="124"/>
      <c r="F59" s="124"/>
    </row>
    <row r="60" spans="1:10" ht="12.75" customHeight="1" x14ac:dyDescent="0.2">
      <c r="A60" s="1"/>
      <c r="B60" s="15"/>
      <c r="C60" s="15"/>
      <c r="D60" s="124"/>
      <c r="E60" s="124"/>
      <c r="F60" s="124"/>
    </row>
    <row r="61" spans="1:10" ht="12.75" customHeight="1" x14ac:dyDescent="0.2">
      <c r="A61" s="1"/>
      <c r="B61" s="15"/>
      <c r="C61" s="15"/>
      <c r="D61" s="124"/>
      <c r="E61" s="124"/>
      <c r="F61" s="124"/>
    </row>
    <row r="62" spans="1:10" ht="12.75" customHeight="1" x14ac:dyDescent="0.2">
      <c r="A62" s="1"/>
      <c r="B62" s="15"/>
      <c r="C62" s="15"/>
      <c r="D62" s="124"/>
      <c r="E62" s="124"/>
      <c r="F62" s="124"/>
    </row>
    <row r="63" spans="1:10" x14ac:dyDescent="0.2">
      <c r="A63" s="38">
        <f>+CI!A31</f>
        <v>0</v>
      </c>
    </row>
    <row r="64" spans="1:10" x14ac:dyDescent="0.2">
      <c r="A64" s="38" t="str">
        <f>+CI!A32</f>
        <v>Figures in brackets indicate deductions.</v>
      </c>
    </row>
    <row r="65" spans="1:14" ht="12.75" customHeight="1" x14ac:dyDescent="0.2">
      <c r="A65" s="38" t="str">
        <f>+CI!A33</f>
        <v>Notes to the Financial Statements on Pages 6 to 18 form an integral Part of the Financial Statements.</v>
      </c>
    </row>
    <row r="66" spans="1:14" ht="12.75" hidden="1" customHeight="1" x14ac:dyDescent="0.2"/>
    <row r="67" spans="1:14" ht="12.75" hidden="1" customHeight="1" x14ac:dyDescent="0.2"/>
    <row r="68" spans="1:14" s="4" customFormat="1" ht="12.75" hidden="1" customHeight="1" x14ac:dyDescent="0.2">
      <c r="B68" s="12"/>
      <c r="C68" s="12"/>
      <c r="D68" s="81" t="e">
        <f>++F54-#REF!</f>
        <v>#REF!</v>
      </c>
      <c r="E68" s="81"/>
      <c r="F68" s="81" t="e">
        <f>++H54-#REF!</f>
        <v>#REF!</v>
      </c>
      <c r="H68" s="2"/>
      <c r="I68" s="2"/>
      <c r="J68" s="2"/>
      <c r="K68" s="14"/>
      <c r="L68" s="2"/>
      <c r="M68" s="2"/>
      <c r="N68" s="2"/>
    </row>
    <row r="69" spans="1:14" s="4" customFormat="1" ht="12.75" hidden="1" customHeight="1" x14ac:dyDescent="0.2">
      <c r="H69" s="2"/>
      <c r="I69" s="2"/>
      <c r="J69" s="2"/>
      <c r="K69" s="14"/>
      <c r="L69" s="2"/>
      <c r="M69" s="2"/>
      <c r="N69" s="2"/>
    </row>
    <row r="70" spans="1:14" s="4" customFormat="1" ht="12.75" customHeight="1" x14ac:dyDescent="0.2">
      <c r="H70" s="2"/>
      <c r="I70" s="2"/>
      <c r="J70" s="2"/>
      <c r="K70" s="14"/>
      <c r="L70" s="2"/>
      <c r="M70" s="2"/>
      <c r="N70" s="2"/>
    </row>
    <row r="71" spans="1:14" s="4" customFormat="1" ht="12.75" customHeight="1" x14ac:dyDescent="0.2">
      <c r="H71" s="2"/>
      <c r="I71" s="2"/>
      <c r="J71" s="15"/>
      <c r="K71" s="15"/>
      <c r="L71" s="15"/>
      <c r="M71" s="2"/>
      <c r="N71" s="2"/>
    </row>
    <row r="77" spans="1:14" ht="12.75" customHeight="1" x14ac:dyDescent="0.2">
      <c r="D77" s="97"/>
      <c r="E77" s="97"/>
      <c r="F77" s="97"/>
    </row>
    <row r="78" spans="1:14" ht="12.75" customHeight="1" x14ac:dyDescent="0.2">
      <c r="A78" s="8"/>
    </row>
    <row r="105" spans="1:2" ht="12.75" customHeight="1" x14ac:dyDescent="0.2">
      <c r="A105" s="1"/>
    </row>
    <row r="106" spans="1:2" ht="12.75" customHeight="1" x14ac:dyDescent="0.2">
      <c r="A106" s="2"/>
    </row>
    <row r="107" spans="1:2" ht="12.75" customHeight="1" x14ac:dyDescent="0.2">
      <c r="A107" s="48"/>
      <c r="B107" s="10" t="s">
        <v>631</v>
      </c>
    </row>
    <row r="108" spans="1:2" ht="12.75" customHeight="1" x14ac:dyDescent="0.2">
      <c r="A108" s="1"/>
    </row>
    <row r="109" spans="1:2" ht="12.75" customHeight="1" x14ac:dyDescent="0.2">
      <c r="A109" s="6"/>
    </row>
    <row r="110" spans="1:2" ht="12.75" customHeight="1" x14ac:dyDescent="0.2">
      <c r="A110" s="2"/>
    </row>
    <row r="111" spans="1:2" ht="12.75" customHeight="1" x14ac:dyDescent="0.2">
      <c r="A111" s="1"/>
    </row>
    <row r="112" spans="1:2" ht="12.75" customHeight="1" x14ac:dyDescent="0.2">
      <c r="A112" s="2"/>
    </row>
    <row r="113" spans="1:6" ht="12.75" customHeight="1" x14ac:dyDescent="0.2">
      <c r="A113" s="1"/>
    </row>
    <row r="114" spans="1:6" ht="12.75" customHeight="1" x14ac:dyDescent="0.2">
      <c r="A114" s="2"/>
    </row>
    <row r="115" spans="1:6" ht="12.75" customHeight="1" x14ac:dyDescent="0.2">
      <c r="A115" s="1"/>
    </row>
    <row r="116" spans="1:6" ht="12.75" customHeight="1" x14ac:dyDescent="0.2">
      <c r="A116" s="2"/>
    </row>
    <row r="117" spans="1:6" ht="12.75" customHeight="1" x14ac:dyDescent="0.2">
      <c r="A117" s="2"/>
    </row>
    <row r="118" spans="1:6" ht="12.75" customHeight="1" x14ac:dyDescent="0.2">
      <c r="A118" s="2"/>
    </row>
    <row r="119" spans="1:6" ht="12.75" customHeight="1" x14ac:dyDescent="0.2">
      <c r="A119" s="2"/>
    </row>
    <row r="120" spans="1:6" ht="12.75" customHeight="1" x14ac:dyDescent="0.25">
      <c r="A120" s="5"/>
    </row>
    <row r="121" spans="1:6" ht="12.75" customHeight="1" x14ac:dyDescent="0.2">
      <c r="A121" s="4"/>
      <c r="D121" s="81"/>
      <c r="E121" s="81"/>
      <c r="F121" s="81"/>
    </row>
    <row r="122" spans="1:6" ht="12.75" customHeight="1" x14ac:dyDescent="0.2">
      <c r="A122" s="32"/>
      <c r="B122" s="27"/>
      <c r="C122" s="27"/>
      <c r="D122" s="121" t="e">
        <f>+#REF!-#REF!</f>
        <v>#REF!</v>
      </c>
      <c r="E122" s="121"/>
      <c r="F122" s="95"/>
    </row>
    <row r="123" spans="1:6" ht="12.75" customHeight="1" x14ac:dyDescent="0.2">
      <c r="A123" s="4"/>
      <c r="B123" s="16"/>
      <c r="C123" s="16"/>
      <c r="D123" s="85"/>
      <c r="E123" s="85"/>
      <c r="F123" s="85"/>
    </row>
    <row r="126" spans="1:6" ht="12.75" customHeight="1" x14ac:dyDescent="0.2">
      <c r="D126" s="77" t="e">
        <f>+D122/2</f>
        <v>#REF!</v>
      </c>
    </row>
    <row r="128" spans="1:6" ht="12.75" customHeight="1" x14ac:dyDescent="0.2">
      <c r="A128" s="69" t="s">
        <v>321</v>
      </c>
      <c r="B128" s="3"/>
      <c r="C128" s="3"/>
      <c r="D128" s="77">
        <v>1267877.9099999999</v>
      </c>
    </row>
    <row r="129" spans="1:6" ht="12.75" customHeight="1" x14ac:dyDescent="0.2">
      <c r="D129" s="77">
        <v>1178669.47</v>
      </c>
    </row>
    <row r="130" spans="1:6" ht="12.75" customHeight="1" x14ac:dyDescent="0.2">
      <c r="A130" s="69" t="s">
        <v>250</v>
      </c>
      <c r="B130" s="3"/>
      <c r="C130" s="3"/>
      <c r="D130" s="70"/>
      <c r="E130" s="70"/>
      <c r="F130" s="70"/>
    </row>
    <row r="131" spans="1:6" ht="12.75" customHeight="1" x14ac:dyDescent="0.2">
      <c r="A131" s="69" t="s">
        <v>251</v>
      </c>
      <c r="B131" s="3"/>
      <c r="C131" s="3"/>
      <c r="D131" s="70"/>
      <c r="E131" s="70"/>
      <c r="F131" s="70"/>
    </row>
    <row r="132" spans="1:6" ht="12.75" customHeight="1" x14ac:dyDescent="0.2">
      <c r="A132" s="1"/>
    </row>
    <row r="133" spans="1:6" ht="12.75" customHeight="1" x14ac:dyDescent="0.2">
      <c r="A133" s="1"/>
      <c r="B133" s="10" t="s">
        <v>249</v>
      </c>
    </row>
    <row r="134" spans="1:6" ht="12.75" customHeight="1" x14ac:dyDescent="0.2">
      <c r="A134" s="2"/>
    </row>
    <row r="135" spans="1:6" ht="12.75" customHeight="1" x14ac:dyDescent="0.2">
      <c r="A135" s="92">
        <v>-1728500</v>
      </c>
    </row>
    <row r="136" spans="1:6" ht="12.75" customHeight="1" x14ac:dyDescent="0.2">
      <c r="A136" s="21" t="e">
        <f>-'1-4'!#REF!</f>
        <v>#REF!</v>
      </c>
    </row>
    <row r="137" spans="1:6" ht="12.75" customHeight="1" x14ac:dyDescent="0.2">
      <c r="A137" s="8" t="e">
        <f>SUM(A135:A136)</f>
        <v>#REF!</v>
      </c>
    </row>
    <row r="138" spans="1:6" ht="12.75" customHeight="1" x14ac:dyDescent="0.2">
      <c r="A138" s="8" t="e">
        <f>A137+A148</f>
        <v>#REF!</v>
      </c>
    </row>
    <row r="139" spans="1:6" ht="12.75" customHeight="1" x14ac:dyDescent="0.2">
      <c r="B139"/>
      <c r="C139"/>
      <c r="D139" s="117"/>
      <c r="E139" s="117"/>
      <c r="F139" s="86"/>
    </row>
    <row r="140" spans="1:6" ht="12.75" customHeight="1" x14ac:dyDescent="0.2">
      <c r="B140" s="54"/>
      <c r="C140" s="54"/>
      <c r="D140" s="122"/>
      <c r="E140" s="122"/>
      <c r="F140" s="87"/>
    </row>
    <row r="142" spans="1:6" ht="12.75" customHeight="1" x14ac:dyDescent="0.25">
      <c r="A142" s="90">
        <v>-2208779.0802484471</v>
      </c>
    </row>
    <row r="143" spans="1:6" ht="12.75" customHeight="1" x14ac:dyDescent="0.2">
      <c r="A143" s="91" t="e">
        <f>#REF!</f>
        <v>#REF!</v>
      </c>
    </row>
    <row r="144" spans="1:6" ht="12.75" customHeight="1" x14ac:dyDescent="0.2">
      <c r="A144" s="20" t="e">
        <f>SUM(A142:A143)</f>
        <v>#REF!</v>
      </c>
    </row>
    <row r="145" spans="1:4" ht="12.75" customHeight="1" x14ac:dyDescent="0.2">
      <c r="A145" s="56" t="e">
        <f>A144+#REF!</f>
        <v>#REF!</v>
      </c>
    </row>
    <row r="146" spans="1:4" ht="12.75" customHeight="1" x14ac:dyDescent="0.2">
      <c r="A146" s="1"/>
    </row>
    <row r="147" spans="1:4" ht="12.75" customHeight="1" x14ac:dyDescent="0.2">
      <c r="A147" s="48"/>
      <c r="D147" s="77" t="e">
        <f>A148-#REF!</f>
        <v>#REF!</v>
      </c>
    </row>
    <row r="148" spans="1:4" ht="12.75" customHeight="1" x14ac:dyDescent="0.2">
      <c r="A148" s="1">
        <v>2178709.20040324</v>
      </c>
    </row>
    <row r="149" spans="1:4" ht="12.75" customHeight="1" x14ac:dyDescent="0.2">
      <c r="A149" s="93" t="e">
        <f>A148+#REF!</f>
        <v>#REF!</v>
      </c>
    </row>
    <row r="150" spans="1:4" ht="12.75" customHeight="1" x14ac:dyDescent="0.2">
      <c r="A150" s="1"/>
    </row>
    <row r="151" spans="1:4" ht="12.75" customHeight="1" x14ac:dyDescent="0.2">
      <c r="A151" s="1"/>
    </row>
    <row r="152" spans="1:4" ht="12.75" customHeight="1" x14ac:dyDescent="0.2">
      <c r="A152" s="1"/>
    </row>
    <row r="153" spans="1:4" ht="12.75" customHeight="1" x14ac:dyDescent="0.2">
      <c r="A153" s="8">
        <v>1178669.47</v>
      </c>
    </row>
    <row r="154" spans="1:4" ht="12.75" hidden="1" customHeight="1" x14ac:dyDescent="0.2">
      <c r="A154" s="1"/>
    </row>
    <row r="155" spans="1:4" ht="12.75" customHeight="1" x14ac:dyDescent="0.2">
      <c r="A155" s="2"/>
    </row>
    <row r="156" spans="1:4" ht="12.75" customHeight="1" x14ac:dyDescent="0.2">
      <c r="A156" s="94"/>
    </row>
    <row r="157" spans="1:4" ht="12.75" customHeight="1" x14ac:dyDescent="0.2">
      <c r="A157" s="2"/>
    </row>
  </sheetData>
  <phoneticPr fontId="0" type="noConversion"/>
  <pageMargins left="0.75" right="0.25" top="0.75" bottom="0.25" header="0.5" footer="0.5"/>
  <pageSetup paperSize="9" orientation="portrait"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O109"/>
  <sheetViews>
    <sheetView topLeftCell="A29" workbookViewId="0">
      <selection activeCell="E47" sqref="E47"/>
    </sheetView>
  </sheetViews>
  <sheetFormatPr defaultRowHeight="12.75" x14ac:dyDescent="0.2"/>
  <cols>
    <col min="1" max="1" width="11.7109375" style="384" customWidth="1"/>
    <col min="2" max="2" width="49.140625" style="363" customWidth="1"/>
    <col min="3" max="3" width="13.5703125" style="364" bestFit="1" customWidth="1"/>
    <col min="4" max="4" width="0.85546875" style="364" customWidth="1"/>
    <col min="5" max="5" width="15.7109375" style="363" customWidth="1"/>
    <col min="6" max="6" width="6.7109375" style="373" customWidth="1"/>
    <col min="7" max="7" width="13.5703125" style="29" bestFit="1" customWidth="1"/>
    <col min="8" max="8" width="2.85546875" style="29" customWidth="1"/>
    <col min="9" max="9" width="12.7109375" style="29" customWidth="1"/>
    <col min="10" max="10" width="13.5703125" style="363" hidden="1" customWidth="1"/>
    <col min="11" max="11" width="20.42578125" style="10" hidden="1" customWidth="1"/>
    <col min="12" max="12" width="23.85546875" style="363" hidden="1" customWidth="1"/>
    <col min="13" max="13" width="15.5703125" style="363" hidden="1" customWidth="1"/>
    <col min="14" max="14" width="14" style="363" hidden="1" customWidth="1"/>
    <col min="15" max="15" width="9.140625" style="363" hidden="1" customWidth="1"/>
    <col min="16" max="16" width="12" style="10" hidden="1" customWidth="1"/>
    <col min="17" max="17" width="11.7109375" style="363" hidden="1" customWidth="1"/>
    <col min="18" max="18" width="2.7109375" style="363" hidden="1" customWidth="1"/>
    <col min="19" max="19" width="30.140625" style="363" hidden="1" customWidth="1"/>
    <col min="20" max="20" width="12.42578125" style="363" hidden="1" customWidth="1"/>
    <col min="21" max="21" width="2.7109375" style="363" hidden="1" customWidth="1"/>
    <col min="22" max="22" width="11" style="363" hidden="1" customWidth="1"/>
    <col min="23" max="23" width="4.7109375" style="363" hidden="1" customWidth="1"/>
    <col min="24" max="24" width="11.7109375" style="363" hidden="1" customWidth="1"/>
    <col min="25" max="25" width="4.7109375" style="363" hidden="1" customWidth="1"/>
    <col min="26" max="26" width="12.42578125" style="363" hidden="1" customWidth="1"/>
    <col min="27" max="27" width="12.85546875" style="363" hidden="1" customWidth="1"/>
    <col min="28" max="28" width="14.28515625" style="363" hidden="1" customWidth="1"/>
    <col min="29" max="29" width="11.7109375" style="363" hidden="1" customWidth="1"/>
    <col min="30" max="32" width="0" style="363" hidden="1" customWidth="1"/>
    <col min="33" max="33" width="11.140625" style="363" hidden="1" customWidth="1"/>
    <col min="34" max="34" width="12" style="363" hidden="1" customWidth="1"/>
    <col min="35" max="35" width="14" style="363" hidden="1" customWidth="1"/>
    <col min="36" max="36" width="0" style="363" hidden="1" customWidth="1"/>
    <col min="37" max="37" width="2.5703125" style="363" customWidth="1"/>
    <col min="38" max="38" width="13" style="363" customWidth="1"/>
    <col min="39" max="39" width="3.7109375" style="363" customWidth="1"/>
    <col min="40" max="40" width="12.5703125" style="363" bestFit="1" customWidth="1"/>
    <col min="41" max="256" width="9.140625" style="363"/>
    <col min="257" max="257" width="11.7109375" style="363" customWidth="1"/>
    <col min="258" max="258" width="49.140625" style="363" customWidth="1"/>
    <col min="259" max="259" width="13.5703125" style="363" bestFit="1" customWidth="1"/>
    <col min="260" max="260" width="0.85546875" style="363" customWidth="1"/>
    <col min="261" max="261" width="15.7109375" style="363" customWidth="1"/>
    <col min="262" max="262" width="6.7109375" style="363" customWidth="1"/>
    <col min="263" max="263" width="13.5703125" style="363" bestFit="1" customWidth="1"/>
    <col min="264" max="264" width="2.85546875" style="363" customWidth="1"/>
    <col min="265" max="265" width="12.7109375" style="363" customWidth="1"/>
    <col min="266" max="292" width="0" style="363" hidden="1" customWidth="1"/>
    <col min="293" max="293" width="2.5703125" style="363" customWidth="1"/>
    <col min="294" max="294" width="13" style="363" customWidth="1"/>
    <col min="295" max="295" width="3.7109375" style="363" customWidth="1"/>
    <col min="296" max="296" width="12.5703125" style="363" bestFit="1" customWidth="1"/>
    <col min="297" max="512" width="9.140625" style="363"/>
    <col min="513" max="513" width="11.7109375" style="363" customWidth="1"/>
    <col min="514" max="514" width="49.140625" style="363" customWidth="1"/>
    <col min="515" max="515" width="13.5703125" style="363" bestFit="1" customWidth="1"/>
    <col min="516" max="516" width="0.85546875" style="363" customWidth="1"/>
    <col min="517" max="517" width="15.7109375" style="363" customWidth="1"/>
    <col min="518" max="518" width="6.7109375" style="363" customWidth="1"/>
    <col min="519" max="519" width="13.5703125" style="363" bestFit="1" customWidth="1"/>
    <col min="520" max="520" width="2.85546875" style="363" customWidth="1"/>
    <col min="521" max="521" width="12.7109375" style="363" customWidth="1"/>
    <col min="522" max="548" width="0" style="363" hidden="1" customWidth="1"/>
    <col min="549" max="549" width="2.5703125" style="363" customWidth="1"/>
    <col min="550" max="550" width="13" style="363" customWidth="1"/>
    <col min="551" max="551" width="3.7109375" style="363" customWidth="1"/>
    <col min="552" max="552" width="12.5703125" style="363" bestFit="1" customWidth="1"/>
    <col min="553" max="768" width="9.140625" style="363"/>
    <col min="769" max="769" width="11.7109375" style="363" customWidth="1"/>
    <col min="770" max="770" width="49.140625" style="363" customWidth="1"/>
    <col min="771" max="771" width="13.5703125" style="363" bestFit="1" customWidth="1"/>
    <col min="772" max="772" width="0.85546875" style="363" customWidth="1"/>
    <col min="773" max="773" width="15.7109375" style="363" customWidth="1"/>
    <col min="774" max="774" width="6.7109375" style="363" customWidth="1"/>
    <col min="775" max="775" width="13.5703125" style="363" bestFit="1" customWidth="1"/>
    <col min="776" max="776" width="2.85546875" style="363" customWidth="1"/>
    <col min="777" max="777" width="12.7109375" style="363" customWidth="1"/>
    <col min="778" max="804" width="0" style="363" hidden="1" customWidth="1"/>
    <col min="805" max="805" width="2.5703125" style="363" customWidth="1"/>
    <col min="806" max="806" width="13" style="363" customWidth="1"/>
    <col min="807" max="807" width="3.7109375" style="363" customWidth="1"/>
    <col min="808" max="808" width="12.5703125" style="363" bestFit="1" customWidth="1"/>
    <col min="809" max="1024" width="9.140625" style="363"/>
    <col min="1025" max="1025" width="11.7109375" style="363" customWidth="1"/>
    <col min="1026" max="1026" width="49.140625" style="363" customWidth="1"/>
    <col min="1027" max="1027" width="13.5703125" style="363" bestFit="1" customWidth="1"/>
    <col min="1028" max="1028" width="0.85546875" style="363" customWidth="1"/>
    <col min="1029" max="1029" width="15.7109375" style="363" customWidth="1"/>
    <col min="1030" max="1030" width="6.7109375" style="363" customWidth="1"/>
    <col min="1031" max="1031" width="13.5703125" style="363" bestFit="1" customWidth="1"/>
    <col min="1032" max="1032" width="2.85546875" style="363" customWidth="1"/>
    <col min="1033" max="1033" width="12.7109375" style="363" customWidth="1"/>
    <col min="1034" max="1060" width="0" style="363" hidden="1" customWidth="1"/>
    <col min="1061" max="1061" width="2.5703125" style="363" customWidth="1"/>
    <col min="1062" max="1062" width="13" style="363" customWidth="1"/>
    <col min="1063" max="1063" width="3.7109375" style="363" customWidth="1"/>
    <col min="1064" max="1064" width="12.5703125" style="363" bestFit="1" customWidth="1"/>
    <col min="1065" max="1280" width="9.140625" style="363"/>
    <col min="1281" max="1281" width="11.7109375" style="363" customWidth="1"/>
    <col min="1282" max="1282" width="49.140625" style="363" customWidth="1"/>
    <col min="1283" max="1283" width="13.5703125" style="363" bestFit="1" customWidth="1"/>
    <col min="1284" max="1284" width="0.85546875" style="363" customWidth="1"/>
    <col min="1285" max="1285" width="15.7109375" style="363" customWidth="1"/>
    <col min="1286" max="1286" width="6.7109375" style="363" customWidth="1"/>
    <col min="1287" max="1287" width="13.5703125" style="363" bestFit="1" customWidth="1"/>
    <col min="1288" max="1288" width="2.85546875" style="363" customWidth="1"/>
    <col min="1289" max="1289" width="12.7109375" style="363" customWidth="1"/>
    <col min="1290" max="1316" width="0" style="363" hidden="1" customWidth="1"/>
    <col min="1317" max="1317" width="2.5703125" style="363" customWidth="1"/>
    <col min="1318" max="1318" width="13" style="363" customWidth="1"/>
    <col min="1319" max="1319" width="3.7109375" style="363" customWidth="1"/>
    <col min="1320" max="1320" width="12.5703125" style="363" bestFit="1" customWidth="1"/>
    <col min="1321" max="1536" width="9.140625" style="363"/>
    <col min="1537" max="1537" width="11.7109375" style="363" customWidth="1"/>
    <col min="1538" max="1538" width="49.140625" style="363" customWidth="1"/>
    <col min="1539" max="1539" width="13.5703125" style="363" bestFit="1" customWidth="1"/>
    <col min="1540" max="1540" width="0.85546875" style="363" customWidth="1"/>
    <col min="1541" max="1541" width="15.7109375" style="363" customWidth="1"/>
    <col min="1542" max="1542" width="6.7109375" style="363" customWidth="1"/>
    <col min="1543" max="1543" width="13.5703125" style="363" bestFit="1" customWidth="1"/>
    <col min="1544" max="1544" width="2.85546875" style="363" customWidth="1"/>
    <col min="1545" max="1545" width="12.7109375" style="363" customWidth="1"/>
    <col min="1546" max="1572" width="0" style="363" hidden="1" customWidth="1"/>
    <col min="1573" max="1573" width="2.5703125" style="363" customWidth="1"/>
    <col min="1574" max="1574" width="13" style="363" customWidth="1"/>
    <col min="1575" max="1575" width="3.7109375" style="363" customWidth="1"/>
    <col min="1576" max="1576" width="12.5703125" style="363" bestFit="1" customWidth="1"/>
    <col min="1577" max="1792" width="9.140625" style="363"/>
    <col min="1793" max="1793" width="11.7109375" style="363" customWidth="1"/>
    <col min="1794" max="1794" width="49.140625" style="363" customWidth="1"/>
    <col min="1795" max="1795" width="13.5703125" style="363" bestFit="1" customWidth="1"/>
    <col min="1796" max="1796" width="0.85546875" style="363" customWidth="1"/>
    <col min="1797" max="1797" width="15.7109375" style="363" customWidth="1"/>
    <col min="1798" max="1798" width="6.7109375" style="363" customWidth="1"/>
    <col min="1799" max="1799" width="13.5703125" style="363" bestFit="1" customWidth="1"/>
    <col min="1800" max="1800" width="2.85546875" style="363" customWidth="1"/>
    <col min="1801" max="1801" width="12.7109375" style="363" customWidth="1"/>
    <col min="1802" max="1828" width="0" style="363" hidden="1" customWidth="1"/>
    <col min="1829" max="1829" width="2.5703125" style="363" customWidth="1"/>
    <col min="1830" max="1830" width="13" style="363" customWidth="1"/>
    <col min="1831" max="1831" width="3.7109375" style="363" customWidth="1"/>
    <col min="1832" max="1832" width="12.5703125" style="363" bestFit="1" customWidth="1"/>
    <col min="1833" max="2048" width="9.140625" style="363"/>
    <col min="2049" max="2049" width="11.7109375" style="363" customWidth="1"/>
    <col min="2050" max="2050" width="49.140625" style="363" customWidth="1"/>
    <col min="2051" max="2051" width="13.5703125" style="363" bestFit="1" customWidth="1"/>
    <col min="2052" max="2052" width="0.85546875" style="363" customWidth="1"/>
    <col min="2053" max="2053" width="15.7109375" style="363" customWidth="1"/>
    <col min="2054" max="2054" width="6.7109375" style="363" customWidth="1"/>
    <col min="2055" max="2055" width="13.5703125" style="363" bestFit="1" customWidth="1"/>
    <col min="2056" max="2056" width="2.85546875" style="363" customWidth="1"/>
    <col min="2057" max="2057" width="12.7109375" style="363" customWidth="1"/>
    <col min="2058" max="2084" width="0" style="363" hidden="1" customWidth="1"/>
    <col min="2085" max="2085" width="2.5703125" style="363" customWidth="1"/>
    <col min="2086" max="2086" width="13" style="363" customWidth="1"/>
    <col min="2087" max="2087" width="3.7109375" style="363" customWidth="1"/>
    <col min="2088" max="2088" width="12.5703125" style="363" bestFit="1" customWidth="1"/>
    <col min="2089" max="2304" width="9.140625" style="363"/>
    <col min="2305" max="2305" width="11.7109375" style="363" customWidth="1"/>
    <col min="2306" max="2306" width="49.140625" style="363" customWidth="1"/>
    <col min="2307" max="2307" width="13.5703125" style="363" bestFit="1" customWidth="1"/>
    <col min="2308" max="2308" width="0.85546875" style="363" customWidth="1"/>
    <col min="2309" max="2309" width="15.7109375" style="363" customWidth="1"/>
    <col min="2310" max="2310" width="6.7109375" style="363" customWidth="1"/>
    <col min="2311" max="2311" width="13.5703125" style="363" bestFit="1" customWidth="1"/>
    <col min="2312" max="2312" width="2.85546875" style="363" customWidth="1"/>
    <col min="2313" max="2313" width="12.7109375" style="363" customWidth="1"/>
    <col min="2314" max="2340" width="0" style="363" hidden="1" customWidth="1"/>
    <col min="2341" max="2341" width="2.5703125" style="363" customWidth="1"/>
    <col min="2342" max="2342" width="13" style="363" customWidth="1"/>
    <col min="2343" max="2343" width="3.7109375" style="363" customWidth="1"/>
    <col min="2344" max="2344" width="12.5703125" style="363" bestFit="1" customWidth="1"/>
    <col min="2345" max="2560" width="9.140625" style="363"/>
    <col min="2561" max="2561" width="11.7109375" style="363" customWidth="1"/>
    <col min="2562" max="2562" width="49.140625" style="363" customWidth="1"/>
    <col min="2563" max="2563" width="13.5703125" style="363" bestFit="1" customWidth="1"/>
    <col min="2564" max="2564" width="0.85546875" style="363" customWidth="1"/>
    <col min="2565" max="2565" width="15.7109375" style="363" customWidth="1"/>
    <col min="2566" max="2566" width="6.7109375" style="363" customWidth="1"/>
    <col min="2567" max="2567" width="13.5703125" style="363" bestFit="1" customWidth="1"/>
    <col min="2568" max="2568" width="2.85546875" style="363" customWidth="1"/>
    <col min="2569" max="2569" width="12.7109375" style="363" customWidth="1"/>
    <col min="2570" max="2596" width="0" style="363" hidden="1" customWidth="1"/>
    <col min="2597" max="2597" width="2.5703125" style="363" customWidth="1"/>
    <col min="2598" max="2598" width="13" style="363" customWidth="1"/>
    <col min="2599" max="2599" width="3.7109375" style="363" customWidth="1"/>
    <col min="2600" max="2600" width="12.5703125" style="363" bestFit="1" customWidth="1"/>
    <col min="2601" max="2816" width="9.140625" style="363"/>
    <col min="2817" max="2817" width="11.7109375" style="363" customWidth="1"/>
    <col min="2818" max="2818" width="49.140625" style="363" customWidth="1"/>
    <col min="2819" max="2819" width="13.5703125" style="363" bestFit="1" customWidth="1"/>
    <col min="2820" max="2820" width="0.85546875" style="363" customWidth="1"/>
    <col min="2821" max="2821" width="15.7109375" style="363" customWidth="1"/>
    <col min="2822" max="2822" width="6.7109375" style="363" customWidth="1"/>
    <col min="2823" max="2823" width="13.5703125" style="363" bestFit="1" customWidth="1"/>
    <col min="2824" max="2824" width="2.85546875" style="363" customWidth="1"/>
    <col min="2825" max="2825" width="12.7109375" style="363" customWidth="1"/>
    <col min="2826" max="2852" width="0" style="363" hidden="1" customWidth="1"/>
    <col min="2853" max="2853" width="2.5703125" style="363" customWidth="1"/>
    <col min="2854" max="2854" width="13" style="363" customWidth="1"/>
    <col min="2855" max="2855" width="3.7109375" style="363" customWidth="1"/>
    <col min="2856" max="2856" width="12.5703125" style="363" bestFit="1" customWidth="1"/>
    <col min="2857" max="3072" width="9.140625" style="363"/>
    <col min="3073" max="3073" width="11.7109375" style="363" customWidth="1"/>
    <col min="3074" max="3074" width="49.140625" style="363" customWidth="1"/>
    <col min="3075" max="3075" width="13.5703125" style="363" bestFit="1" customWidth="1"/>
    <col min="3076" max="3076" width="0.85546875" style="363" customWidth="1"/>
    <col min="3077" max="3077" width="15.7109375" style="363" customWidth="1"/>
    <col min="3078" max="3078" width="6.7109375" style="363" customWidth="1"/>
    <col min="3079" max="3079" width="13.5703125" style="363" bestFit="1" customWidth="1"/>
    <col min="3080" max="3080" width="2.85546875" style="363" customWidth="1"/>
    <col min="3081" max="3081" width="12.7109375" style="363" customWidth="1"/>
    <col min="3082" max="3108" width="0" style="363" hidden="1" customWidth="1"/>
    <col min="3109" max="3109" width="2.5703125" style="363" customWidth="1"/>
    <col min="3110" max="3110" width="13" style="363" customWidth="1"/>
    <col min="3111" max="3111" width="3.7109375" style="363" customWidth="1"/>
    <col min="3112" max="3112" width="12.5703125" style="363" bestFit="1" customWidth="1"/>
    <col min="3113" max="3328" width="9.140625" style="363"/>
    <col min="3329" max="3329" width="11.7109375" style="363" customWidth="1"/>
    <col min="3330" max="3330" width="49.140625" style="363" customWidth="1"/>
    <col min="3331" max="3331" width="13.5703125" style="363" bestFit="1" customWidth="1"/>
    <col min="3332" max="3332" width="0.85546875" style="363" customWidth="1"/>
    <col min="3333" max="3333" width="15.7109375" style="363" customWidth="1"/>
    <col min="3334" max="3334" width="6.7109375" style="363" customWidth="1"/>
    <col min="3335" max="3335" width="13.5703125" style="363" bestFit="1" customWidth="1"/>
    <col min="3336" max="3336" width="2.85546875" style="363" customWidth="1"/>
    <col min="3337" max="3337" width="12.7109375" style="363" customWidth="1"/>
    <col min="3338" max="3364" width="0" style="363" hidden="1" customWidth="1"/>
    <col min="3365" max="3365" width="2.5703125" style="363" customWidth="1"/>
    <col min="3366" max="3366" width="13" style="363" customWidth="1"/>
    <col min="3367" max="3367" width="3.7109375" style="363" customWidth="1"/>
    <col min="3368" max="3368" width="12.5703125" style="363" bestFit="1" customWidth="1"/>
    <col min="3369" max="3584" width="9.140625" style="363"/>
    <col min="3585" max="3585" width="11.7109375" style="363" customWidth="1"/>
    <col min="3586" max="3586" width="49.140625" style="363" customWidth="1"/>
    <col min="3587" max="3587" width="13.5703125" style="363" bestFit="1" customWidth="1"/>
    <col min="3588" max="3588" width="0.85546875" style="363" customWidth="1"/>
    <col min="3589" max="3589" width="15.7109375" style="363" customWidth="1"/>
    <col min="3590" max="3590" width="6.7109375" style="363" customWidth="1"/>
    <col min="3591" max="3591" width="13.5703125" style="363" bestFit="1" customWidth="1"/>
    <col min="3592" max="3592" width="2.85546875" style="363" customWidth="1"/>
    <col min="3593" max="3593" width="12.7109375" style="363" customWidth="1"/>
    <col min="3594" max="3620" width="0" style="363" hidden="1" customWidth="1"/>
    <col min="3621" max="3621" width="2.5703125" style="363" customWidth="1"/>
    <col min="3622" max="3622" width="13" style="363" customWidth="1"/>
    <col min="3623" max="3623" width="3.7109375" style="363" customWidth="1"/>
    <col min="3624" max="3624" width="12.5703125" style="363" bestFit="1" customWidth="1"/>
    <col min="3625" max="3840" width="9.140625" style="363"/>
    <col min="3841" max="3841" width="11.7109375" style="363" customWidth="1"/>
    <col min="3842" max="3842" width="49.140625" style="363" customWidth="1"/>
    <col min="3843" max="3843" width="13.5703125" style="363" bestFit="1" customWidth="1"/>
    <col min="3844" max="3844" width="0.85546875" style="363" customWidth="1"/>
    <col min="3845" max="3845" width="15.7109375" style="363" customWidth="1"/>
    <col min="3846" max="3846" width="6.7109375" style="363" customWidth="1"/>
    <col min="3847" max="3847" width="13.5703125" style="363" bestFit="1" customWidth="1"/>
    <col min="3848" max="3848" width="2.85546875" style="363" customWidth="1"/>
    <col min="3849" max="3849" width="12.7109375" style="363" customWidth="1"/>
    <col min="3850" max="3876" width="0" style="363" hidden="1" customWidth="1"/>
    <col min="3877" max="3877" width="2.5703125" style="363" customWidth="1"/>
    <col min="3878" max="3878" width="13" style="363" customWidth="1"/>
    <col min="3879" max="3879" width="3.7109375" style="363" customWidth="1"/>
    <col min="3880" max="3880" width="12.5703125" style="363" bestFit="1" customWidth="1"/>
    <col min="3881" max="4096" width="9.140625" style="363"/>
    <col min="4097" max="4097" width="11.7109375" style="363" customWidth="1"/>
    <col min="4098" max="4098" width="49.140625" style="363" customWidth="1"/>
    <col min="4099" max="4099" width="13.5703125" style="363" bestFit="1" customWidth="1"/>
    <col min="4100" max="4100" width="0.85546875" style="363" customWidth="1"/>
    <col min="4101" max="4101" width="15.7109375" style="363" customWidth="1"/>
    <col min="4102" max="4102" width="6.7109375" style="363" customWidth="1"/>
    <col min="4103" max="4103" width="13.5703125" style="363" bestFit="1" customWidth="1"/>
    <col min="4104" max="4104" width="2.85546875" style="363" customWidth="1"/>
    <col min="4105" max="4105" width="12.7109375" style="363" customWidth="1"/>
    <col min="4106" max="4132" width="0" style="363" hidden="1" customWidth="1"/>
    <col min="4133" max="4133" width="2.5703125" style="363" customWidth="1"/>
    <col min="4134" max="4134" width="13" style="363" customWidth="1"/>
    <col min="4135" max="4135" width="3.7109375" style="363" customWidth="1"/>
    <col min="4136" max="4136" width="12.5703125" style="363" bestFit="1" customWidth="1"/>
    <col min="4137" max="4352" width="9.140625" style="363"/>
    <col min="4353" max="4353" width="11.7109375" style="363" customWidth="1"/>
    <col min="4354" max="4354" width="49.140625" style="363" customWidth="1"/>
    <col min="4355" max="4355" width="13.5703125" style="363" bestFit="1" customWidth="1"/>
    <col min="4356" max="4356" width="0.85546875" style="363" customWidth="1"/>
    <col min="4357" max="4357" width="15.7109375" style="363" customWidth="1"/>
    <col min="4358" max="4358" width="6.7109375" style="363" customWidth="1"/>
    <col min="4359" max="4359" width="13.5703125" style="363" bestFit="1" customWidth="1"/>
    <col min="4360" max="4360" width="2.85546875" style="363" customWidth="1"/>
    <col min="4361" max="4361" width="12.7109375" style="363" customWidth="1"/>
    <col min="4362" max="4388" width="0" style="363" hidden="1" customWidth="1"/>
    <col min="4389" max="4389" width="2.5703125" style="363" customWidth="1"/>
    <col min="4390" max="4390" width="13" style="363" customWidth="1"/>
    <col min="4391" max="4391" width="3.7109375" style="363" customWidth="1"/>
    <col min="4392" max="4392" width="12.5703125" style="363" bestFit="1" customWidth="1"/>
    <col min="4393" max="4608" width="9.140625" style="363"/>
    <col min="4609" max="4609" width="11.7109375" style="363" customWidth="1"/>
    <col min="4610" max="4610" width="49.140625" style="363" customWidth="1"/>
    <col min="4611" max="4611" width="13.5703125" style="363" bestFit="1" customWidth="1"/>
    <col min="4612" max="4612" width="0.85546875" style="363" customWidth="1"/>
    <col min="4613" max="4613" width="15.7109375" style="363" customWidth="1"/>
    <col min="4614" max="4614" width="6.7109375" style="363" customWidth="1"/>
    <col min="4615" max="4615" width="13.5703125" style="363" bestFit="1" customWidth="1"/>
    <col min="4616" max="4616" width="2.85546875" style="363" customWidth="1"/>
    <col min="4617" max="4617" width="12.7109375" style="363" customWidth="1"/>
    <col min="4618" max="4644" width="0" style="363" hidden="1" customWidth="1"/>
    <col min="4645" max="4645" width="2.5703125" style="363" customWidth="1"/>
    <col min="4646" max="4646" width="13" style="363" customWidth="1"/>
    <col min="4647" max="4647" width="3.7109375" style="363" customWidth="1"/>
    <col min="4648" max="4648" width="12.5703125" style="363" bestFit="1" customWidth="1"/>
    <col min="4649" max="4864" width="9.140625" style="363"/>
    <col min="4865" max="4865" width="11.7109375" style="363" customWidth="1"/>
    <col min="4866" max="4866" width="49.140625" style="363" customWidth="1"/>
    <col min="4867" max="4867" width="13.5703125" style="363" bestFit="1" customWidth="1"/>
    <col min="4868" max="4868" width="0.85546875" style="363" customWidth="1"/>
    <col min="4869" max="4869" width="15.7109375" style="363" customWidth="1"/>
    <col min="4870" max="4870" width="6.7109375" style="363" customWidth="1"/>
    <col min="4871" max="4871" width="13.5703125" style="363" bestFit="1" customWidth="1"/>
    <col min="4872" max="4872" width="2.85546875" style="363" customWidth="1"/>
    <col min="4873" max="4873" width="12.7109375" style="363" customWidth="1"/>
    <col min="4874" max="4900" width="0" style="363" hidden="1" customWidth="1"/>
    <col min="4901" max="4901" width="2.5703125" style="363" customWidth="1"/>
    <col min="4902" max="4902" width="13" style="363" customWidth="1"/>
    <col min="4903" max="4903" width="3.7109375" style="363" customWidth="1"/>
    <col min="4904" max="4904" width="12.5703125" style="363" bestFit="1" customWidth="1"/>
    <col min="4905" max="5120" width="9.140625" style="363"/>
    <col min="5121" max="5121" width="11.7109375" style="363" customWidth="1"/>
    <col min="5122" max="5122" width="49.140625" style="363" customWidth="1"/>
    <col min="5123" max="5123" width="13.5703125" style="363" bestFit="1" customWidth="1"/>
    <col min="5124" max="5124" width="0.85546875" style="363" customWidth="1"/>
    <col min="5125" max="5125" width="15.7109375" style="363" customWidth="1"/>
    <col min="5126" max="5126" width="6.7109375" style="363" customWidth="1"/>
    <col min="5127" max="5127" width="13.5703125" style="363" bestFit="1" customWidth="1"/>
    <col min="5128" max="5128" width="2.85546875" style="363" customWidth="1"/>
    <col min="5129" max="5129" width="12.7109375" style="363" customWidth="1"/>
    <col min="5130" max="5156" width="0" style="363" hidden="1" customWidth="1"/>
    <col min="5157" max="5157" width="2.5703125" style="363" customWidth="1"/>
    <col min="5158" max="5158" width="13" style="363" customWidth="1"/>
    <col min="5159" max="5159" width="3.7109375" style="363" customWidth="1"/>
    <col min="5160" max="5160" width="12.5703125" style="363" bestFit="1" customWidth="1"/>
    <col min="5161" max="5376" width="9.140625" style="363"/>
    <col min="5377" max="5377" width="11.7109375" style="363" customWidth="1"/>
    <col min="5378" max="5378" width="49.140625" style="363" customWidth="1"/>
    <col min="5379" max="5379" width="13.5703125" style="363" bestFit="1" customWidth="1"/>
    <col min="5380" max="5380" width="0.85546875" style="363" customWidth="1"/>
    <col min="5381" max="5381" width="15.7109375" style="363" customWidth="1"/>
    <col min="5382" max="5382" width="6.7109375" style="363" customWidth="1"/>
    <col min="5383" max="5383" width="13.5703125" style="363" bestFit="1" customWidth="1"/>
    <col min="5384" max="5384" width="2.85546875" style="363" customWidth="1"/>
    <col min="5385" max="5385" width="12.7109375" style="363" customWidth="1"/>
    <col min="5386" max="5412" width="0" style="363" hidden="1" customWidth="1"/>
    <col min="5413" max="5413" width="2.5703125" style="363" customWidth="1"/>
    <col min="5414" max="5414" width="13" style="363" customWidth="1"/>
    <col min="5415" max="5415" width="3.7109375" style="363" customWidth="1"/>
    <col min="5416" max="5416" width="12.5703125" style="363" bestFit="1" customWidth="1"/>
    <col min="5417" max="5632" width="9.140625" style="363"/>
    <col min="5633" max="5633" width="11.7109375" style="363" customWidth="1"/>
    <col min="5634" max="5634" width="49.140625" style="363" customWidth="1"/>
    <col min="5635" max="5635" width="13.5703125" style="363" bestFit="1" customWidth="1"/>
    <col min="5636" max="5636" width="0.85546875" style="363" customWidth="1"/>
    <col min="5637" max="5637" width="15.7109375" style="363" customWidth="1"/>
    <col min="5638" max="5638" width="6.7109375" style="363" customWidth="1"/>
    <col min="5639" max="5639" width="13.5703125" style="363" bestFit="1" customWidth="1"/>
    <col min="5640" max="5640" width="2.85546875" style="363" customWidth="1"/>
    <col min="5641" max="5641" width="12.7109375" style="363" customWidth="1"/>
    <col min="5642" max="5668" width="0" style="363" hidden="1" customWidth="1"/>
    <col min="5669" max="5669" width="2.5703125" style="363" customWidth="1"/>
    <col min="5670" max="5670" width="13" style="363" customWidth="1"/>
    <col min="5671" max="5671" width="3.7109375" style="363" customWidth="1"/>
    <col min="5672" max="5672" width="12.5703125" style="363" bestFit="1" customWidth="1"/>
    <col min="5673" max="5888" width="9.140625" style="363"/>
    <col min="5889" max="5889" width="11.7109375" style="363" customWidth="1"/>
    <col min="5890" max="5890" width="49.140625" style="363" customWidth="1"/>
    <col min="5891" max="5891" width="13.5703125" style="363" bestFit="1" customWidth="1"/>
    <col min="5892" max="5892" width="0.85546875" style="363" customWidth="1"/>
    <col min="5893" max="5893" width="15.7109375" style="363" customWidth="1"/>
    <col min="5894" max="5894" width="6.7109375" style="363" customWidth="1"/>
    <col min="5895" max="5895" width="13.5703125" style="363" bestFit="1" customWidth="1"/>
    <col min="5896" max="5896" width="2.85546875" style="363" customWidth="1"/>
    <col min="5897" max="5897" width="12.7109375" style="363" customWidth="1"/>
    <col min="5898" max="5924" width="0" style="363" hidden="1" customWidth="1"/>
    <col min="5925" max="5925" width="2.5703125" style="363" customWidth="1"/>
    <col min="5926" max="5926" width="13" style="363" customWidth="1"/>
    <col min="5927" max="5927" width="3.7109375" style="363" customWidth="1"/>
    <col min="5928" max="5928" width="12.5703125" style="363" bestFit="1" customWidth="1"/>
    <col min="5929" max="6144" width="9.140625" style="363"/>
    <col min="6145" max="6145" width="11.7109375" style="363" customWidth="1"/>
    <col min="6146" max="6146" width="49.140625" style="363" customWidth="1"/>
    <col min="6147" max="6147" width="13.5703125" style="363" bestFit="1" customWidth="1"/>
    <col min="6148" max="6148" width="0.85546875" style="363" customWidth="1"/>
    <col min="6149" max="6149" width="15.7109375" style="363" customWidth="1"/>
    <col min="6150" max="6150" width="6.7109375" style="363" customWidth="1"/>
    <col min="6151" max="6151" width="13.5703125" style="363" bestFit="1" customWidth="1"/>
    <col min="6152" max="6152" width="2.85546875" style="363" customWidth="1"/>
    <col min="6153" max="6153" width="12.7109375" style="363" customWidth="1"/>
    <col min="6154" max="6180" width="0" style="363" hidden="1" customWidth="1"/>
    <col min="6181" max="6181" width="2.5703125" style="363" customWidth="1"/>
    <col min="6182" max="6182" width="13" style="363" customWidth="1"/>
    <col min="6183" max="6183" width="3.7109375" style="363" customWidth="1"/>
    <col min="6184" max="6184" width="12.5703125" style="363" bestFit="1" customWidth="1"/>
    <col min="6185" max="6400" width="9.140625" style="363"/>
    <col min="6401" max="6401" width="11.7109375" style="363" customWidth="1"/>
    <col min="6402" max="6402" width="49.140625" style="363" customWidth="1"/>
    <col min="6403" max="6403" width="13.5703125" style="363" bestFit="1" customWidth="1"/>
    <col min="6404" max="6404" width="0.85546875" style="363" customWidth="1"/>
    <col min="6405" max="6405" width="15.7109375" style="363" customWidth="1"/>
    <col min="6406" max="6406" width="6.7109375" style="363" customWidth="1"/>
    <col min="6407" max="6407" width="13.5703125" style="363" bestFit="1" customWidth="1"/>
    <col min="6408" max="6408" width="2.85546875" style="363" customWidth="1"/>
    <col min="6409" max="6409" width="12.7109375" style="363" customWidth="1"/>
    <col min="6410" max="6436" width="0" style="363" hidden="1" customWidth="1"/>
    <col min="6437" max="6437" width="2.5703125" style="363" customWidth="1"/>
    <col min="6438" max="6438" width="13" style="363" customWidth="1"/>
    <col min="6439" max="6439" width="3.7109375" style="363" customWidth="1"/>
    <col min="6440" max="6440" width="12.5703125" style="363" bestFit="1" customWidth="1"/>
    <col min="6441" max="6656" width="9.140625" style="363"/>
    <col min="6657" max="6657" width="11.7109375" style="363" customWidth="1"/>
    <col min="6658" max="6658" width="49.140625" style="363" customWidth="1"/>
    <col min="6659" max="6659" width="13.5703125" style="363" bestFit="1" customWidth="1"/>
    <col min="6660" max="6660" width="0.85546875" style="363" customWidth="1"/>
    <col min="6661" max="6661" width="15.7109375" style="363" customWidth="1"/>
    <col min="6662" max="6662" width="6.7109375" style="363" customWidth="1"/>
    <col min="6663" max="6663" width="13.5703125" style="363" bestFit="1" customWidth="1"/>
    <col min="6664" max="6664" width="2.85546875" style="363" customWidth="1"/>
    <col min="6665" max="6665" width="12.7109375" style="363" customWidth="1"/>
    <col min="6666" max="6692" width="0" style="363" hidden="1" customWidth="1"/>
    <col min="6693" max="6693" width="2.5703125" style="363" customWidth="1"/>
    <col min="6694" max="6694" width="13" style="363" customWidth="1"/>
    <col min="6695" max="6695" width="3.7109375" style="363" customWidth="1"/>
    <col min="6696" max="6696" width="12.5703125" style="363" bestFit="1" customWidth="1"/>
    <col min="6697" max="6912" width="9.140625" style="363"/>
    <col min="6913" max="6913" width="11.7109375" style="363" customWidth="1"/>
    <col min="6914" max="6914" width="49.140625" style="363" customWidth="1"/>
    <col min="6915" max="6915" width="13.5703125" style="363" bestFit="1" customWidth="1"/>
    <col min="6916" max="6916" width="0.85546875" style="363" customWidth="1"/>
    <col min="6917" max="6917" width="15.7109375" style="363" customWidth="1"/>
    <col min="6918" max="6918" width="6.7109375" style="363" customWidth="1"/>
    <col min="6919" max="6919" width="13.5703125" style="363" bestFit="1" customWidth="1"/>
    <col min="6920" max="6920" width="2.85546875" style="363" customWidth="1"/>
    <col min="6921" max="6921" width="12.7109375" style="363" customWidth="1"/>
    <col min="6922" max="6948" width="0" style="363" hidden="1" customWidth="1"/>
    <col min="6949" max="6949" width="2.5703125" style="363" customWidth="1"/>
    <col min="6950" max="6950" width="13" style="363" customWidth="1"/>
    <col min="6951" max="6951" width="3.7109375" style="363" customWidth="1"/>
    <col min="6952" max="6952" width="12.5703125" style="363" bestFit="1" customWidth="1"/>
    <col min="6953" max="7168" width="9.140625" style="363"/>
    <col min="7169" max="7169" width="11.7109375" style="363" customWidth="1"/>
    <col min="7170" max="7170" width="49.140625" style="363" customWidth="1"/>
    <col min="7171" max="7171" width="13.5703125" style="363" bestFit="1" customWidth="1"/>
    <col min="7172" max="7172" width="0.85546875" style="363" customWidth="1"/>
    <col min="7173" max="7173" width="15.7109375" style="363" customWidth="1"/>
    <col min="7174" max="7174" width="6.7109375" style="363" customWidth="1"/>
    <col min="7175" max="7175" width="13.5703125" style="363" bestFit="1" customWidth="1"/>
    <col min="7176" max="7176" width="2.85546875" style="363" customWidth="1"/>
    <col min="7177" max="7177" width="12.7109375" style="363" customWidth="1"/>
    <col min="7178" max="7204" width="0" style="363" hidden="1" customWidth="1"/>
    <col min="7205" max="7205" width="2.5703125" style="363" customWidth="1"/>
    <col min="7206" max="7206" width="13" style="363" customWidth="1"/>
    <col min="7207" max="7207" width="3.7109375" style="363" customWidth="1"/>
    <col min="7208" max="7208" width="12.5703125" style="363" bestFit="1" customWidth="1"/>
    <col min="7209" max="7424" width="9.140625" style="363"/>
    <col min="7425" max="7425" width="11.7109375" style="363" customWidth="1"/>
    <col min="7426" max="7426" width="49.140625" style="363" customWidth="1"/>
    <col min="7427" max="7427" width="13.5703125" style="363" bestFit="1" customWidth="1"/>
    <col min="7428" max="7428" width="0.85546875" style="363" customWidth="1"/>
    <col min="7429" max="7429" width="15.7109375" style="363" customWidth="1"/>
    <col min="7430" max="7430" width="6.7109375" style="363" customWidth="1"/>
    <col min="7431" max="7431" width="13.5703125" style="363" bestFit="1" customWidth="1"/>
    <col min="7432" max="7432" width="2.85546875" style="363" customWidth="1"/>
    <col min="7433" max="7433" width="12.7109375" style="363" customWidth="1"/>
    <col min="7434" max="7460" width="0" style="363" hidden="1" customWidth="1"/>
    <col min="7461" max="7461" width="2.5703125" style="363" customWidth="1"/>
    <col min="7462" max="7462" width="13" style="363" customWidth="1"/>
    <col min="7463" max="7463" width="3.7109375" style="363" customWidth="1"/>
    <col min="7464" max="7464" width="12.5703125" style="363" bestFit="1" customWidth="1"/>
    <col min="7465" max="7680" width="9.140625" style="363"/>
    <col min="7681" max="7681" width="11.7109375" style="363" customWidth="1"/>
    <col min="7682" max="7682" width="49.140625" style="363" customWidth="1"/>
    <col min="7683" max="7683" width="13.5703125" style="363" bestFit="1" customWidth="1"/>
    <col min="7684" max="7684" width="0.85546875" style="363" customWidth="1"/>
    <col min="7685" max="7685" width="15.7109375" style="363" customWidth="1"/>
    <col min="7686" max="7686" width="6.7109375" style="363" customWidth="1"/>
    <col min="7687" max="7687" width="13.5703125" style="363" bestFit="1" customWidth="1"/>
    <col min="7688" max="7688" width="2.85546875" style="363" customWidth="1"/>
    <col min="7689" max="7689" width="12.7109375" style="363" customWidth="1"/>
    <col min="7690" max="7716" width="0" style="363" hidden="1" customWidth="1"/>
    <col min="7717" max="7717" width="2.5703125" style="363" customWidth="1"/>
    <col min="7718" max="7718" width="13" style="363" customWidth="1"/>
    <col min="7719" max="7719" width="3.7109375" style="363" customWidth="1"/>
    <col min="7720" max="7720" width="12.5703125" style="363" bestFit="1" customWidth="1"/>
    <col min="7721" max="7936" width="9.140625" style="363"/>
    <col min="7937" max="7937" width="11.7109375" style="363" customWidth="1"/>
    <col min="7938" max="7938" width="49.140625" style="363" customWidth="1"/>
    <col min="7939" max="7939" width="13.5703125" style="363" bestFit="1" customWidth="1"/>
    <col min="7940" max="7940" width="0.85546875" style="363" customWidth="1"/>
    <col min="7941" max="7941" width="15.7109375" style="363" customWidth="1"/>
    <col min="7942" max="7942" width="6.7109375" style="363" customWidth="1"/>
    <col min="7943" max="7943" width="13.5703125" style="363" bestFit="1" customWidth="1"/>
    <col min="7944" max="7944" width="2.85546875" style="363" customWidth="1"/>
    <col min="7945" max="7945" width="12.7109375" style="363" customWidth="1"/>
    <col min="7946" max="7972" width="0" style="363" hidden="1" customWidth="1"/>
    <col min="7973" max="7973" width="2.5703125" style="363" customWidth="1"/>
    <col min="7974" max="7974" width="13" style="363" customWidth="1"/>
    <col min="7975" max="7975" width="3.7109375" style="363" customWidth="1"/>
    <col min="7976" max="7976" width="12.5703125" style="363" bestFit="1" customWidth="1"/>
    <col min="7977" max="8192" width="9.140625" style="363"/>
    <col min="8193" max="8193" width="11.7109375" style="363" customWidth="1"/>
    <col min="8194" max="8194" width="49.140625" style="363" customWidth="1"/>
    <col min="8195" max="8195" width="13.5703125" style="363" bestFit="1" customWidth="1"/>
    <col min="8196" max="8196" width="0.85546875" style="363" customWidth="1"/>
    <col min="8197" max="8197" width="15.7109375" style="363" customWidth="1"/>
    <col min="8198" max="8198" width="6.7109375" style="363" customWidth="1"/>
    <col min="8199" max="8199" width="13.5703125" style="363" bestFit="1" customWidth="1"/>
    <col min="8200" max="8200" width="2.85546875" style="363" customWidth="1"/>
    <col min="8201" max="8201" width="12.7109375" style="363" customWidth="1"/>
    <col min="8202" max="8228" width="0" style="363" hidden="1" customWidth="1"/>
    <col min="8229" max="8229" width="2.5703125" style="363" customWidth="1"/>
    <col min="8230" max="8230" width="13" style="363" customWidth="1"/>
    <col min="8231" max="8231" width="3.7109375" style="363" customWidth="1"/>
    <col min="8232" max="8232" width="12.5703125" style="363" bestFit="1" customWidth="1"/>
    <col min="8233" max="8448" width="9.140625" style="363"/>
    <col min="8449" max="8449" width="11.7109375" style="363" customWidth="1"/>
    <col min="8450" max="8450" width="49.140625" style="363" customWidth="1"/>
    <col min="8451" max="8451" width="13.5703125" style="363" bestFit="1" customWidth="1"/>
    <col min="8452" max="8452" width="0.85546875" style="363" customWidth="1"/>
    <col min="8453" max="8453" width="15.7109375" style="363" customWidth="1"/>
    <col min="8454" max="8454" width="6.7109375" style="363" customWidth="1"/>
    <col min="8455" max="8455" width="13.5703125" style="363" bestFit="1" customWidth="1"/>
    <col min="8456" max="8456" width="2.85546875" style="363" customWidth="1"/>
    <col min="8457" max="8457" width="12.7109375" style="363" customWidth="1"/>
    <col min="8458" max="8484" width="0" style="363" hidden="1" customWidth="1"/>
    <col min="8485" max="8485" width="2.5703125" style="363" customWidth="1"/>
    <col min="8486" max="8486" width="13" style="363" customWidth="1"/>
    <col min="8487" max="8487" width="3.7109375" style="363" customWidth="1"/>
    <col min="8488" max="8488" width="12.5703125" style="363" bestFit="1" customWidth="1"/>
    <col min="8489" max="8704" width="9.140625" style="363"/>
    <col min="8705" max="8705" width="11.7109375" style="363" customWidth="1"/>
    <col min="8706" max="8706" width="49.140625" style="363" customWidth="1"/>
    <col min="8707" max="8707" width="13.5703125" style="363" bestFit="1" customWidth="1"/>
    <col min="8708" max="8708" width="0.85546875" style="363" customWidth="1"/>
    <col min="8709" max="8709" width="15.7109375" style="363" customWidth="1"/>
    <col min="8710" max="8710" width="6.7109375" style="363" customWidth="1"/>
    <col min="8711" max="8711" width="13.5703125" style="363" bestFit="1" customWidth="1"/>
    <col min="8712" max="8712" width="2.85546875" style="363" customWidth="1"/>
    <col min="8713" max="8713" width="12.7109375" style="363" customWidth="1"/>
    <col min="8714" max="8740" width="0" style="363" hidden="1" customWidth="1"/>
    <col min="8741" max="8741" width="2.5703125" style="363" customWidth="1"/>
    <col min="8742" max="8742" width="13" style="363" customWidth="1"/>
    <col min="8743" max="8743" width="3.7109375" style="363" customWidth="1"/>
    <col min="8744" max="8744" width="12.5703125" style="363" bestFit="1" customWidth="1"/>
    <col min="8745" max="8960" width="9.140625" style="363"/>
    <col min="8961" max="8961" width="11.7109375" style="363" customWidth="1"/>
    <col min="8962" max="8962" width="49.140625" style="363" customWidth="1"/>
    <col min="8963" max="8963" width="13.5703125" style="363" bestFit="1" customWidth="1"/>
    <col min="8964" max="8964" width="0.85546875" style="363" customWidth="1"/>
    <col min="8965" max="8965" width="15.7109375" style="363" customWidth="1"/>
    <col min="8966" max="8966" width="6.7109375" style="363" customWidth="1"/>
    <col min="8967" max="8967" width="13.5703125" style="363" bestFit="1" customWidth="1"/>
    <col min="8968" max="8968" width="2.85546875" style="363" customWidth="1"/>
    <col min="8969" max="8969" width="12.7109375" style="363" customWidth="1"/>
    <col min="8970" max="8996" width="0" style="363" hidden="1" customWidth="1"/>
    <col min="8997" max="8997" width="2.5703125" style="363" customWidth="1"/>
    <col min="8998" max="8998" width="13" style="363" customWidth="1"/>
    <col min="8999" max="8999" width="3.7109375" style="363" customWidth="1"/>
    <col min="9000" max="9000" width="12.5703125" style="363" bestFit="1" customWidth="1"/>
    <col min="9001" max="9216" width="9.140625" style="363"/>
    <col min="9217" max="9217" width="11.7109375" style="363" customWidth="1"/>
    <col min="9218" max="9218" width="49.140625" style="363" customWidth="1"/>
    <col min="9219" max="9219" width="13.5703125" style="363" bestFit="1" customWidth="1"/>
    <col min="9220" max="9220" width="0.85546875" style="363" customWidth="1"/>
    <col min="9221" max="9221" width="15.7109375" style="363" customWidth="1"/>
    <col min="9222" max="9222" width="6.7109375" style="363" customWidth="1"/>
    <col min="9223" max="9223" width="13.5703125" style="363" bestFit="1" customWidth="1"/>
    <col min="9224" max="9224" width="2.85546875" style="363" customWidth="1"/>
    <col min="9225" max="9225" width="12.7109375" style="363" customWidth="1"/>
    <col min="9226" max="9252" width="0" style="363" hidden="1" customWidth="1"/>
    <col min="9253" max="9253" width="2.5703125" style="363" customWidth="1"/>
    <col min="9254" max="9254" width="13" style="363" customWidth="1"/>
    <col min="9255" max="9255" width="3.7109375" style="363" customWidth="1"/>
    <col min="9256" max="9256" width="12.5703125" style="363" bestFit="1" customWidth="1"/>
    <col min="9257" max="9472" width="9.140625" style="363"/>
    <col min="9473" max="9473" width="11.7109375" style="363" customWidth="1"/>
    <col min="9474" max="9474" width="49.140625" style="363" customWidth="1"/>
    <col min="9475" max="9475" width="13.5703125" style="363" bestFit="1" customWidth="1"/>
    <col min="9476" max="9476" width="0.85546875" style="363" customWidth="1"/>
    <col min="9477" max="9477" width="15.7109375" style="363" customWidth="1"/>
    <col min="9478" max="9478" width="6.7109375" style="363" customWidth="1"/>
    <col min="9479" max="9479" width="13.5703125" style="363" bestFit="1" customWidth="1"/>
    <col min="9480" max="9480" width="2.85546875" style="363" customWidth="1"/>
    <col min="9481" max="9481" width="12.7109375" style="363" customWidth="1"/>
    <col min="9482" max="9508" width="0" style="363" hidden="1" customWidth="1"/>
    <col min="9509" max="9509" width="2.5703125" style="363" customWidth="1"/>
    <col min="9510" max="9510" width="13" style="363" customWidth="1"/>
    <col min="9511" max="9511" width="3.7109375" style="363" customWidth="1"/>
    <col min="9512" max="9512" width="12.5703125" style="363" bestFit="1" customWidth="1"/>
    <col min="9513" max="9728" width="9.140625" style="363"/>
    <col min="9729" max="9729" width="11.7109375" style="363" customWidth="1"/>
    <col min="9730" max="9730" width="49.140625" style="363" customWidth="1"/>
    <col min="9731" max="9731" width="13.5703125" style="363" bestFit="1" customWidth="1"/>
    <col min="9732" max="9732" width="0.85546875" style="363" customWidth="1"/>
    <col min="9733" max="9733" width="15.7109375" style="363" customWidth="1"/>
    <col min="9734" max="9734" width="6.7109375" style="363" customWidth="1"/>
    <col min="9735" max="9735" width="13.5703125" style="363" bestFit="1" customWidth="1"/>
    <col min="9736" max="9736" width="2.85546875" style="363" customWidth="1"/>
    <col min="9737" max="9737" width="12.7109375" style="363" customWidth="1"/>
    <col min="9738" max="9764" width="0" style="363" hidden="1" customWidth="1"/>
    <col min="9765" max="9765" width="2.5703125" style="363" customWidth="1"/>
    <col min="9766" max="9766" width="13" style="363" customWidth="1"/>
    <col min="9767" max="9767" width="3.7109375" style="363" customWidth="1"/>
    <col min="9768" max="9768" width="12.5703125" style="363" bestFit="1" customWidth="1"/>
    <col min="9769" max="9984" width="9.140625" style="363"/>
    <col min="9985" max="9985" width="11.7109375" style="363" customWidth="1"/>
    <col min="9986" max="9986" width="49.140625" style="363" customWidth="1"/>
    <col min="9987" max="9987" width="13.5703125" style="363" bestFit="1" customWidth="1"/>
    <col min="9988" max="9988" width="0.85546875" style="363" customWidth="1"/>
    <col min="9989" max="9989" width="15.7109375" style="363" customWidth="1"/>
    <col min="9990" max="9990" width="6.7109375" style="363" customWidth="1"/>
    <col min="9991" max="9991" width="13.5703125" style="363" bestFit="1" customWidth="1"/>
    <col min="9992" max="9992" width="2.85546875" style="363" customWidth="1"/>
    <col min="9993" max="9993" width="12.7109375" style="363" customWidth="1"/>
    <col min="9994" max="10020" width="0" style="363" hidden="1" customWidth="1"/>
    <col min="10021" max="10021" width="2.5703125" style="363" customWidth="1"/>
    <col min="10022" max="10022" width="13" style="363" customWidth="1"/>
    <col min="10023" max="10023" width="3.7109375" style="363" customWidth="1"/>
    <col min="10024" max="10024" width="12.5703125" style="363" bestFit="1" customWidth="1"/>
    <col min="10025" max="10240" width="9.140625" style="363"/>
    <col min="10241" max="10241" width="11.7109375" style="363" customWidth="1"/>
    <col min="10242" max="10242" width="49.140625" style="363" customWidth="1"/>
    <col min="10243" max="10243" width="13.5703125" style="363" bestFit="1" customWidth="1"/>
    <col min="10244" max="10244" width="0.85546875" style="363" customWidth="1"/>
    <col min="10245" max="10245" width="15.7109375" style="363" customWidth="1"/>
    <col min="10246" max="10246" width="6.7109375" style="363" customWidth="1"/>
    <col min="10247" max="10247" width="13.5703125" style="363" bestFit="1" customWidth="1"/>
    <col min="10248" max="10248" width="2.85546875" style="363" customWidth="1"/>
    <col min="10249" max="10249" width="12.7109375" style="363" customWidth="1"/>
    <col min="10250" max="10276" width="0" style="363" hidden="1" customWidth="1"/>
    <col min="10277" max="10277" width="2.5703125" style="363" customWidth="1"/>
    <col min="10278" max="10278" width="13" style="363" customWidth="1"/>
    <col min="10279" max="10279" width="3.7109375" style="363" customWidth="1"/>
    <col min="10280" max="10280" width="12.5703125" style="363" bestFit="1" customWidth="1"/>
    <col min="10281" max="10496" width="9.140625" style="363"/>
    <col min="10497" max="10497" width="11.7109375" style="363" customWidth="1"/>
    <col min="10498" max="10498" width="49.140625" style="363" customWidth="1"/>
    <col min="10499" max="10499" width="13.5703125" style="363" bestFit="1" customWidth="1"/>
    <col min="10500" max="10500" width="0.85546875" style="363" customWidth="1"/>
    <col min="10501" max="10501" width="15.7109375" style="363" customWidth="1"/>
    <col min="10502" max="10502" width="6.7109375" style="363" customWidth="1"/>
    <col min="10503" max="10503" width="13.5703125" style="363" bestFit="1" customWidth="1"/>
    <col min="10504" max="10504" width="2.85546875" style="363" customWidth="1"/>
    <col min="10505" max="10505" width="12.7109375" style="363" customWidth="1"/>
    <col min="10506" max="10532" width="0" style="363" hidden="1" customWidth="1"/>
    <col min="10533" max="10533" width="2.5703125" style="363" customWidth="1"/>
    <col min="10534" max="10534" width="13" style="363" customWidth="1"/>
    <col min="10535" max="10535" width="3.7109375" style="363" customWidth="1"/>
    <col min="10536" max="10536" width="12.5703125" style="363" bestFit="1" customWidth="1"/>
    <col min="10537" max="10752" width="9.140625" style="363"/>
    <col min="10753" max="10753" width="11.7109375" style="363" customWidth="1"/>
    <col min="10754" max="10754" width="49.140625" style="363" customWidth="1"/>
    <col min="10755" max="10755" width="13.5703125" style="363" bestFit="1" customWidth="1"/>
    <col min="10756" max="10756" width="0.85546875" style="363" customWidth="1"/>
    <col min="10757" max="10757" width="15.7109375" style="363" customWidth="1"/>
    <col min="10758" max="10758" width="6.7109375" style="363" customWidth="1"/>
    <col min="10759" max="10759" width="13.5703125" style="363" bestFit="1" customWidth="1"/>
    <col min="10760" max="10760" width="2.85546875" style="363" customWidth="1"/>
    <col min="10761" max="10761" width="12.7109375" style="363" customWidth="1"/>
    <col min="10762" max="10788" width="0" style="363" hidden="1" customWidth="1"/>
    <col min="10789" max="10789" width="2.5703125" style="363" customWidth="1"/>
    <col min="10790" max="10790" width="13" style="363" customWidth="1"/>
    <col min="10791" max="10791" width="3.7109375" style="363" customWidth="1"/>
    <col min="10792" max="10792" width="12.5703125" style="363" bestFit="1" customWidth="1"/>
    <col min="10793" max="11008" width="9.140625" style="363"/>
    <col min="11009" max="11009" width="11.7109375" style="363" customWidth="1"/>
    <col min="11010" max="11010" width="49.140625" style="363" customWidth="1"/>
    <col min="11011" max="11011" width="13.5703125" style="363" bestFit="1" customWidth="1"/>
    <col min="11012" max="11012" width="0.85546875" style="363" customWidth="1"/>
    <col min="11013" max="11013" width="15.7109375" style="363" customWidth="1"/>
    <col min="11014" max="11014" width="6.7109375" style="363" customWidth="1"/>
    <col min="11015" max="11015" width="13.5703125" style="363" bestFit="1" customWidth="1"/>
    <col min="11016" max="11016" width="2.85546875" style="363" customWidth="1"/>
    <col min="11017" max="11017" width="12.7109375" style="363" customWidth="1"/>
    <col min="11018" max="11044" width="0" style="363" hidden="1" customWidth="1"/>
    <col min="11045" max="11045" width="2.5703125" style="363" customWidth="1"/>
    <col min="11046" max="11046" width="13" style="363" customWidth="1"/>
    <col min="11047" max="11047" width="3.7109375" style="363" customWidth="1"/>
    <col min="11048" max="11048" width="12.5703125" style="363" bestFit="1" customWidth="1"/>
    <col min="11049" max="11264" width="9.140625" style="363"/>
    <col min="11265" max="11265" width="11.7109375" style="363" customWidth="1"/>
    <col min="11266" max="11266" width="49.140625" style="363" customWidth="1"/>
    <col min="11267" max="11267" width="13.5703125" style="363" bestFit="1" customWidth="1"/>
    <col min="11268" max="11268" width="0.85546875" style="363" customWidth="1"/>
    <col min="11269" max="11269" width="15.7109375" style="363" customWidth="1"/>
    <col min="11270" max="11270" width="6.7109375" style="363" customWidth="1"/>
    <col min="11271" max="11271" width="13.5703125" style="363" bestFit="1" customWidth="1"/>
    <col min="11272" max="11272" width="2.85546875" style="363" customWidth="1"/>
    <col min="11273" max="11273" width="12.7109375" style="363" customWidth="1"/>
    <col min="11274" max="11300" width="0" style="363" hidden="1" customWidth="1"/>
    <col min="11301" max="11301" width="2.5703125" style="363" customWidth="1"/>
    <col min="11302" max="11302" width="13" style="363" customWidth="1"/>
    <col min="11303" max="11303" width="3.7109375" style="363" customWidth="1"/>
    <col min="11304" max="11304" width="12.5703125" style="363" bestFit="1" customWidth="1"/>
    <col min="11305" max="11520" width="9.140625" style="363"/>
    <col min="11521" max="11521" width="11.7109375" style="363" customWidth="1"/>
    <col min="11522" max="11522" width="49.140625" style="363" customWidth="1"/>
    <col min="11523" max="11523" width="13.5703125" style="363" bestFit="1" customWidth="1"/>
    <col min="11524" max="11524" width="0.85546875" style="363" customWidth="1"/>
    <col min="11525" max="11525" width="15.7109375" style="363" customWidth="1"/>
    <col min="11526" max="11526" width="6.7109375" style="363" customWidth="1"/>
    <col min="11527" max="11527" width="13.5703125" style="363" bestFit="1" customWidth="1"/>
    <col min="11528" max="11528" width="2.85546875" style="363" customWidth="1"/>
    <col min="11529" max="11529" width="12.7109375" style="363" customWidth="1"/>
    <col min="11530" max="11556" width="0" style="363" hidden="1" customWidth="1"/>
    <col min="11557" max="11557" width="2.5703125" style="363" customWidth="1"/>
    <col min="11558" max="11558" width="13" style="363" customWidth="1"/>
    <col min="11559" max="11559" width="3.7109375" style="363" customWidth="1"/>
    <col min="11560" max="11560" width="12.5703125" style="363" bestFit="1" customWidth="1"/>
    <col min="11561" max="11776" width="9.140625" style="363"/>
    <col min="11777" max="11777" width="11.7109375" style="363" customWidth="1"/>
    <col min="11778" max="11778" width="49.140625" style="363" customWidth="1"/>
    <col min="11779" max="11779" width="13.5703125" style="363" bestFit="1" customWidth="1"/>
    <col min="11780" max="11780" width="0.85546875" style="363" customWidth="1"/>
    <col min="11781" max="11781" width="15.7109375" style="363" customWidth="1"/>
    <col min="11782" max="11782" width="6.7109375" style="363" customWidth="1"/>
    <col min="11783" max="11783" width="13.5703125" style="363" bestFit="1" customWidth="1"/>
    <col min="11784" max="11784" width="2.85546875" style="363" customWidth="1"/>
    <col min="11785" max="11785" width="12.7109375" style="363" customWidth="1"/>
    <col min="11786" max="11812" width="0" style="363" hidden="1" customWidth="1"/>
    <col min="11813" max="11813" width="2.5703125" style="363" customWidth="1"/>
    <col min="11814" max="11814" width="13" style="363" customWidth="1"/>
    <col min="11815" max="11815" width="3.7109375" style="363" customWidth="1"/>
    <col min="11816" max="11816" width="12.5703125" style="363" bestFit="1" customWidth="1"/>
    <col min="11817" max="12032" width="9.140625" style="363"/>
    <col min="12033" max="12033" width="11.7109375" style="363" customWidth="1"/>
    <col min="12034" max="12034" width="49.140625" style="363" customWidth="1"/>
    <col min="12035" max="12035" width="13.5703125" style="363" bestFit="1" customWidth="1"/>
    <col min="12036" max="12036" width="0.85546875" style="363" customWidth="1"/>
    <col min="12037" max="12037" width="15.7109375" style="363" customWidth="1"/>
    <col min="12038" max="12038" width="6.7109375" style="363" customWidth="1"/>
    <col min="12039" max="12039" width="13.5703125" style="363" bestFit="1" customWidth="1"/>
    <col min="12040" max="12040" width="2.85546875" style="363" customWidth="1"/>
    <col min="12041" max="12041" width="12.7109375" style="363" customWidth="1"/>
    <col min="12042" max="12068" width="0" style="363" hidden="1" customWidth="1"/>
    <col min="12069" max="12069" width="2.5703125" style="363" customWidth="1"/>
    <col min="12070" max="12070" width="13" style="363" customWidth="1"/>
    <col min="12071" max="12071" width="3.7109375" style="363" customWidth="1"/>
    <col min="12072" max="12072" width="12.5703125" style="363" bestFit="1" customWidth="1"/>
    <col min="12073" max="12288" width="9.140625" style="363"/>
    <col min="12289" max="12289" width="11.7109375" style="363" customWidth="1"/>
    <col min="12290" max="12290" width="49.140625" style="363" customWidth="1"/>
    <col min="12291" max="12291" width="13.5703125" style="363" bestFit="1" customWidth="1"/>
    <col min="12292" max="12292" width="0.85546875" style="363" customWidth="1"/>
    <col min="12293" max="12293" width="15.7109375" style="363" customWidth="1"/>
    <col min="12294" max="12294" width="6.7109375" style="363" customWidth="1"/>
    <col min="12295" max="12295" width="13.5703125" style="363" bestFit="1" customWidth="1"/>
    <col min="12296" max="12296" width="2.85546875" style="363" customWidth="1"/>
    <col min="12297" max="12297" width="12.7109375" style="363" customWidth="1"/>
    <col min="12298" max="12324" width="0" style="363" hidden="1" customWidth="1"/>
    <col min="12325" max="12325" width="2.5703125" style="363" customWidth="1"/>
    <col min="12326" max="12326" width="13" style="363" customWidth="1"/>
    <col min="12327" max="12327" width="3.7109375" style="363" customWidth="1"/>
    <col min="12328" max="12328" width="12.5703125" style="363" bestFit="1" customWidth="1"/>
    <col min="12329" max="12544" width="9.140625" style="363"/>
    <col min="12545" max="12545" width="11.7109375" style="363" customWidth="1"/>
    <col min="12546" max="12546" width="49.140625" style="363" customWidth="1"/>
    <col min="12547" max="12547" width="13.5703125" style="363" bestFit="1" customWidth="1"/>
    <col min="12548" max="12548" width="0.85546875" style="363" customWidth="1"/>
    <col min="12549" max="12549" width="15.7109375" style="363" customWidth="1"/>
    <col min="12550" max="12550" width="6.7109375" style="363" customWidth="1"/>
    <col min="12551" max="12551" width="13.5703125" style="363" bestFit="1" customWidth="1"/>
    <col min="12552" max="12552" width="2.85546875" style="363" customWidth="1"/>
    <col min="12553" max="12553" width="12.7109375" style="363" customWidth="1"/>
    <col min="12554" max="12580" width="0" style="363" hidden="1" customWidth="1"/>
    <col min="12581" max="12581" width="2.5703125" style="363" customWidth="1"/>
    <col min="12582" max="12582" width="13" style="363" customWidth="1"/>
    <col min="12583" max="12583" width="3.7109375" style="363" customWidth="1"/>
    <col min="12584" max="12584" width="12.5703125" style="363" bestFit="1" customWidth="1"/>
    <col min="12585" max="12800" width="9.140625" style="363"/>
    <col min="12801" max="12801" width="11.7109375" style="363" customWidth="1"/>
    <col min="12802" max="12802" width="49.140625" style="363" customWidth="1"/>
    <col min="12803" max="12803" width="13.5703125" style="363" bestFit="1" customWidth="1"/>
    <col min="12804" max="12804" width="0.85546875" style="363" customWidth="1"/>
    <col min="12805" max="12805" width="15.7109375" style="363" customWidth="1"/>
    <col min="12806" max="12806" width="6.7109375" style="363" customWidth="1"/>
    <col min="12807" max="12807" width="13.5703125" style="363" bestFit="1" customWidth="1"/>
    <col min="12808" max="12808" width="2.85546875" style="363" customWidth="1"/>
    <col min="12809" max="12809" width="12.7109375" style="363" customWidth="1"/>
    <col min="12810" max="12836" width="0" style="363" hidden="1" customWidth="1"/>
    <col min="12837" max="12837" width="2.5703125" style="363" customWidth="1"/>
    <col min="12838" max="12838" width="13" style="363" customWidth="1"/>
    <col min="12839" max="12839" width="3.7109375" style="363" customWidth="1"/>
    <col min="12840" max="12840" width="12.5703125" style="363" bestFit="1" customWidth="1"/>
    <col min="12841" max="13056" width="9.140625" style="363"/>
    <col min="13057" max="13057" width="11.7109375" style="363" customWidth="1"/>
    <col min="13058" max="13058" width="49.140625" style="363" customWidth="1"/>
    <col min="13059" max="13059" width="13.5703125" style="363" bestFit="1" customWidth="1"/>
    <col min="13060" max="13060" width="0.85546875" style="363" customWidth="1"/>
    <col min="13061" max="13061" width="15.7109375" style="363" customWidth="1"/>
    <col min="13062" max="13062" width="6.7109375" style="363" customWidth="1"/>
    <col min="13063" max="13063" width="13.5703125" style="363" bestFit="1" customWidth="1"/>
    <col min="13064" max="13064" width="2.85546875" style="363" customWidth="1"/>
    <col min="13065" max="13065" width="12.7109375" style="363" customWidth="1"/>
    <col min="13066" max="13092" width="0" style="363" hidden="1" customWidth="1"/>
    <col min="13093" max="13093" width="2.5703125" style="363" customWidth="1"/>
    <col min="13094" max="13094" width="13" style="363" customWidth="1"/>
    <col min="13095" max="13095" width="3.7109375" style="363" customWidth="1"/>
    <col min="13096" max="13096" width="12.5703125" style="363" bestFit="1" customWidth="1"/>
    <col min="13097" max="13312" width="9.140625" style="363"/>
    <col min="13313" max="13313" width="11.7109375" style="363" customWidth="1"/>
    <col min="13314" max="13314" width="49.140625" style="363" customWidth="1"/>
    <col min="13315" max="13315" width="13.5703125" style="363" bestFit="1" customWidth="1"/>
    <col min="13316" max="13316" width="0.85546875" style="363" customWidth="1"/>
    <col min="13317" max="13317" width="15.7109375" style="363" customWidth="1"/>
    <col min="13318" max="13318" width="6.7109375" style="363" customWidth="1"/>
    <col min="13319" max="13319" width="13.5703125" style="363" bestFit="1" customWidth="1"/>
    <col min="13320" max="13320" width="2.85546875" style="363" customWidth="1"/>
    <col min="13321" max="13321" width="12.7109375" style="363" customWidth="1"/>
    <col min="13322" max="13348" width="0" style="363" hidden="1" customWidth="1"/>
    <col min="13349" max="13349" width="2.5703125" style="363" customWidth="1"/>
    <col min="13350" max="13350" width="13" style="363" customWidth="1"/>
    <col min="13351" max="13351" width="3.7109375" style="363" customWidth="1"/>
    <col min="13352" max="13352" width="12.5703125" style="363" bestFit="1" customWidth="1"/>
    <col min="13353" max="13568" width="9.140625" style="363"/>
    <col min="13569" max="13569" width="11.7109375" style="363" customWidth="1"/>
    <col min="13570" max="13570" width="49.140625" style="363" customWidth="1"/>
    <col min="13571" max="13571" width="13.5703125" style="363" bestFit="1" customWidth="1"/>
    <col min="13572" max="13572" width="0.85546875" style="363" customWidth="1"/>
    <col min="13573" max="13573" width="15.7109375" style="363" customWidth="1"/>
    <col min="13574" max="13574" width="6.7109375" style="363" customWidth="1"/>
    <col min="13575" max="13575" width="13.5703125" style="363" bestFit="1" customWidth="1"/>
    <col min="13576" max="13576" width="2.85546875" style="363" customWidth="1"/>
    <col min="13577" max="13577" width="12.7109375" style="363" customWidth="1"/>
    <col min="13578" max="13604" width="0" style="363" hidden="1" customWidth="1"/>
    <col min="13605" max="13605" width="2.5703125" style="363" customWidth="1"/>
    <col min="13606" max="13606" width="13" style="363" customWidth="1"/>
    <col min="13607" max="13607" width="3.7109375" style="363" customWidth="1"/>
    <col min="13608" max="13608" width="12.5703125" style="363" bestFit="1" customWidth="1"/>
    <col min="13609" max="13824" width="9.140625" style="363"/>
    <col min="13825" max="13825" width="11.7109375" style="363" customWidth="1"/>
    <col min="13826" max="13826" width="49.140625" style="363" customWidth="1"/>
    <col min="13827" max="13827" width="13.5703125" style="363" bestFit="1" customWidth="1"/>
    <col min="13828" max="13828" width="0.85546875" style="363" customWidth="1"/>
    <col min="13829" max="13829" width="15.7109375" style="363" customWidth="1"/>
    <col min="13830" max="13830" width="6.7109375" style="363" customWidth="1"/>
    <col min="13831" max="13831" width="13.5703125" style="363" bestFit="1" customWidth="1"/>
    <col min="13832" max="13832" width="2.85546875" style="363" customWidth="1"/>
    <col min="13833" max="13833" width="12.7109375" style="363" customWidth="1"/>
    <col min="13834" max="13860" width="0" style="363" hidden="1" customWidth="1"/>
    <col min="13861" max="13861" width="2.5703125" style="363" customWidth="1"/>
    <col min="13862" max="13862" width="13" style="363" customWidth="1"/>
    <col min="13863" max="13863" width="3.7109375" style="363" customWidth="1"/>
    <col min="13864" max="13864" width="12.5703125" style="363" bestFit="1" customWidth="1"/>
    <col min="13865" max="14080" width="9.140625" style="363"/>
    <col min="14081" max="14081" width="11.7109375" style="363" customWidth="1"/>
    <col min="14082" max="14082" width="49.140625" style="363" customWidth="1"/>
    <col min="14083" max="14083" width="13.5703125" style="363" bestFit="1" customWidth="1"/>
    <col min="14084" max="14084" width="0.85546875" style="363" customWidth="1"/>
    <col min="14085" max="14085" width="15.7109375" style="363" customWidth="1"/>
    <col min="14086" max="14086" width="6.7109375" style="363" customWidth="1"/>
    <col min="14087" max="14087" width="13.5703125" style="363" bestFit="1" customWidth="1"/>
    <col min="14088" max="14088" width="2.85546875" style="363" customWidth="1"/>
    <col min="14089" max="14089" width="12.7109375" style="363" customWidth="1"/>
    <col min="14090" max="14116" width="0" style="363" hidden="1" customWidth="1"/>
    <col min="14117" max="14117" width="2.5703125" style="363" customWidth="1"/>
    <col min="14118" max="14118" width="13" style="363" customWidth="1"/>
    <col min="14119" max="14119" width="3.7109375" style="363" customWidth="1"/>
    <col min="14120" max="14120" width="12.5703125" style="363" bestFit="1" customWidth="1"/>
    <col min="14121" max="14336" width="9.140625" style="363"/>
    <col min="14337" max="14337" width="11.7109375" style="363" customWidth="1"/>
    <col min="14338" max="14338" width="49.140625" style="363" customWidth="1"/>
    <col min="14339" max="14339" width="13.5703125" style="363" bestFit="1" customWidth="1"/>
    <col min="14340" max="14340" width="0.85546875" style="363" customWidth="1"/>
    <col min="14341" max="14341" width="15.7109375" style="363" customWidth="1"/>
    <col min="14342" max="14342" width="6.7109375" style="363" customWidth="1"/>
    <col min="14343" max="14343" width="13.5703125" style="363" bestFit="1" customWidth="1"/>
    <col min="14344" max="14344" width="2.85546875" style="363" customWidth="1"/>
    <col min="14345" max="14345" width="12.7109375" style="363" customWidth="1"/>
    <col min="14346" max="14372" width="0" style="363" hidden="1" customWidth="1"/>
    <col min="14373" max="14373" width="2.5703125" style="363" customWidth="1"/>
    <col min="14374" max="14374" width="13" style="363" customWidth="1"/>
    <col min="14375" max="14375" width="3.7109375" style="363" customWidth="1"/>
    <col min="14376" max="14376" width="12.5703125" style="363" bestFit="1" customWidth="1"/>
    <col min="14377" max="14592" width="9.140625" style="363"/>
    <col min="14593" max="14593" width="11.7109375" style="363" customWidth="1"/>
    <col min="14594" max="14594" width="49.140625" style="363" customWidth="1"/>
    <col min="14595" max="14595" width="13.5703125" style="363" bestFit="1" customWidth="1"/>
    <col min="14596" max="14596" width="0.85546875" style="363" customWidth="1"/>
    <col min="14597" max="14597" width="15.7109375" style="363" customWidth="1"/>
    <col min="14598" max="14598" width="6.7109375" style="363" customWidth="1"/>
    <col min="14599" max="14599" width="13.5703125" style="363" bestFit="1" customWidth="1"/>
    <col min="14600" max="14600" width="2.85546875" style="363" customWidth="1"/>
    <col min="14601" max="14601" width="12.7109375" style="363" customWidth="1"/>
    <col min="14602" max="14628" width="0" style="363" hidden="1" customWidth="1"/>
    <col min="14629" max="14629" width="2.5703125" style="363" customWidth="1"/>
    <col min="14630" max="14630" width="13" style="363" customWidth="1"/>
    <col min="14631" max="14631" width="3.7109375" style="363" customWidth="1"/>
    <col min="14632" max="14632" width="12.5703125" style="363" bestFit="1" customWidth="1"/>
    <col min="14633" max="14848" width="9.140625" style="363"/>
    <col min="14849" max="14849" width="11.7109375" style="363" customWidth="1"/>
    <col min="14850" max="14850" width="49.140625" style="363" customWidth="1"/>
    <col min="14851" max="14851" width="13.5703125" style="363" bestFit="1" customWidth="1"/>
    <col min="14852" max="14852" width="0.85546875" style="363" customWidth="1"/>
    <col min="14853" max="14853" width="15.7109375" style="363" customWidth="1"/>
    <col min="14854" max="14854" width="6.7109375" style="363" customWidth="1"/>
    <col min="14855" max="14855" width="13.5703125" style="363" bestFit="1" customWidth="1"/>
    <col min="14856" max="14856" width="2.85546875" style="363" customWidth="1"/>
    <col min="14857" max="14857" width="12.7109375" style="363" customWidth="1"/>
    <col min="14858" max="14884" width="0" style="363" hidden="1" customWidth="1"/>
    <col min="14885" max="14885" width="2.5703125" style="363" customWidth="1"/>
    <col min="14886" max="14886" width="13" style="363" customWidth="1"/>
    <col min="14887" max="14887" width="3.7109375" style="363" customWidth="1"/>
    <col min="14888" max="14888" width="12.5703125" style="363" bestFit="1" customWidth="1"/>
    <col min="14889" max="15104" width="9.140625" style="363"/>
    <col min="15105" max="15105" width="11.7109375" style="363" customWidth="1"/>
    <col min="15106" max="15106" width="49.140625" style="363" customWidth="1"/>
    <col min="15107" max="15107" width="13.5703125" style="363" bestFit="1" customWidth="1"/>
    <col min="15108" max="15108" width="0.85546875" style="363" customWidth="1"/>
    <col min="15109" max="15109" width="15.7109375" style="363" customWidth="1"/>
    <col min="15110" max="15110" width="6.7109375" style="363" customWidth="1"/>
    <col min="15111" max="15111" width="13.5703125" style="363" bestFit="1" customWidth="1"/>
    <col min="15112" max="15112" width="2.85546875" style="363" customWidth="1"/>
    <col min="15113" max="15113" width="12.7109375" style="363" customWidth="1"/>
    <col min="15114" max="15140" width="0" style="363" hidden="1" customWidth="1"/>
    <col min="15141" max="15141" width="2.5703125" style="363" customWidth="1"/>
    <col min="15142" max="15142" width="13" style="363" customWidth="1"/>
    <col min="15143" max="15143" width="3.7109375" style="363" customWidth="1"/>
    <col min="15144" max="15144" width="12.5703125" style="363" bestFit="1" customWidth="1"/>
    <col min="15145" max="15360" width="9.140625" style="363"/>
    <col min="15361" max="15361" width="11.7109375" style="363" customWidth="1"/>
    <col min="15362" max="15362" width="49.140625" style="363" customWidth="1"/>
    <col min="15363" max="15363" width="13.5703125" style="363" bestFit="1" customWidth="1"/>
    <col min="15364" max="15364" width="0.85546875" style="363" customWidth="1"/>
    <col min="15365" max="15365" width="15.7109375" style="363" customWidth="1"/>
    <col min="15366" max="15366" width="6.7109375" style="363" customWidth="1"/>
    <col min="15367" max="15367" width="13.5703125" style="363" bestFit="1" customWidth="1"/>
    <col min="15368" max="15368" width="2.85546875" style="363" customWidth="1"/>
    <col min="15369" max="15369" width="12.7109375" style="363" customWidth="1"/>
    <col min="15370" max="15396" width="0" style="363" hidden="1" customWidth="1"/>
    <col min="15397" max="15397" width="2.5703125" style="363" customWidth="1"/>
    <col min="15398" max="15398" width="13" style="363" customWidth="1"/>
    <col min="15399" max="15399" width="3.7109375" style="363" customWidth="1"/>
    <col min="15400" max="15400" width="12.5703125" style="363" bestFit="1" customWidth="1"/>
    <col min="15401" max="15616" width="9.140625" style="363"/>
    <col min="15617" max="15617" width="11.7109375" style="363" customWidth="1"/>
    <col min="15618" max="15618" width="49.140625" style="363" customWidth="1"/>
    <col min="15619" max="15619" width="13.5703125" style="363" bestFit="1" customWidth="1"/>
    <col min="15620" max="15620" width="0.85546875" style="363" customWidth="1"/>
    <col min="15621" max="15621" width="15.7109375" style="363" customWidth="1"/>
    <col min="15622" max="15622" width="6.7109375" style="363" customWidth="1"/>
    <col min="15623" max="15623" width="13.5703125" style="363" bestFit="1" customWidth="1"/>
    <col min="15624" max="15624" width="2.85546875" style="363" customWidth="1"/>
    <col min="15625" max="15625" width="12.7109375" style="363" customWidth="1"/>
    <col min="15626" max="15652" width="0" style="363" hidden="1" customWidth="1"/>
    <col min="15653" max="15653" width="2.5703125" style="363" customWidth="1"/>
    <col min="15654" max="15654" width="13" style="363" customWidth="1"/>
    <col min="15655" max="15655" width="3.7109375" style="363" customWidth="1"/>
    <col min="15656" max="15656" width="12.5703125" style="363" bestFit="1" customWidth="1"/>
    <col min="15657" max="15872" width="9.140625" style="363"/>
    <col min="15873" max="15873" width="11.7109375" style="363" customWidth="1"/>
    <col min="15874" max="15874" width="49.140625" style="363" customWidth="1"/>
    <col min="15875" max="15875" width="13.5703125" style="363" bestFit="1" customWidth="1"/>
    <col min="15876" max="15876" width="0.85546875" style="363" customWidth="1"/>
    <col min="15877" max="15877" width="15.7109375" style="363" customWidth="1"/>
    <col min="15878" max="15878" width="6.7109375" style="363" customWidth="1"/>
    <col min="15879" max="15879" width="13.5703125" style="363" bestFit="1" customWidth="1"/>
    <col min="15880" max="15880" width="2.85546875" style="363" customWidth="1"/>
    <col min="15881" max="15881" width="12.7109375" style="363" customWidth="1"/>
    <col min="15882" max="15908" width="0" style="363" hidden="1" customWidth="1"/>
    <col min="15909" max="15909" width="2.5703125" style="363" customWidth="1"/>
    <col min="15910" max="15910" width="13" style="363" customWidth="1"/>
    <col min="15911" max="15911" width="3.7109375" style="363" customWidth="1"/>
    <col min="15912" max="15912" width="12.5703125" style="363" bestFit="1" customWidth="1"/>
    <col min="15913" max="16128" width="9.140625" style="363"/>
    <col min="16129" max="16129" width="11.7109375" style="363" customWidth="1"/>
    <col min="16130" max="16130" width="49.140625" style="363" customWidth="1"/>
    <col min="16131" max="16131" width="13.5703125" style="363" bestFit="1" customWidth="1"/>
    <col min="16132" max="16132" width="0.85546875" style="363" customWidth="1"/>
    <col min="16133" max="16133" width="15.7109375" style="363" customWidth="1"/>
    <col min="16134" max="16134" width="6.7109375" style="363" customWidth="1"/>
    <col min="16135" max="16135" width="13.5703125" style="363" bestFit="1" customWidth="1"/>
    <col min="16136" max="16136" width="2.85546875" style="363" customWidth="1"/>
    <col min="16137" max="16137" width="12.7109375" style="363" customWidth="1"/>
    <col min="16138" max="16164" width="0" style="363" hidden="1" customWidth="1"/>
    <col min="16165" max="16165" width="2.5703125" style="363" customWidth="1"/>
    <col min="16166" max="16166" width="13" style="363" customWidth="1"/>
    <col min="16167" max="16167" width="3.7109375" style="363" customWidth="1"/>
    <col min="16168" max="16168" width="12.5703125" style="363" bestFit="1" customWidth="1"/>
    <col min="16169" max="16384" width="9.140625" style="363"/>
  </cols>
  <sheetData>
    <row r="1" spans="1:20" ht="12.75" customHeight="1" x14ac:dyDescent="0.2">
      <c r="A1" s="362"/>
      <c r="E1" s="10"/>
      <c r="F1" s="15"/>
      <c r="G1" s="57"/>
      <c r="I1" s="36" t="s">
        <v>88</v>
      </c>
      <c r="J1" s="365"/>
      <c r="K1" s="556"/>
      <c r="L1" s="556"/>
    </row>
    <row r="2" spans="1:20" ht="12.75" customHeight="1" x14ac:dyDescent="0.2">
      <c r="A2" s="362" t="str">
        <f>'[3]9 - 10'!A2</f>
        <v>TROPICAL FISH INTERNATIONAL (PRIVATE) LIMITED</v>
      </c>
      <c r="C2" s="366"/>
      <c r="D2" s="366"/>
      <c r="E2" s="15"/>
      <c r="F2" s="15"/>
      <c r="G2" s="24"/>
      <c r="H2" s="24"/>
      <c r="I2" s="24"/>
      <c r="J2" s="367"/>
    </row>
    <row r="3" spans="1:20" ht="12.75" customHeight="1" x14ac:dyDescent="0.2">
      <c r="A3" s="368" t="str">
        <f>'[3]5-8'!A3</f>
        <v>NOTES TO THE FINANCIAL STATEMENTS FOR THE  YEAR ENDED 31 DECEMBER  2016</v>
      </c>
      <c r="B3" s="369"/>
      <c r="C3" s="370"/>
      <c r="D3" s="370"/>
      <c r="E3" s="13"/>
      <c r="F3" s="13"/>
      <c r="G3" s="37"/>
      <c r="H3" s="37"/>
      <c r="I3" s="37"/>
      <c r="J3" s="371"/>
    </row>
    <row r="4" spans="1:20" ht="12.75" customHeight="1" x14ac:dyDescent="0.25">
      <c r="A4" s="362"/>
      <c r="B4" s="372"/>
      <c r="C4" s="366"/>
      <c r="D4" s="366"/>
      <c r="E4" s="15"/>
      <c r="F4" s="15"/>
      <c r="G4" s="557" t="s">
        <v>72</v>
      </c>
      <c r="H4" s="557"/>
      <c r="I4" s="557"/>
      <c r="J4" s="557"/>
      <c r="M4" s="373"/>
      <c r="N4" s="373"/>
      <c r="O4" s="373"/>
      <c r="P4" s="15"/>
    </row>
    <row r="5" spans="1:20" ht="12.75" customHeight="1" x14ac:dyDescent="0.25">
      <c r="A5" s="374"/>
      <c r="B5" s="375"/>
      <c r="C5" s="363"/>
      <c r="D5" s="363"/>
      <c r="G5" s="130"/>
      <c r="H5" s="130"/>
      <c r="I5" s="130"/>
      <c r="J5" s="29"/>
    </row>
    <row r="6" spans="1:20" ht="12.75" customHeight="1" x14ac:dyDescent="0.25">
      <c r="A6" s="376">
        <f>[3]FP!B21</f>
        <v>18</v>
      </c>
      <c r="B6" s="377" t="str">
        <f>+[3]FP!A21</f>
        <v xml:space="preserve">Cash and Cash Equivalents </v>
      </c>
      <c r="C6" s="363"/>
      <c r="D6" s="363"/>
      <c r="G6" s="130"/>
      <c r="H6" s="130"/>
      <c r="I6" s="130"/>
      <c r="J6" s="29"/>
    </row>
    <row r="7" spans="1:20" ht="12.75" customHeight="1" x14ac:dyDescent="0.25">
      <c r="A7" s="376"/>
      <c r="B7" s="377" t="s">
        <v>249</v>
      </c>
      <c r="C7" s="363"/>
      <c r="D7" s="363"/>
      <c r="G7" s="130"/>
      <c r="H7" s="130"/>
      <c r="I7" s="130"/>
      <c r="J7" s="29"/>
    </row>
    <row r="8" spans="1:20" ht="12.75" customHeight="1" x14ac:dyDescent="0.2">
      <c r="A8" s="378"/>
      <c r="B8" s="363" t="s">
        <v>489</v>
      </c>
      <c r="C8" s="363"/>
      <c r="D8" s="363"/>
      <c r="G8" s="379" t="e">
        <f>#REF!</f>
        <v>#REF!</v>
      </c>
      <c r="H8" s="24"/>
      <c r="I8" s="29">
        <v>0</v>
      </c>
      <c r="J8" s="29"/>
      <c r="S8" s="24">
        <v>348699.8</v>
      </c>
      <c r="T8" s="29">
        <v>0</v>
      </c>
    </row>
    <row r="9" spans="1:20" ht="12.75" customHeight="1" x14ac:dyDescent="0.2">
      <c r="A9" s="376"/>
      <c r="B9" s="363" t="s">
        <v>623</v>
      </c>
      <c r="C9" s="363"/>
      <c r="D9" s="363"/>
      <c r="G9" s="379" t="e">
        <f>#REF!</f>
        <v>#REF!</v>
      </c>
      <c r="H9" s="24"/>
      <c r="I9" s="29">
        <v>171820.53</v>
      </c>
      <c r="J9" s="29"/>
      <c r="S9" s="24">
        <v>174441.5</v>
      </c>
      <c r="T9" s="29">
        <v>174441.5</v>
      </c>
    </row>
    <row r="10" spans="1:20" ht="12.75" customHeight="1" x14ac:dyDescent="0.2">
      <c r="A10" s="376"/>
      <c r="B10" s="363" t="s">
        <v>624</v>
      </c>
      <c r="C10" s="363"/>
      <c r="D10" s="363"/>
      <c r="G10" s="379" t="e">
        <f>#REF!</f>
        <v>#REF!</v>
      </c>
      <c r="H10" s="24"/>
      <c r="I10" s="29">
        <v>64334.34</v>
      </c>
      <c r="J10" s="29"/>
      <c r="S10" s="24">
        <v>17233.32</v>
      </c>
      <c r="T10" s="29">
        <v>109305.28</v>
      </c>
    </row>
    <row r="11" spans="1:20" ht="12.75" customHeight="1" x14ac:dyDescent="0.2">
      <c r="A11" s="376"/>
      <c r="B11" s="363" t="s">
        <v>625</v>
      </c>
      <c r="C11" s="363"/>
      <c r="D11" s="363"/>
      <c r="G11" s="379" t="e">
        <f>#REF!</f>
        <v>#REF!</v>
      </c>
      <c r="H11" s="24"/>
      <c r="I11" s="29">
        <v>0</v>
      </c>
      <c r="J11" s="29"/>
      <c r="S11" s="24">
        <v>144101.71</v>
      </c>
      <c r="T11" s="29">
        <v>116204.27</v>
      </c>
    </row>
    <row r="12" spans="1:20" ht="12.75" customHeight="1" x14ac:dyDescent="0.2">
      <c r="A12" s="376"/>
      <c r="B12" s="363" t="s">
        <v>35</v>
      </c>
      <c r="C12" s="363"/>
      <c r="D12" s="363"/>
      <c r="G12" s="379" t="e">
        <f>#REF!</f>
        <v>#REF!</v>
      </c>
      <c r="H12" s="24"/>
      <c r="J12" s="29"/>
      <c r="S12" s="24">
        <v>248378.37</v>
      </c>
      <c r="T12" s="29">
        <v>1496343.5</v>
      </c>
    </row>
    <row r="13" spans="1:20" ht="12.75" customHeight="1" x14ac:dyDescent="0.2">
      <c r="A13" s="376"/>
      <c r="B13" s="363" t="s">
        <v>626</v>
      </c>
      <c r="C13" s="363"/>
      <c r="D13" s="363"/>
      <c r="G13" s="29">
        <v>0</v>
      </c>
      <c r="H13" s="24"/>
      <c r="I13" s="29">
        <v>15680897.119999999</v>
      </c>
      <c r="J13" s="29"/>
      <c r="S13" s="24">
        <v>107137.71</v>
      </c>
      <c r="T13" s="29">
        <v>0</v>
      </c>
    </row>
    <row r="14" spans="1:20" ht="12.75" customHeight="1" x14ac:dyDescent="0.2">
      <c r="A14" s="376"/>
      <c r="B14" s="363" t="s">
        <v>627</v>
      </c>
      <c r="C14" s="363"/>
      <c r="D14" s="363"/>
      <c r="G14" s="379" t="e">
        <f>#REF!</f>
        <v>#REF!</v>
      </c>
      <c r="H14" s="24"/>
      <c r="I14" s="29">
        <v>11806577.789999999</v>
      </c>
      <c r="J14" s="29"/>
      <c r="S14" s="24">
        <v>3610653.95</v>
      </c>
      <c r="T14" s="29">
        <v>0</v>
      </c>
    </row>
    <row r="15" spans="1:20" ht="12.75" customHeight="1" x14ac:dyDescent="0.2">
      <c r="A15" s="376"/>
      <c r="B15" s="363" t="s">
        <v>1487</v>
      </c>
      <c r="C15" s="363"/>
      <c r="D15" s="363"/>
      <c r="G15" s="29">
        <v>0</v>
      </c>
      <c r="H15" s="24"/>
      <c r="J15" s="29"/>
      <c r="S15" s="24"/>
      <c r="T15" s="29"/>
    </row>
    <row r="16" spans="1:20" ht="12.75" customHeight="1" x14ac:dyDescent="0.2">
      <c r="A16" s="376"/>
      <c r="B16" s="363" t="s">
        <v>1459</v>
      </c>
      <c r="C16" s="363"/>
      <c r="D16" s="363"/>
      <c r="G16" s="379" t="e">
        <f>#REF!</f>
        <v>#REF!</v>
      </c>
      <c r="H16" s="24"/>
      <c r="I16" s="29">
        <v>24625</v>
      </c>
      <c r="J16" s="29"/>
      <c r="S16" s="24"/>
      <c r="T16" s="29"/>
    </row>
    <row r="17" spans="1:20" ht="12.75" customHeight="1" x14ac:dyDescent="0.2">
      <c r="A17" s="376"/>
      <c r="B17" s="363" t="s">
        <v>1460</v>
      </c>
      <c r="C17" s="363"/>
      <c r="D17" s="363"/>
      <c r="G17" s="379" t="e">
        <f>#REF!</f>
        <v>#REF!</v>
      </c>
      <c r="H17" s="24"/>
      <c r="J17" s="29"/>
      <c r="S17" s="24"/>
      <c r="T17" s="29"/>
    </row>
    <row r="18" spans="1:20" ht="12.75" customHeight="1" x14ac:dyDescent="0.2">
      <c r="A18" s="376"/>
      <c r="B18" s="380" t="s">
        <v>1457</v>
      </c>
      <c r="C18" s="363"/>
      <c r="D18" s="363"/>
      <c r="G18" s="29" t="e">
        <f>#REF!</f>
        <v>#REF!</v>
      </c>
      <c r="H18" s="24"/>
      <c r="I18" s="29">
        <v>87292.53</v>
      </c>
      <c r="J18" s="29"/>
      <c r="S18" s="24"/>
      <c r="T18" s="29"/>
    </row>
    <row r="19" spans="1:20" ht="12.75" customHeight="1" x14ac:dyDescent="0.2">
      <c r="A19" s="376"/>
      <c r="B19" s="380" t="s">
        <v>628</v>
      </c>
      <c r="C19" s="363"/>
      <c r="D19" s="363"/>
      <c r="G19" s="379" t="e">
        <f>#REF!</f>
        <v>#REF!</v>
      </c>
      <c r="H19" s="24"/>
      <c r="J19" s="29"/>
      <c r="S19" s="24"/>
      <c r="T19" s="29"/>
    </row>
    <row r="20" spans="1:20" ht="12.75" customHeight="1" x14ac:dyDescent="0.2">
      <c r="A20" s="376"/>
      <c r="B20" s="380" t="s">
        <v>630</v>
      </c>
      <c r="C20" s="363"/>
      <c r="D20" s="363"/>
      <c r="G20" s="379" t="e">
        <f>#REF!</f>
        <v>#REF!</v>
      </c>
      <c r="H20" s="24"/>
      <c r="I20" s="29">
        <v>95000</v>
      </c>
      <c r="J20" s="29"/>
      <c r="S20" s="24"/>
      <c r="T20" s="29"/>
    </row>
    <row r="21" spans="1:20" ht="12.75" customHeight="1" x14ac:dyDescent="0.2">
      <c r="A21" s="376"/>
      <c r="B21" s="380" t="s">
        <v>618</v>
      </c>
      <c r="G21" s="29" t="e">
        <f>#REF!</f>
        <v>#REF!</v>
      </c>
      <c r="J21" s="29"/>
      <c r="S21" s="24"/>
      <c r="T21" s="29"/>
    </row>
    <row r="22" spans="1:20" ht="12.75" customHeight="1" x14ac:dyDescent="0.2">
      <c r="A22" s="376"/>
      <c r="B22" s="380" t="s">
        <v>1458</v>
      </c>
      <c r="C22" s="363"/>
      <c r="D22" s="363"/>
      <c r="G22" s="379"/>
      <c r="H22" s="24"/>
      <c r="I22" s="29">
        <v>0</v>
      </c>
      <c r="J22" s="29"/>
      <c r="S22" s="24"/>
      <c r="T22" s="29"/>
    </row>
    <row r="23" spans="1:20" ht="12.75" customHeight="1" x14ac:dyDescent="0.2">
      <c r="A23" s="376"/>
      <c r="B23" s="380" t="s">
        <v>1461</v>
      </c>
      <c r="C23" s="363"/>
      <c r="D23" s="363"/>
      <c r="G23" s="29">
        <v>0</v>
      </c>
      <c r="H23" s="24"/>
      <c r="I23" s="29">
        <v>150000</v>
      </c>
      <c r="J23" s="29"/>
      <c r="S23" s="24"/>
      <c r="T23" s="29"/>
    </row>
    <row r="24" spans="1:20" ht="12.75" customHeight="1" x14ac:dyDescent="0.2">
      <c r="A24" s="376"/>
      <c r="B24" s="363" t="s">
        <v>1488</v>
      </c>
      <c r="G24" s="29" t="e">
        <f>#REF!</f>
        <v>#REF!</v>
      </c>
      <c r="I24" s="29">
        <v>0</v>
      </c>
      <c r="J24" s="29"/>
      <c r="S24" s="24"/>
      <c r="T24" s="29"/>
    </row>
    <row r="25" spans="1:20" ht="12.75" customHeight="1" x14ac:dyDescent="0.2">
      <c r="A25" s="376"/>
      <c r="B25" s="363" t="s">
        <v>1471</v>
      </c>
      <c r="H25" s="24"/>
      <c r="J25" s="29"/>
      <c r="S25" s="24"/>
      <c r="T25" s="29"/>
    </row>
    <row r="26" spans="1:20" ht="12.75" customHeight="1" x14ac:dyDescent="0.2">
      <c r="A26" s="376"/>
      <c r="B26" s="363" t="s">
        <v>1489</v>
      </c>
      <c r="G26" s="29" t="e">
        <f>#REF!</f>
        <v>#REF!</v>
      </c>
    </row>
    <row r="27" spans="1:20" ht="12.75" customHeight="1" x14ac:dyDescent="0.2">
      <c r="A27" s="376"/>
      <c r="B27" s="377" t="s">
        <v>307</v>
      </c>
      <c r="C27" s="363"/>
      <c r="D27" s="363"/>
      <c r="G27" s="379"/>
      <c r="H27" s="24"/>
      <c r="J27" s="29"/>
      <c r="S27" s="24"/>
      <c r="T27" s="29"/>
    </row>
    <row r="28" spans="1:20" ht="12.75" customHeight="1" x14ac:dyDescent="0.2">
      <c r="A28" s="376"/>
      <c r="H28" s="24"/>
      <c r="J28" s="29"/>
      <c r="S28" s="24"/>
      <c r="T28" s="29"/>
    </row>
    <row r="29" spans="1:20" ht="12.75" customHeight="1" x14ac:dyDescent="0.2">
      <c r="A29" s="376"/>
      <c r="B29" s="363" t="s">
        <v>90</v>
      </c>
      <c r="C29" s="363"/>
      <c r="D29" s="363"/>
      <c r="G29" s="379" t="e">
        <f>#REF!+#REF!+#REF!+#REF!+#REF!+#REF!+#REF!+#REF!+#REF!+#REF!+#REF!+#REF!+#REF!-#REF!-#REF!-#REF!-#REF!-#REF!</f>
        <v>#REF!</v>
      </c>
      <c r="H29" s="24"/>
      <c r="I29" s="381">
        <v>809259.79</v>
      </c>
      <c r="J29" s="29"/>
      <c r="S29" s="24"/>
      <c r="T29" s="29"/>
    </row>
    <row r="30" spans="1:20" ht="12.75" customHeight="1" thickBot="1" x14ac:dyDescent="0.25">
      <c r="A30" s="376"/>
      <c r="B30" s="375"/>
      <c r="C30" s="363"/>
      <c r="D30" s="363"/>
      <c r="G30" s="42" t="e">
        <f>SUM(G8:G29)</f>
        <v>#REF!</v>
      </c>
      <c r="H30" s="23"/>
      <c r="I30" s="42">
        <f>SUM(I8:I29)</f>
        <v>28889807.099999998</v>
      </c>
      <c r="J30" s="29"/>
      <c r="S30" s="24"/>
      <c r="T30" s="29"/>
    </row>
    <row r="31" spans="1:20" ht="12.75" customHeight="1" thickTop="1" x14ac:dyDescent="0.2">
      <c r="A31" s="376"/>
      <c r="B31" s="380"/>
      <c r="C31" s="363"/>
      <c r="D31" s="363"/>
      <c r="G31" s="379"/>
      <c r="H31" s="24"/>
      <c r="J31" s="29"/>
      <c r="S31" s="24"/>
      <c r="T31" s="29"/>
    </row>
    <row r="32" spans="1:20" ht="12.75" customHeight="1" x14ac:dyDescent="0.2">
      <c r="A32" s="376"/>
      <c r="B32" s="380"/>
      <c r="C32" s="363"/>
      <c r="D32" s="363"/>
      <c r="G32" s="379"/>
      <c r="H32" s="24"/>
      <c r="J32" s="29"/>
      <c r="S32" s="24"/>
      <c r="T32" s="29"/>
    </row>
    <row r="33" spans="1:20" ht="12.75" customHeight="1" x14ac:dyDescent="0.2">
      <c r="A33" s="376"/>
      <c r="B33" s="382" t="s">
        <v>1462</v>
      </c>
      <c r="C33" s="363"/>
      <c r="D33" s="363"/>
      <c r="G33" s="379"/>
      <c r="H33" s="24"/>
      <c r="J33" s="29"/>
      <c r="S33" s="24"/>
      <c r="T33" s="29"/>
    </row>
    <row r="34" spans="1:20" ht="12.75" customHeight="1" x14ac:dyDescent="0.2">
      <c r="A34" s="376"/>
      <c r="B34" s="380" t="s">
        <v>1463</v>
      </c>
      <c r="C34" s="363"/>
      <c r="D34" s="363"/>
      <c r="G34" s="379" t="e">
        <f>#REF!</f>
        <v>#REF!</v>
      </c>
      <c r="H34" s="24"/>
      <c r="I34" s="29">
        <v>16723300</v>
      </c>
      <c r="J34" s="29"/>
      <c r="S34" s="24"/>
      <c r="T34" s="29"/>
    </row>
    <row r="35" spans="1:20" ht="12.75" customHeight="1" x14ac:dyDescent="0.2">
      <c r="A35" s="376"/>
      <c r="B35" s="380" t="s">
        <v>1464</v>
      </c>
      <c r="C35" s="363"/>
      <c r="D35" s="363"/>
      <c r="G35" s="379" t="e">
        <f>#REF!</f>
        <v>#REF!</v>
      </c>
      <c r="H35" s="24"/>
      <c r="I35" s="29">
        <v>0</v>
      </c>
      <c r="J35" s="29"/>
      <c r="S35" s="24"/>
      <c r="T35" s="29"/>
    </row>
    <row r="36" spans="1:20" ht="12.75" customHeight="1" x14ac:dyDescent="0.2">
      <c r="A36" s="376"/>
      <c r="B36" s="380" t="s">
        <v>1465</v>
      </c>
      <c r="C36" s="363"/>
      <c r="D36" s="363"/>
      <c r="G36" s="29" t="e">
        <f>#REF!</f>
        <v>#REF!</v>
      </c>
      <c r="H36" s="24"/>
      <c r="I36" s="29">
        <v>0</v>
      </c>
      <c r="J36" s="29"/>
      <c r="S36" s="24"/>
      <c r="T36" s="29"/>
    </row>
    <row r="37" spans="1:20" ht="12.75" customHeight="1" thickBot="1" x14ac:dyDescent="0.25">
      <c r="A37" s="376"/>
      <c r="B37" s="380"/>
      <c r="C37" s="363"/>
      <c r="D37" s="363"/>
      <c r="G37" s="383" t="e">
        <f>SUM(G34:G36)</f>
        <v>#REF!</v>
      </c>
      <c r="H37" s="23"/>
      <c r="I37" s="42">
        <f>SUM(I34:I36)</f>
        <v>16723300</v>
      </c>
      <c r="J37" s="29"/>
      <c r="S37" s="24"/>
      <c r="T37" s="29"/>
    </row>
    <row r="38" spans="1:20" ht="12.75" customHeight="1" thickTop="1" x14ac:dyDescent="0.2">
      <c r="A38" s="376"/>
      <c r="B38" s="380"/>
      <c r="C38" s="363"/>
      <c r="D38" s="363"/>
      <c r="G38" s="379"/>
      <c r="H38" s="24"/>
      <c r="J38" s="29"/>
      <c r="S38" s="24"/>
      <c r="T38" s="29"/>
    </row>
    <row r="39" spans="1:20" ht="12.75" customHeight="1" x14ac:dyDescent="0.25">
      <c r="A39" s="374"/>
      <c r="B39" s="375"/>
      <c r="C39" s="363"/>
      <c r="D39" s="363"/>
      <c r="G39" s="130"/>
      <c r="H39" s="130"/>
      <c r="I39" s="130"/>
      <c r="J39" s="29"/>
    </row>
    <row r="40" spans="1:20" ht="12.75" customHeight="1" x14ac:dyDescent="0.2">
      <c r="A40" s="363">
        <v>17</v>
      </c>
      <c r="B40" s="362" t="s">
        <v>304</v>
      </c>
      <c r="C40" s="363"/>
      <c r="J40" s="29"/>
    </row>
    <row r="41" spans="1:20" ht="12.75" customHeight="1" x14ac:dyDescent="0.25">
      <c r="A41" s="374"/>
      <c r="B41" s="384" t="s">
        <v>1466</v>
      </c>
      <c r="C41" s="363"/>
      <c r="G41" s="385"/>
      <c r="I41" s="29">
        <v>2372259.59</v>
      </c>
      <c r="J41" s="29"/>
    </row>
    <row r="42" spans="1:20" ht="12.75" customHeight="1" x14ac:dyDescent="0.25">
      <c r="A42" s="374"/>
      <c r="B42" s="384" t="s">
        <v>1467</v>
      </c>
      <c r="C42" s="363"/>
      <c r="G42" s="379" t="e">
        <f>#REF!</f>
        <v>#REF!</v>
      </c>
      <c r="I42" s="29">
        <v>16764558.439999999</v>
      </c>
      <c r="J42" s="29"/>
    </row>
    <row r="43" spans="1:20" ht="12.75" customHeight="1" x14ac:dyDescent="0.25">
      <c r="A43" s="374"/>
      <c r="B43" s="363" t="s">
        <v>626</v>
      </c>
      <c r="C43" s="363"/>
      <c r="G43" s="379" t="e">
        <f>#REF!</f>
        <v>#REF!</v>
      </c>
      <c r="I43" s="29">
        <v>0</v>
      </c>
      <c r="J43" s="29"/>
    </row>
    <row r="44" spans="1:20" ht="12.75" customHeight="1" x14ac:dyDescent="0.25">
      <c r="A44" s="374"/>
      <c r="B44" s="384" t="s">
        <v>625</v>
      </c>
      <c r="C44" s="363"/>
      <c r="G44" s="385">
        <v>0</v>
      </c>
      <c r="I44" s="29">
        <v>982938.51</v>
      </c>
      <c r="J44" s="29"/>
    </row>
    <row r="45" spans="1:20" ht="12.75" customHeight="1" x14ac:dyDescent="0.25">
      <c r="A45" s="374"/>
      <c r="B45" s="384" t="s">
        <v>628</v>
      </c>
      <c r="C45" s="363"/>
      <c r="G45" s="385">
        <v>0</v>
      </c>
      <c r="I45" s="29">
        <v>7385625.1200000001</v>
      </c>
      <c r="J45" s="29"/>
    </row>
    <row r="46" spans="1:20" ht="12.75" customHeight="1" x14ac:dyDescent="0.25">
      <c r="A46" s="374"/>
      <c r="B46" s="384" t="s">
        <v>1468</v>
      </c>
      <c r="C46" s="363"/>
      <c r="G46" s="379" t="e">
        <f>#REF!</f>
        <v>#REF!</v>
      </c>
      <c r="I46" s="29">
        <v>984628.9</v>
      </c>
      <c r="J46" s="29"/>
    </row>
    <row r="47" spans="1:20" ht="12.75" customHeight="1" x14ac:dyDescent="0.25">
      <c r="A47" s="374"/>
      <c r="B47" s="384" t="s">
        <v>1469</v>
      </c>
      <c r="C47" s="363"/>
      <c r="G47" s="385">
        <v>0</v>
      </c>
      <c r="I47" s="29">
        <v>1013678.85</v>
      </c>
      <c r="J47" s="29"/>
    </row>
    <row r="48" spans="1:20" ht="12.75" customHeight="1" x14ac:dyDescent="0.25">
      <c r="A48" s="374"/>
      <c r="B48" s="384" t="s">
        <v>1470</v>
      </c>
      <c r="C48" s="363"/>
      <c r="G48" s="385"/>
      <c r="J48" s="29"/>
    </row>
    <row r="49" spans="1:40" ht="12.75" customHeight="1" x14ac:dyDescent="0.25">
      <c r="A49" s="374"/>
      <c r="B49" s="380" t="s">
        <v>1457</v>
      </c>
      <c r="C49" s="363"/>
      <c r="G49" s="379"/>
      <c r="I49" s="29">
        <v>0</v>
      </c>
      <c r="J49" s="29"/>
    </row>
    <row r="50" spans="1:40" ht="12.75" customHeight="1" x14ac:dyDescent="0.25">
      <c r="A50" s="374"/>
      <c r="B50" s="380" t="s">
        <v>1471</v>
      </c>
      <c r="C50" s="363"/>
      <c r="G50" s="29" t="e">
        <f>#REF!</f>
        <v>#REF!</v>
      </c>
      <c r="J50" s="29"/>
    </row>
    <row r="51" spans="1:40" ht="12.75" customHeight="1" x14ac:dyDescent="0.25">
      <c r="A51" s="374"/>
      <c r="B51" s="377" t="s">
        <v>651</v>
      </c>
      <c r="C51" s="363"/>
      <c r="D51" s="363"/>
      <c r="G51" s="379" t="e">
        <f>#REF!</f>
        <v>#REF!</v>
      </c>
      <c r="J51" s="29"/>
    </row>
    <row r="52" spans="1:40" ht="12.75" customHeight="1" thickBot="1" x14ac:dyDescent="0.3">
      <c r="A52" s="374"/>
      <c r="G52" s="386" t="e">
        <f>SUM(G42:G51)</f>
        <v>#REF!</v>
      </c>
      <c r="I52" s="387">
        <f>SUM(I41:I51)</f>
        <v>29503689.410000004</v>
      </c>
      <c r="J52" s="29"/>
    </row>
    <row r="53" spans="1:40" ht="12.75" customHeight="1" thickTop="1" x14ac:dyDescent="0.25">
      <c r="A53" s="374"/>
      <c r="B53" s="375"/>
      <c r="C53" s="363"/>
      <c r="D53" s="363"/>
      <c r="G53" s="130"/>
      <c r="H53" s="130"/>
      <c r="I53" s="130"/>
      <c r="J53" s="29"/>
    </row>
    <row r="54" spans="1:40" ht="12.75" customHeight="1" x14ac:dyDescent="0.25">
      <c r="A54" s="374"/>
      <c r="B54" s="375"/>
      <c r="C54" s="363"/>
      <c r="D54" s="363"/>
      <c r="G54" s="130"/>
      <c r="H54" s="130"/>
      <c r="I54" s="130"/>
      <c r="J54" s="29"/>
    </row>
    <row r="55" spans="1:40" ht="12.75" customHeight="1" x14ac:dyDescent="0.25">
      <c r="A55" s="374"/>
      <c r="B55" s="375"/>
      <c r="C55" s="363"/>
      <c r="D55" s="363"/>
      <c r="G55" s="130"/>
      <c r="H55" s="130"/>
      <c r="I55" s="130"/>
      <c r="J55" s="29"/>
    </row>
    <row r="56" spans="1:40" ht="12.75" customHeight="1" x14ac:dyDescent="0.25">
      <c r="A56" s="374"/>
      <c r="B56" s="375"/>
      <c r="C56" s="363"/>
      <c r="D56" s="363"/>
      <c r="G56" s="130"/>
      <c r="H56" s="130"/>
      <c r="I56" s="130"/>
      <c r="J56" s="29"/>
    </row>
    <row r="57" spans="1:40" ht="12.75" customHeight="1" x14ac:dyDescent="0.2">
      <c r="A57" s="362"/>
      <c r="C57" s="363"/>
      <c r="D57" s="363"/>
      <c r="J57" s="29"/>
    </row>
    <row r="58" spans="1:40" ht="12.75" hidden="1" customHeight="1" x14ac:dyDescent="0.2">
      <c r="A58" s="362"/>
      <c r="C58" s="363"/>
      <c r="D58" s="363"/>
      <c r="J58" s="29"/>
    </row>
    <row r="59" spans="1:40" ht="12.75" customHeight="1" x14ac:dyDescent="0.2">
      <c r="A59" s="388"/>
      <c r="E59" s="389"/>
      <c r="G59" s="23"/>
      <c r="I59" s="23"/>
      <c r="J59" s="23"/>
    </row>
    <row r="60" spans="1:40" ht="12.75" customHeight="1" x14ac:dyDescent="0.2">
      <c r="A60" s="388"/>
    </row>
    <row r="61" spans="1:40" ht="12.75" customHeight="1" x14ac:dyDescent="0.2">
      <c r="A61" s="362">
        <v>20</v>
      </c>
      <c r="B61" s="377" t="s">
        <v>34</v>
      </c>
      <c r="C61" s="363"/>
      <c r="D61" s="373"/>
      <c r="E61" s="390" t="s">
        <v>1472</v>
      </c>
      <c r="F61" s="391"/>
      <c r="G61" s="392" t="s">
        <v>1472</v>
      </c>
      <c r="H61" s="104"/>
      <c r="I61" s="392" t="s">
        <v>1472</v>
      </c>
      <c r="J61" s="390"/>
      <c r="K61" s="390" t="s">
        <v>1472</v>
      </c>
      <c r="L61" s="390"/>
      <c r="M61" s="393" t="s">
        <v>57</v>
      </c>
      <c r="N61" s="31"/>
      <c r="O61" s="390" t="s">
        <v>57</v>
      </c>
      <c r="AK61" s="373"/>
      <c r="AL61" s="394" t="s">
        <v>57</v>
      </c>
      <c r="AM61" s="395"/>
      <c r="AN61" s="394" t="s">
        <v>57</v>
      </c>
    </row>
    <row r="62" spans="1:40" x14ac:dyDescent="0.2">
      <c r="A62" s="362"/>
      <c r="C62" s="363"/>
      <c r="D62" s="373"/>
      <c r="E62" s="375" t="s">
        <v>1473</v>
      </c>
      <c r="F62" s="391"/>
      <c r="G62" s="104" t="s">
        <v>1473</v>
      </c>
      <c r="H62" s="104"/>
      <c r="I62" s="104" t="s">
        <v>1474</v>
      </c>
      <c r="J62" s="375"/>
      <c r="K62" s="375" t="s">
        <v>1474</v>
      </c>
      <c r="L62" s="375"/>
      <c r="M62" s="31"/>
      <c r="N62" s="31"/>
      <c r="O62" s="375"/>
      <c r="AK62" s="373"/>
      <c r="AL62" s="395"/>
      <c r="AM62" s="395"/>
      <c r="AN62" s="395"/>
    </row>
    <row r="63" spans="1:40" x14ac:dyDescent="0.2">
      <c r="A63" s="362"/>
      <c r="C63" s="363"/>
      <c r="D63" s="363"/>
      <c r="E63" s="396" t="s">
        <v>1475</v>
      </c>
      <c r="F63" s="391"/>
      <c r="G63" s="397" t="s">
        <v>1476</v>
      </c>
      <c r="H63" s="104"/>
      <c r="I63" s="397" t="s">
        <v>1477</v>
      </c>
      <c r="J63" s="396"/>
      <c r="K63" s="396" t="s">
        <v>1478</v>
      </c>
      <c r="L63" s="396"/>
      <c r="M63" s="398" t="s">
        <v>1479</v>
      </c>
      <c r="N63" s="399"/>
      <c r="O63" s="398" t="e">
        <f>+#REF!</f>
        <v>#REF!</v>
      </c>
      <c r="AK63" s="373"/>
      <c r="AL63" s="400" t="s">
        <v>1479</v>
      </c>
      <c r="AM63" s="395"/>
      <c r="AN63" s="400" t="s">
        <v>1480</v>
      </c>
    </row>
    <row r="64" spans="1:40" ht="13.5" x14ac:dyDescent="0.25">
      <c r="A64" s="362">
        <v>20.100000000000001</v>
      </c>
      <c r="B64" s="401" t="s">
        <v>492</v>
      </c>
      <c r="C64" s="377"/>
      <c r="D64" s="363"/>
      <c r="E64" s="10"/>
      <c r="F64" s="15"/>
      <c r="H64" s="24"/>
      <c r="J64" s="10"/>
      <c r="L64" s="10"/>
      <c r="M64" s="12"/>
      <c r="N64" s="12"/>
      <c r="O64" s="12"/>
      <c r="AK64" s="373"/>
      <c r="AM64" s="373"/>
    </row>
    <row r="65" spans="1:40" x14ac:dyDescent="0.2">
      <c r="A65" s="362"/>
      <c r="B65" s="363" t="s">
        <v>1481</v>
      </c>
      <c r="C65" s="363"/>
      <c r="D65" s="363"/>
      <c r="E65" s="29">
        <v>815765.38</v>
      </c>
      <c r="F65" s="24"/>
      <c r="G65" s="385"/>
      <c r="H65" s="379"/>
      <c r="I65" s="385"/>
      <c r="J65" s="385"/>
      <c r="K65" s="385"/>
      <c r="L65" s="385"/>
      <c r="M65" s="385"/>
      <c r="N65" s="24"/>
      <c r="O65" s="29">
        <v>815765.38</v>
      </c>
      <c r="AK65" s="373"/>
      <c r="AL65" s="402"/>
      <c r="AM65" s="373"/>
      <c r="AN65" s="363">
        <v>815765.38</v>
      </c>
    </row>
    <row r="66" spans="1:40" x14ac:dyDescent="0.2">
      <c r="A66" s="362"/>
      <c r="B66" s="363" t="s">
        <v>1482</v>
      </c>
      <c r="C66" s="363"/>
      <c r="D66" s="363"/>
      <c r="E66" s="29">
        <v>-24382</v>
      </c>
      <c r="F66" s="24"/>
      <c r="G66" s="385"/>
      <c r="H66" s="379"/>
      <c r="I66" s="385"/>
      <c r="J66" s="385"/>
      <c r="K66" s="385"/>
      <c r="L66" s="385"/>
      <c r="M66" s="385"/>
      <c r="N66" s="24"/>
      <c r="O66" s="29">
        <v>-24382</v>
      </c>
      <c r="AK66" s="373"/>
      <c r="AL66" s="402"/>
      <c r="AM66" s="373"/>
      <c r="AN66" s="363">
        <v>-24382</v>
      </c>
    </row>
    <row r="67" spans="1:40" x14ac:dyDescent="0.2">
      <c r="A67" s="362"/>
      <c r="B67" s="377" t="s">
        <v>1483</v>
      </c>
      <c r="C67" s="377"/>
      <c r="D67" s="363"/>
      <c r="E67" s="41">
        <f>SUM(E65:E66)</f>
        <v>791383.38</v>
      </c>
      <c r="F67" s="23"/>
      <c r="G67" s="41">
        <f>SUM(G65:G66)</f>
        <v>0</v>
      </c>
      <c r="H67" s="23"/>
      <c r="I67" s="41">
        <f t="shared" ref="I67:AJ67" si="0">SUM(I65:I66)</f>
        <v>0</v>
      </c>
      <c r="J67" s="41">
        <f t="shared" si="0"/>
        <v>0</v>
      </c>
      <c r="K67" s="41">
        <f t="shared" si="0"/>
        <v>0</v>
      </c>
      <c r="L67" s="41">
        <f t="shared" si="0"/>
        <v>0</v>
      </c>
      <c r="M67" s="41">
        <f t="shared" si="0"/>
        <v>0</v>
      </c>
      <c r="N67" s="41">
        <f t="shared" si="0"/>
        <v>0</v>
      </c>
      <c r="O67" s="41">
        <f t="shared" si="0"/>
        <v>791383.38</v>
      </c>
      <c r="P67" s="41">
        <f t="shared" si="0"/>
        <v>0</v>
      </c>
      <c r="Q67" s="41">
        <f t="shared" si="0"/>
        <v>0</v>
      </c>
      <c r="R67" s="41">
        <f t="shared" si="0"/>
        <v>0</v>
      </c>
      <c r="S67" s="41">
        <f t="shared" si="0"/>
        <v>0</v>
      </c>
      <c r="T67" s="41">
        <f t="shared" si="0"/>
        <v>0</v>
      </c>
      <c r="U67" s="41">
        <f t="shared" si="0"/>
        <v>0</v>
      </c>
      <c r="V67" s="41">
        <f t="shared" si="0"/>
        <v>0</v>
      </c>
      <c r="W67" s="41">
        <f t="shared" si="0"/>
        <v>0</v>
      </c>
      <c r="X67" s="41">
        <f t="shared" si="0"/>
        <v>0</v>
      </c>
      <c r="Y67" s="41">
        <f t="shared" si="0"/>
        <v>0</v>
      </c>
      <c r="Z67" s="41">
        <f t="shared" si="0"/>
        <v>0</v>
      </c>
      <c r="AA67" s="41">
        <f t="shared" si="0"/>
        <v>0</v>
      </c>
      <c r="AB67" s="41">
        <f t="shared" si="0"/>
        <v>0</v>
      </c>
      <c r="AC67" s="41">
        <f t="shared" si="0"/>
        <v>0</v>
      </c>
      <c r="AD67" s="41">
        <f t="shared" si="0"/>
        <v>0</v>
      </c>
      <c r="AE67" s="41">
        <f t="shared" si="0"/>
        <v>0</v>
      </c>
      <c r="AF67" s="41">
        <f t="shared" si="0"/>
        <v>0</v>
      </c>
      <c r="AG67" s="41">
        <f t="shared" si="0"/>
        <v>0</v>
      </c>
      <c r="AH67" s="41">
        <f t="shared" si="0"/>
        <v>0</v>
      </c>
      <c r="AI67" s="41">
        <f t="shared" si="0"/>
        <v>0</v>
      </c>
      <c r="AJ67" s="41">
        <f t="shared" si="0"/>
        <v>0</v>
      </c>
      <c r="AK67" s="23"/>
      <c r="AL67" s="403">
        <f>SUM(AL65:AL66)</f>
        <v>0</v>
      </c>
      <c r="AM67" s="23"/>
      <c r="AN67" s="41">
        <f>SUM(AN65:AN66)</f>
        <v>791383.38</v>
      </c>
    </row>
    <row r="68" spans="1:40" x14ac:dyDescent="0.2">
      <c r="A68" s="362"/>
      <c r="B68" s="377"/>
      <c r="C68" s="377"/>
      <c r="D68" s="363"/>
      <c r="E68" s="23"/>
      <c r="F68" s="23"/>
      <c r="G68" s="23"/>
      <c r="H68" s="23"/>
      <c r="I68" s="39"/>
      <c r="J68" s="39"/>
      <c r="K68" s="39"/>
      <c r="L68" s="39"/>
      <c r="M68" s="23"/>
      <c r="N68" s="23"/>
      <c r="O68" s="23"/>
      <c r="AK68" s="373"/>
      <c r="AL68" s="402"/>
      <c r="AM68" s="373"/>
    </row>
    <row r="69" spans="1:40" ht="13.5" x14ac:dyDescent="0.25">
      <c r="A69" s="362">
        <v>20.200000000000003</v>
      </c>
      <c r="B69" s="401" t="s">
        <v>1484</v>
      </c>
      <c r="C69" s="377"/>
      <c r="D69" s="363"/>
      <c r="E69" s="29"/>
      <c r="F69" s="24"/>
      <c r="H69" s="24"/>
      <c r="J69" s="29"/>
      <c r="K69" s="29"/>
      <c r="L69" s="29"/>
      <c r="M69" s="39"/>
      <c r="N69" s="23"/>
      <c r="O69" s="39"/>
      <c r="AK69" s="373"/>
      <c r="AL69" s="402"/>
      <c r="AM69" s="373"/>
    </row>
    <row r="70" spans="1:40" x14ac:dyDescent="0.2">
      <c r="A70" s="362"/>
      <c r="B70" s="363" t="s">
        <v>1481</v>
      </c>
      <c r="C70" s="363"/>
      <c r="D70" s="363"/>
      <c r="E70" s="29">
        <v>1565359.95</v>
      </c>
      <c r="F70" s="24"/>
      <c r="G70" s="385"/>
      <c r="H70" s="379"/>
      <c r="I70" s="385"/>
      <c r="J70" s="385"/>
      <c r="K70" s="385"/>
      <c r="L70" s="385"/>
      <c r="M70" s="385"/>
      <c r="N70" s="24"/>
      <c r="O70" s="29">
        <v>1565359.95</v>
      </c>
      <c r="AK70" s="373"/>
      <c r="AL70" s="402"/>
      <c r="AM70" s="373"/>
      <c r="AN70" s="363">
        <v>1565359.95</v>
      </c>
    </row>
    <row r="71" spans="1:40" x14ac:dyDescent="0.2">
      <c r="A71" s="362"/>
      <c r="B71" s="363" t="s">
        <v>1482</v>
      </c>
      <c r="C71" s="363"/>
      <c r="D71" s="363"/>
      <c r="E71" s="29">
        <v>-227108.32</v>
      </c>
      <c r="F71" s="24"/>
      <c r="G71" s="385"/>
      <c r="H71" s="379"/>
      <c r="I71" s="385"/>
      <c r="J71" s="385"/>
      <c r="K71" s="385"/>
      <c r="L71" s="385"/>
      <c r="M71" s="385"/>
      <c r="N71" s="24"/>
      <c r="O71" s="29">
        <v>-227108.32</v>
      </c>
      <c r="AK71" s="373"/>
      <c r="AL71" s="402"/>
      <c r="AM71" s="373"/>
      <c r="AN71" s="363">
        <v>-227108.32</v>
      </c>
    </row>
    <row r="72" spans="1:40" x14ac:dyDescent="0.2">
      <c r="A72" s="362"/>
      <c r="B72" s="377" t="s">
        <v>1483</v>
      </c>
      <c r="C72" s="377"/>
      <c r="D72" s="363"/>
      <c r="E72" s="41">
        <f>SUM(E70:E71)</f>
        <v>1338251.6299999999</v>
      </c>
      <c r="F72" s="23">
        <f>SUM(F70:F71)</f>
        <v>0</v>
      </c>
      <c r="G72" s="41">
        <f>SUM(G70:G71)</f>
        <v>0</v>
      </c>
      <c r="H72" s="23"/>
      <c r="I72" s="41">
        <f t="shared" ref="I72:AJ72" si="1">SUM(I70:I71)</f>
        <v>0</v>
      </c>
      <c r="J72" s="41">
        <f t="shared" si="1"/>
        <v>0</v>
      </c>
      <c r="K72" s="41">
        <f t="shared" si="1"/>
        <v>0</v>
      </c>
      <c r="L72" s="41">
        <f t="shared" si="1"/>
        <v>0</v>
      </c>
      <c r="M72" s="41">
        <f t="shared" si="1"/>
        <v>0</v>
      </c>
      <c r="N72" s="41">
        <f t="shared" si="1"/>
        <v>0</v>
      </c>
      <c r="O72" s="41">
        <f t="shared" si="1"/>
        <v>1338251.6299999999</v>
      </c>
      <c r="P72" s="41">
        <f t="shared" si="1"/>
        <v>0</v>
      </c>
      <c r="Q72" s="41">
        <f t="shared" si="1"/>
        <v>0</v>
      </c>
      <c r="R72" s="41">
        <f t="shared" si="1"/>
        <v>0</v>
      </c>
      <c r="S72" s="41">
        <f t="shared" si="1"/>
        <v>0</v>
      </c>
      <c r="T72" s="41">
        <f t="shared" si="1"/>
        <v>0</v>
      </c>
      <c r="U72" s="41">
        <f t="shared" si="1"/>
        <v>0</v>
      </c>
      <c r="V72" s="41">
        <f t="shared" si="1"/>
        <v>0</v>
      </c>
      <c r="W72" s="41">
        <f t="shared" si="1"/>
        <v>0</v>
      </c>
      <c r="X72" s="41">
        <f t="shared" si="1"/>
        <v>0</v>
      </c>
      <c r="Y72" s="41">
        <f t="shared" si="1"/>
        <v>0</v>
      </c>
      <c r="Z72" s="41">
        <f t="shared" si="1"/>
        <v>0</v>
      </c>
      <c r="AA72" s="41">
        <f t="shared" si="1"/>
        <v>0</v>
      </c>
      <c r="AB72" s="41">
        <f t="shared" si="1"/>
        <v>0</v>
      </c>
      <c r="AC72" s="41">
        <f t="shared" si="1"/>
        <v>0</v>
      </c>
      <c r="AD72" s="41">
        <f t="shared" si="1"/>
        <v>0</v>
      </c>
      <c r="AE72" s="41">
        <f t="shared" si="1"/>
        <v>0</v>
      </c>
      <c r="AF72" s="41">
        <f t="shared" si="1"/>
        <v>0</v>
      </c>
      <c r="AG72" s="41">
        <f t="shared" si="1"/>
        <v>0</v>
      </c>
      <c r="AH72" s="41">
        <f t="shared" si="1"/>
        <v>0</v>
      </c>
      <c r="AI72" s="41">
        <f t="shared" si="1"/>
        <v>0</v>
      </c>
      <c r="AJ72" s="41">
        <f t="shared" si="1"/>
        <v>0</v>
      </c>
      <c r="AK72" s="23"/>
      <c r="AL72" s="403">
        <f>SUM(AL70:AL71)</f>
        <v>0</v>
      </c>
      <c r="AM72" s="23"/>
      <c r="AN72" s="41">
        <f>SUM(AN70:AN71)</f>
        <v>1338251.6299999999</v>
      </c>
    </row>
    <row r="73" spans="1:40" x14ac:dyDescent="0.2">
      <c r="A73" s="362"/>
      <c r="B73" s="377"/>
      <c r="C73" s="377"/>
      <c r="D73" s="363"/>
      <c r="E73" s="23"/>
      <c r="F73" s="23"/>
      <c r="G73" s="23"/>
      <c r="H73" s="23"/>
      <c r="I73" s="39"/>
      <c r="J73" s="39"/>
      <c r="K73" s="39"/>
      <c r="L73" s="39"/>
      <c r="M73" s="23"/>
      <c r="N73" s="23"/>
      <c r="O73" s="23"/>
      <c r="AK73" s="373"/>
      <c r="AL73" s="402"/>
      <c r="AM73" s="373"/>
    </row>
    <row r="74" spans="1:40" ht="13.5" x14ac:dyDescent="0.25">
      <c r="A74" s="362">
        <v>20.300000000000004</v>
      </c>
      <c r="B74" s="401" t="s">
        <v>515</v>
      </c>
      <c r="C74" s="377"/>
      <c r="D74" s="363"/>
      <c r="E74" s="29"/>
      <c r="F74" s="24"/>
      <c r="H74" s="24"/>
      <c r="J74" s="29"/>
      <c r="K74" s="29"/>
      <c r="L74" s="29"/>
      <c r="M74" s="39"/>
      <c r="N74" s="23"/>
      <c r="O74" s="39"/>
      <c r="AK74" s="373"/>
      <c r="AL74" s="402"/>
      <c r="AM74" s="373"/>
    </row>
    <row r="75" spans="1:40" x14ac:dyDescent="0.2">
      <c r="A75" s="362"/>
      <c r="B75" s="363" t="s">
        <v>1481</v>
      </c>
      <c r="C75" s="363"/>
      <c r="D75" s="363"/>
      <c r="E75" s="29">
        <v>2034239.6</v>
      </c>
      <c r="F75" s="24"/>
      <c r="G75" s="385"/>
      <c r="H75" s="379"/>
      <c r="I75" s="385"/>
      <c r="J75" s="385"/>
      <c r="K75" s="385"/>
      <c r="L75" s="385"/>
      <c r="M75" s="385"/>
      <c r="N75" s="24"/>
      <c r="O75" s="29">
        <v>2034239.6</v>
      </c>
      <c r="AK75" s="373"/>
      <c r="AL75" s="402"/>
      <c r="AM75" s="373"/>
      <c r="AN75" s="363">
        <v>2034239.6</v>
      </c>
    </row>
    <row r="76" spans="1:40" x14ac:dyDescent="0.2">
      <c r="A76" s="362"/>
      <c r="B76" s="363" t="s">
        <v>1482</v>
      </c>
      <c r="C76" s="363"/>
      <c r="D76" s="363"/>
      <c r="E76" s="29">
        <v>-295134.96999999997</v>
      </c>
      <c r="F76" s="24"/>
      <c r="G76" s="385"/>
      <c r="H76" s="379"/>
      <c r="I76" s="385"/>
      <c r="J76" s="385"/>
      <c r="K76" s="385"/>
      <c r="L76" s="385"/>
      <c r="M76" s="385"/>
      <c r="N76" s="24"/>
      <c r="O76" s="29">
        <v>-295134.96999999997</v>
      </c>
      <c r="AK76" s="373"/>
      <c r="AL76" s="402"/>
      <c r="AM76" s="373"/>
      <c r="AN76" s="363">
        <v>-295134.96999999997</v>
      </c>
    </row>
    <row r="77" spans="1:40" x14ac:dyDescent="0.2">
      <c r="A77" s="362"/>
      <c r="B77" s="377" t="s">
        <v>1483</v>
      </c>
      <c r="C77" s="377"/>
      <c r="D77" s="363"/>
      <c r="E77" s="41">
        <f>SUM(E75:E76)</f>
        <v>1739104.6300000001</v>
      </c>
      <c r="F77" s="23">
        <f>SUM(F75:F76)</f>
        <v>0</v>
      </c>
      <c r="G77" s="41">
        <f>SUM(G75:G76)</f>
        <v>0</v>
      </c>
      <c r="H77" s="23"/>
      <c r="I77" s="41">
        <f t="shared" ref="I77:AJ77" si="2">SUM(I75:I76)</f>
        <v>0</v>
      </c>
      <c r="J77" s="41">
        <f t="shared" si="2"/>
        <v>0</v>
      </c>
      <c r="K77" s="41">
        <f t="shared" si="2"/>
        <v>0</v>
      </c>
      <c r="L77" s="41">
        <f t="shared" si="2"/>
        <v>0</v>
      </c>
      <c r="M77" s="41">
        <f t="shared" si="2"/>
        <v>0</v>
      </c>
      <c r="N77" s="41">
        <f t="shared" si="2"/>
        <v>0</v>
      </c>
      <c r="O77" s="41">
        <f t="shared" si="2"/>
        <v>1739104.6300000001</v>
      </c>
      <c r="P77" s="41">
        <f t="shared" si="2"/>
        <v>0</v>
      </c>
      <c r="Q77" s="41">
        <f t="shared" si="2"/>
        <v>0</v>
      </c>
      <c r="R77" s="41">
        <f t="shared" si="2"/>
        <v>0</v>
      </c>
      <c r="S77" s="41">
        <f t="shared" si="2"/>
        <v>0</v>
      </c>
      <c r="T77" s="41">
        <f t="shared" si="2"/>
        <v>0</v>
      </c>
      <c r="U77" s="41">
        <f t="shared" si="2"/>
        <v>0</v>
      </c>
      <c r="V77" s="41">
        <f t="shared" si="2"/>
        <v>0</v>
      </c>
      <c r="W77" s="41">
        <f t="shared" si="2"/>
        <v>0</v>
      </c>
      <c r="X77" s="41">
        <f t="shared" si="2"/>
        <v>0</v>
      </c>
      <c r="Y77" s="41">
        <f t="shared" si="2"/>
        <v>0</v>
      </c>
      <c r="Z77" s="41">
        <f t="shared" si="2"/>
        <v>0</v>
      </c>
      <c r="AA77" s="41">
        <f t="shared" si="2"/>
        <v>0</v>
      </c>
      <c r="AB77" s="41">
        <f t="shared" si="2"/>
        <v>0</v>
      </c>
      <c r="AC77" s="41">
        <f t="shared" si="2"/>
        <v>0</v>
      </c>
      <c r="AD77" s="41">
        <f t="shared" si="2"/>
        <v>0</v>
      </c>
      <c r="AE77" s="41">
        <f t="shared" si="2"/>
        <v>0</v>
      </c>
      <c r="AF77" s="41">
        <f t="shared" si="2"/>
        <v>0</v>
      </c>
      <c r="AG77" s="41">
        <f t="shared" si="2"/>
        <v>0</v>
      </c>
      <c r="AH77" s="41">
        <f t="shared" si="2"/>
        <v>0</v>
      </c>
      <c r="AI77" s="41">
        <f t="shared" si="2"/>
        <v>0</v>
      </c>
      <c r="AJ77" s="41">
        <f t="shared" si="2"/>
        <v>0</v>
      </c>
      <c r="AK77" s="23"/>
      <c r="AL77" s="403">
        <f>SUM(AL75:AL76)</f>
        <v>0</v>
      </c>
      <c r="AM77" s="23"/>
      <c r="AN77" s="41">
        <f>SUM(AN75:AN76)</f>
        <v>1739104.6300000001</v>
      </c>
    </row>
    <row r="78" spans="1:40" x14ac:dyDescent="0.2">
      <c r="A78" s="362"/>
      <c r="B78" s="377"/>
      <c r="C78" s="377"/>
      <c r="D78" s="363"/>
      <c r="E78" s="23"/>
      <c r="F78" s="23"/>
      <c r="G78" s="23"/>
      <c r="H78" s="23"/>
      <c r="I78" s="39"/>
      <c r="J78" s="39"/>
      <c r="K78" s="39"/>
      <c r="L78" s="39"/>
      <c r="M78" s="23"/>
      <c r="N78" s="23"/>
      <c r="O78" s="23"/>
      <c r="AK78" s="373"/>
      <c r="AL78" s="402"/>
      <c r="AM78" s="373"/>
    </row>
    <row r="79" spans="1:40" ht="13.5" x14ac:dyDescent="0.25">
      <c r="A79" s="362">
        <v>20.400000000000006</v>
      </c>
      <c r="B79" s="401" t="s">
        <v>493</v>
      </c>
      <c r="C79" s="377"/>
      <c r="D79" s="363"/>
      <c r="E79" s="23"/>
      <c r="F79" s="23"/>
      <c r="G79" s="23"/>
      <c r="H79" s="24"/>
      <c r="I79" s="24"/>
      <c r="J79" s="24"/>
      <c r="K79" s="24"/>
      <c r="L79" s="29"/>
      <c r="M79" s="29"/>
      <c r="N79" s="24"/>
      <c r="O79" s="29"/>
      <c r="AK79" s="373"/>
      <c r="AL79" s="402"/>
      <c r="AM79" s="373"/>
    </row>
    <row r="80" spans="1:40" x14ac:dyDescent="0.2">
      <c r="A80" s="362"/>
      <c r="B80" s="363" t="s">
        <v>1481</v>
      </c>
      <c r="C80" s="363"/>
      <c r="D80" s="363"/>
      <c r="E80" s="29">
        <v>165285</v>
      </c>
      <c r="F80" s="24"/>
      <c r="G80" s="385"/>
      <c r="H80" s="379"/>
      <c r="I80" s="385"/>
      <c r="J80" s="385"/>
      <c r="K80" s="385"/>
      <c r="L80" s="385"/>
      <c r="M80" s="385"/>
      <c r="N80" s="24"/>
      <c r="O80" s="29">
        <v>165285</v>
      </c>
      <c r="AK80" s="373"/>
      <c r="AL80" s="402"/>
      <c r="AM80" s="373"/>
      <c r="AN80" s="363">
        <v>165285</v>
      </c>
    </row>
    <row r="81" spans="1:41" x14ac:dyDescent="0.2">
      <c r="A81" s="362"/>
      <c r="B81" s="363" t="s">
        <v>1482</v>
      </c>
      <c r="C81" s="363"/>
      <c r="D81" s="363"/>
      <c r="E81" s="29">
        <v>-3363.22</v>
      </c>
      <c r="F81" s="24"/>
      <c r="G81" s="385"/>
      <c r="H81" s="379"/>
      <c r="I81" s="385"/>
      <c r="J81" s="385"/>
      <c r="K81" s="385"/>
      <c r="L81" s="385"/>
      <c r="M81" s="385"/>
      <c r="N81" s="24"/>
      <c r="O81" s="29">
        <v>-3363.22</v>
      </c>
      <c r="AK81" s="373"/>
      <c r="AL81" s="402"/>
      <c r="AM81" s="373"/>
      <c r="AN81" s="363">
        <v>-3363.22</v>
      </c>
    </row>
    <row r="82" spans="1:41" x14ac:dyDescent="0.2">
      <c r="A82" s="362"/>
      <c r="B82" s="377" t="s">
        <v>1483</v>
      </c>
      <c r="C82" s="377"/>
      <c r="D82" s="363"/>
      <c r="E82" s="83">
        <f>SUM(E80:E81)</f>
        <v>161921.78</v>
      </c>
      <c r="F82" s="79">
        <f>SUM(F80:F81)</f>
        <v>0</v>
      </c>
      <c r="G82" s="41">
        <f>SUM(G80:G81)</f>
        <v>0</v>
      </c>
      <c r="H82" s="79"/>
      <c r="I82" s="83">
        <f t="shared" ref="I82:AJ82" si="3">SUM(I80:I81)</f>
        <v>0</v>
      </c>
      <c r="J82" s="83">
        <f t="shared" si="3"/>
        <v>0</v>
      </c>
      <c r="K82" s="83">
        <f t="shared" si="3"/>
        <v>0</v>
      </c>
      <c r="L82" s="83">
        <f t="shared" si="3"/>
        <v>0</v>
      </c>
      <c r="M82" s="83">
        <f t="shared" si="3"/>
        <v>0</v>
      </c>
      <c r="N82" s="83">
        <f t="shared" si="3"/>
        <v>0</v>
      </c>
      <c r="O82" s="83">
        <f t="shared" si="3"/>
        <v>161921.78</v>
      </c>
      <c r="P82" s="83">
        <f t="shared" si="3"/>
        <v>0</v>
      </c>
      <c r="Q82" s="83">
        <f t="shared" si="3"/>
        <v>0</v>
      </c>
      <c r="R82" s="83">
        <f t="shared" si="3"/>
        <v>0</v>
      </c>
      <c r="S82" s="83">
        <f t="shared" si="3"/>
        <v>0</v>
      </c>
      <c r="T82" s="83">
        <f t="shared" si="3"/>
        <v>0</v>
      </c>
      <c r="U82" s="83">
        <f t="shared" si="3"/>
        <v>0</v>
      </c>
      <c r="V82" s="83">
        <f t="shared" si="3"/>
        <v>0</v>
      </c>
      <c r="W82" s="83">
        <f t="shared" si="3"/>
        <v>0</v>
      </c>
      <c r="X82" s="83">
        <f t="shared" si="3"/>
        <v>0</v>
      </c>
      <c r="Y82" s="83">
        <f t="shared" si="3"/>
        <v>0</v>
      </c>
      <c r="Z82" s="83">
        <f t="shared" si="3"/>
        <v>0</v>
      </c>
      <c r="AA82" s="83">
        <f t="shared" si="3"/>
        <v>0</v>
      </c>
      <c r="AB82" s="83">
        <f t="shared" si="3"/>
        <v>0</v>
      </c>
      <c r="AC82" s="83">
        <f t="shared" si="3"/>
        <v>0</v>
      </c>
      <c r="AD82" s="83">
        <f t="shared" si="3"/>
        <v>0</v>
      </c>
      <c r="AE82" s="83">
        <f t="shared" si="3"/>
        <v>0</v>
      </c>
      <c r="AF82" s="83">
        <f t="shared" si="3"/>
        <v>0</v>
      </c>
      <c r="AG82" s="83">
        <f t="shared" si="3"/>
        <v>0</v>
      </c>
      <c r="AH82" s="83">
        <f t="shared" si="3"/>
        <v>0</v>
      </c>
      <c r="AI82" s="83">
        <f t="shared" si="3"/>
        <v>0</v>
      </c>
      <c r="AJ82" s="83">
        <f t="shared" si="3"/>
        <v>0</v>
      </c>
      <c r="AK82" s="79"/>
      <c r="AL82" s="404">
        <f>SUM(AL80:AL81)</f>
        <v>0</v>
      </c>
      <c r="AM82" s="79"/>
      <c r="AN82" s="83">
        <f>SUM(AN80:AN81)</f>
        <v>161921.78</v>
      </c>
      <c r="AO82" s="83">
        <f>SUM(AO80:AO81)</f>
        <v>0</v>
      </c>
    </row>
    <row r="83" spans="1:41" ht="13.5" thickBot="1" x14ac:dyDescent="0.25">
      <c r="A83" s="362"/>
      <c r="B83" s="377" t="s">
        <v>1485</v>
      </c>
      <c r="C83" s="377"/>
      <c r="D83" s="363"/>
      <c r="E83" s="84">
        <f>E67+E72+E77+E82</f>
        <v>4030661.4199999995</v>
      </c>
      <c r="F83" s="79">
        <f>F67+F72+F77+F82</f>
        <v>0</v>
      </c>
      <c r="G83" s="42">
        <f>G67+G72+G77+G82</f>
        <v>0</v>
      </c>
      <c r="H83" s="79"/>
      <c r="I83" s="84">
        <f t="shared" ref="I83:AJ83" si="4">I67+I72+I77+I82</f>
        <v>0</v>
      </c>
      <c r="J83" s="84">
        <f t="shared" si="4"/>
        <v>0</v>
      </c>
      <c r="K83" s="84">
        <f t="shared" si="4"/>
        <v>0</v>
      </c>
      <c r="L83" s="84">
        <f t="shared" si="4"/>
        <v>0</v>
      </c>
      <c r="M83" s="84">
        <f t="shared" si="4"/>
        <v>0</v>
      </c>
      <c r="N83" s="84">
        <f t="shared" si="4"/>
        <v>0</v>
      </c>
      <c r="O83" s="84">
        <f t="shared" si="4"/>
        <v>4030661.4199999995</v>
      </c>
      <c r="P83" s="84">
        <f t="shared" si="4"/>
        <v>0</v>
      </c>
      <c r="Q83" s="84">
        <f t="shared" si="4"/>
        <v>0</v>
      </c>
      <c r="R83" s="84">
        <f t="shared" si="4"/>
        <v>0</v>
      </c>
      <c r="S83" s="84">
        <f t="shared" si="4"/>
        <v>0</v>
      </c>
      <c r="T83" s="84">
        <f t="shared" si="4"/>
        <v>0</v>
      </c>
      <c r="U83" s="84">
        <f t="shared" si="4"/>
        <v>0</v>
      </c>
      <c r="V83" s="84">
        <f t="shared" si="4"/>
        <v>0</v>
      </c>
      <c r="W83" s="84">
        <f t="shared" si="4"/>
        <v>0</v>
      </c>
      <c r="X83" s="84">
        <f t="shared" si="4"/>
        <v>0</v>
      </c>
      <c r="Y83" s="84">
        <f t="shared" si="4"/>
        <v>0</v>
      </c>
      <c r="Z83" s="84">
        <f t="shared" si="4"/>
        <v>0</v>
      </c>
      <c r="AA83" s="84">
        <f t="shared" si="4"/>
        <v>0</v>
      </c>
      <c r="AB83" s="84">
        <f t="shared" si="4"/>
        <v>0</v>
      </c>
      <c r="AC83" s="84">
        <f t="shared" si="4"/>
        <v>0</v>
      </c>
      <c r="AD83" s="84">
        <f t="shared" si="4"/>
        <v>0</v>
      </c>
      <c r="AE83" s="84">
        <f t="shared" si="4"/>
        <v>0</v>
      </c>
      <c r="AF83" s="84">
        <f t="shared" si="4"/>
        <v>0</v>
      </c>
      <c r="AG83" s="84">
        <f t="shared" si="4"/>
        <v>0</v>
      </c>
      <c r="AH83" s="84">
        <f t="shared" si="4"/>
        <v>0</v>
      </c>
      <c r="AI83" s="84">
        <f t="shared" si="4"/>
        <v>0</v>
      </c>
      <c r="AJ83" s="84">
        <f t="shared" si="4"/>
        <v>0</v>
      </c>
      <c r="AK83" s="79"/>
      <c r="AL83" s="84">
        <f>AL67+AL72+AL77+AL82</f>
        <v>0</v>
      </c>
      <c r="AM83" s="79"/>
      <c r="AN83" s="84">
        <f>AN67+AN72+AN77+AN82</f>
        <v>4030661.4199999995</v>
      </c>
    </row>
    <row r="84" spans="1:41" ht="13.5" thickTop="1" x14ac:dyDescent="0.2">
      <c r="H84" s="24"/>
    </row>
    <row r="85" spans="1:41" x14ac:dyDescent="0.2">
      <c r="H85" s="24"/>
    </row>
    <row r="86" spans="1:41" x14ac:dyDescent="0.2">
      <c r="H86" s="24"/>
    </row>
    <row r="89" spans="1:41" x14ac:dyDescent="0.2">
      <c r="A89" s="405">
        <v>21.1</v>
      </c>
      <c r="B89" s="406" t="s">
        <v>261</v>
      </c>
      <c r="C89" s="406"/>
      <c r="D89" s="363"/>
      <c r="E89" s="407" t="s">
        <v>1472</v>
      </c>
      <c r="F89" s="23"/>
      <c r="G89" s="408" t="s">
        <v>1472</v>
      </c>
      <c r="H89" s="23"/>
      <c r="I89" s="23" t="s">
        <v>57</v>
      </c>
      <c r="J89" s="23"/>
      <c r="K89" s="23" t="s">
        <v>57</v>
      </c>
      <c r="L89" s="23"/>
      <c r="M89" s="409" t="s">
        <v>57</v>
      </c>
      <c r="N89" s="24"/>
      <c r="O89" s="407" t="s">
        <v>57</v>
      </c>
      <c r="AL89" s="10" t="s">
        <v>57</v>
      </c>
    </row>
    <row r="90" spans="1:41" x14ac:dyDescent="0.2">
      <c r="A90" s="405"/>
      <c r="C90" s="363"/>
      <c r="D90" s="363"/>
      <c r="E90" s="410" t="s">
        <v>1473</v>
      </c>
      <c r="F90" s="23"/>
      <c r="G90" s="411" t="s">
        <v>1473</v>
      </c>
      <c r="H90" s="23"/>
      <c r="I90" s="23"/>
      <c r="J90" s="23"/>
      <c r="K90" s="23"/>
      <c r="L90" s="23"/>
      <c r="M90" s="412"/>
      <c r="N90" s="24"/>
      <c r="O90" s="410"/>
      <c r="AL90" s="398"/>
    </row>
    <row r="91" spans="1:41" x14ac:dyDescent="0.2">
      <c r="A91" s="405"/>
      <c r="C91" s="363"/>
      <c r="D91" s="363"/>
      <c r="E91" s="413" t="s">
        <v>1475</v>
      </c>
      <c r="F91" s="23"/>
      <c r="G91" s="414" t="s">
        <v>1476</v>
      </c>
      <c r="H91" s="23"/>
      <c r="I91" s="415" t="s">
        <v>1479</v>
      </c>
      <c r="J91" s="399"/>
      <c r="K91" s="398" t="s">
        <v>1486</v>
      </c>
      <c r="L91" s="23"/>
      <c r="M91" s="398" t="s">
        <v>1486</v>
      </c>
      <c r="N91" s="399"/>
      <c r="O91" s="398">
        <f>+O70</f>
        <v>1565359.95</v>
      </c>
      <c r="AL91" s="398" t="s">
        <v>1486</v>
      </c>
      <c r="AM91" s="399"/>
    </row>
    <row r="92" spans="1:41" ht="13.5" x14ac:dyDescent="0.25">
      <c r="B92" s="363" t="s">
        <v>620</v>
      </c>
      <c r="C92" s="416"/>
      <c r="D92" s="363"/>
      <c r="E92" s="114"/>
      <c r="F92" s="23"/>
      <c r="G92" s="24"/>
      <c r="H92" s="23"/>
      <c r="I92" s="23"/>
      <c r="J92" s="23"/>
      <c r="K92" s="23">
        <v>21388405.149999999</v>
      </c>
      <c r="L92" s="23"/>
      <c r="M92" s="114"/>
      <c r="N92" s="24"/>
      <c r="O92" s="417">
        <v>21388405.149999999</v>
      </c>
      <c r="AL92" s="29">
        <v>21472051</v>
      </c>
    </row>
    <row r="93" spans="1:41" ht="13.5" x14ac:dyDescent="0.25">
      <c r="B93" s="363" t="s">
        <v>621</v>
      </c>
      <c r="C93" s="416"/>
      <c r="D93" s="363"/>
      <c r="E93" s="114"/>
      <c r="F93" s="23"/>
      <c r="G93" s="24"/>
      <c r="H93" s="23"/>
      <c r="I93" s="23"/>
      <c r="J93" s="23"/>
      <c r="K93" s="23">
        <v>11750000</v>
      </c>
      <c r="L93" s="23"/>
      <c r="M93" s="114"/>
      <c r="N93" s="24"/>
      <c r="O93" s="417">
        <v>11750000</v>
      </c>
      <c r="AL93" s="29">
        <v>14612628</v>
      </c>
    </row>
    <row r="94" spans="1:41" ht="13.5" x14ac:dyDescent="0.25">
      <c r="B94" s="380" t="s">
        <v>622</v>
      </c>
      <c r="C94" s="416"/>
      <c r="D94" s="363"/>
      <c r="E94" s="114"/>
      <c r="F94" s="23"/>
      <c r="G94" s="24"/>
      <c r="H94" s="23"/>
      <c r="I94" s="23"/>
      <c r="J94" s="23"/>
      <c r="K94" s="23">
        <v>17916666.780000001</v>
      </c>
      <c r="L94" s="23"/>
      <c r="M94" s="114"/>
      <c r="N94" s="24"/>
      <c r="O94" s="417">
        <v>17916666.780000001</v>
      </c>
      <c r="AL94" s="29">
        <v>17916667</v>
      </c>
    </row>
    <row r="95" spans="1:41" ht="13.5" x14ac:dyDescent="0.25">
      <c r="B95" s="363" t="s">
        <v>775</v>
      </c>
      <c r="C95" s="416"/>
      <c r="D95" s="363"/>
      <c r="E95" s="114"/>
      <c r="F95" s="23"/>
      <c r="G95" s="24"/>
      <c r="H95" s="23"/>
      <c r="I95" s="23"/>
      <c r="J95" s="23"/>
      <c r="K95" s="23">
        <v>4178675.6</v>
      </c>
      <c r="L95" s="23"/>
      <c r="M95" s="114"/>
      <c r="N95" s="24"/>
      <c r="O95" s="417">
        <v>4178675.6</v>
      </c>
      <c r="AL95" s="29">
        <v>4818019</v>
      </c>
    </row>
    <row r="96" spans="1:41" ht="13.5" x14ac:dyDescent="0.25">
      <c r="B96" s="363" t="s">
        <v>776</v>
      </c>
      <c r="C96" s="416"/>
      <c r="D96" s="363"/>
      <c r="E96" s="114"/>
      <c r="F96" s="23"/>
      <c r="G96" s="24"/>
      <c r="H96" s="23"/>
      <c r="I96" s="23"/>
      <c r="J96" s="23"/>
      <c r="K96" s="23">
        <v>4929950.3499999996</v>
      </c>
      <c r="L96" s="23"/>
      <c r="M96" s="114"/>
      <c r="N96" s="24"/>
      <c r="O96" s="417">
        <v>4929950.3499999996</v>
      </c>
      <c r="AL96" s="29">
        <v>4886693</v>
      </c>
    </row>
    <row r="97" spans="1:41" ht="13.5" x14ac:dyDescent="0.25">
      <c r="B97" s="363" t="s">
        <v>777</v>
      </c>
      <c r="C97" s="416"/>
      <c r="D97" s="363"/>
      <c r="E97" s="114"/>
      <c r="F97" s="23"/>
      <c r="G97" s="24"/>
      <c r="H97" s="23"/>
      <c r="I97" s="23"/>
      <c r="J97" s="23"/>
      <c r="K97" s="23">
        <v>2000000</v>
      </c>
      <c r="L97" s="23"/>
      <c r="M97" s="114"/>
      <c r="N97" s="24"/>
      <c r="O97" s="417">
        <v>2000000</v>
      </c>
      <c r="AL97" s="29">
        <v>2000000</v>
      </c>
    </row>
    <row r="98" spans="1:41" ht="13.5" thickBot="1" x14ac:dyDescent="0.25">
      <c r="C98" s="363"/>
      <c r="D98" s="363"/>
      <c r="E98" s="132">
        <f>SUM(E92:E97)</f>
        <v>0</v>
      </c>
      <c r="F98" s="23"/>
      <c r="G98" s="132">
        <f>SUM(G92:G97)</f>
        <v>0</v>
      </c>
      <c r="H98" s="23"/>
      <c r="I98" s="42">
        <v>0</v>
      </c>
      <c r="J98" s="23"/>
      <c r="K98" s="23">
        <v>62286395.790000007</v>
      </c>
      <c r="L98" s="23"/>
      <c r="M98" s="132">
        <f>SUM(M92:M97)</f>
        <v>0</v>
      </c>
      <c r="N98" s="24"/>
      <c r="O98" s="418">
        <f>SUM(O92:O97)</f>
        <v>62163697.880000003</v>
      </c>
      <c r="AL98" s="386">
        <f>SUM(AL92:AL97)</f>
        <v>65706058</v>
      </c>
    </row>
    <row r="99" spans="1:41" ht="13.5" thickTop="1" x14ac:dyDescent="0.2">
      <c r="AL99" s="417"/>
    </row>
    <row r="100" spans="1:41" x14ac:dyDescent="0.2">
      <c r="AL100" s="417"/>
    </row>
    <row r="102" spans="1:41" x14ac:dyDescent="0.2">
      <c r="C102" s="363"/>
      <c r="D102" s="363"/>
      <c r="F102" s="363"/>
    </row>
    <row r="103" spans="1:41" s="29" customFormat="1" x14ac:dyDescent="0.2">
      <c r="A103" s="384"/>
      <c r="B103" s="363"/>
      <c r="C103" s="363"/>
      <c r="D103" s="363"/>
      <c r="E103" s="363"/>
      <c r="F103" s="363"/>
      <c r="J103" s="363"/>
      <c r="K103" s="10"/>
      <c r="L103" s="363"/>
      <c r="M103" s="363"/>
      <c r="N103" s="363"/>
      <c r="O103" s="363"/>
      <c r="P103" s="10"/>
      <c r="Q103" s="363"/>
      <c r="R103" s="363"/>
      <c r="S103" s="363"/>
      <c r="T103" s="363"/>
      <c r="U103" s="363"/>
      <c r="V103" s="363"/>
      <c r="W103" s="363"/>
      <c r="X103" s="363"/>
      <c r="Y103" s="363"/>
      <c r="Z103" s="363"/>
      <c r="AA103" s="363"/>
      <c r="AB103" s="363"/>
      <c r="AC103" s="363"/>
      <c r="AD103" s="363"/>
      <c r="AE103" s="363"/>
      <c r="AF103" s="363"/>
      <c r="AG103" s="363"/>
      <c r="AH103" s="363"/>
      <c r="AI103" s="363"/>
      <c r="AJ103" s="363"/>
      <c r="AK103" s="363"/>
      <c r="AL103" s="363"/>
      <c r="AM103" s="363"/>
      <c r="AN103" s="363"/>
      <c r="AO103" s="363"/>
    </row>
    <row r="104" spans="1:41" s="29" customFormat="1" x14ac:dyDescent="0.2">
      <c r="A104" s="384"/>
      <c r="B104" s="363"/>
      <c r="C104" s="363"/>
      <c r="D104" s="363"/>
      <c r="E104" s="363"/>
      <c r="F104" s="363"/>
      <c r="J104" s="363"/>
      <c r="K104" s="10"/>
      <c r="L104" s="363"/>
      <c r="M104" s="363"/>
      <c r="N104" s="363"/>
      <c r="O104" s="363"/>
      <c r="P104" s="10"/>
      <c r="Q104" s="363"/>
      <c r="R104" s="363"/>
      <c r="S104" s="363"/>
      <c r="T104" s="363"/>
      <c r="U104" s="363"/>
      <c r="V104" s="363"/>
      <c r="W104" s="363"/>
      <c r="X104" s="363"/>
      <c r="Y104" s="363"/>
      <c r="Z104" s="363"/>
      <c r="AA104" s="363"/>
      <c r="AB104" s="363"/>
      <c r="AC104" s="363"/>
      <c r="AD104" s="363"/>
      <c r="AE104" s="363"/>
      <c r="AF104" s="363"/>
      <c r="AG104" s="363"/>
      <c r="AH104" s="363"/>
      <c r="AI104" s="363"/>
      <c r="AJ104" s="363"/>
      <c r="AK104" s="363"/>
      <c r="AL104" s="363"/>
      <c r="AM104" s="363"/>
      <c r="AN104" s="363"/>
      <c r="AO104" s="363"/>
    </row>
    <row r="105" spans="1:41" s="29" customFormat="1" x14ac:dyDescent="0.2">
      <c r="A105" s="384"/>
      <c r="B105" s="363"/>
      <c r="C105" s="363"/>
      <c r="D105" s="363"/>
      <c r="E105" s="363"/>
      <c r="F105" s="363"/>
      <c r="J105" s="363"/>
      <c r="K105" s="10"/>
      <c r="L105" s="363"/>
      <c r="M105" s="363"/>
      <c r="N105" s="363"/>
      <c r="O105" s="363"/>
      <c r="P105" s="10"/>
      <c r="Q105" s="363"/>
      <c r="R105" s="363"/>
      <c r="S105" s="363"/>
      <c r="T105" s="363"/>
      <c r="U105" s="363"/>
      <c r="V105" s="363"/>
      <c r="W105" s="363"/>
      <c r="X105" s="363"/>
      <c r="Y105" s="363"/>
      <c r="Z105" s="363"/>
      <c r="AA105" s="363"/>
      <c r="AB105" s="363"/>
      <c r="AC105" s="363"/>
      <c r="AD105" s="363"/>
      <c r="AE105" s="363"/>
      <c r="AF105" s="363"/>
      <c r="AG105" s="363"/>
      <c r="AH105" s="363"/>
      <c r="AI105" s="363"/>
      <c r="AJ105" s="363"/>
      <c r="AK105" s="363"/>
      <c r="AL105" s="363"/>
      <c r="AM105" s="363"/>
      <c r="AN105" s="363"/>
      <c r="AO105" s="363"/>
    </row>
    <row r="106" spans="1:41" s="29" customFormat="1" x14ac:dyDescent="0.2">
      <c r="A106" s="384"/>
      <c r="B106" s="363"/>
      <c r="C106" s="363"/>
      <c r="D106" s="363"/>
      <c r="E106" s="363"/>
      <c r="F106" s="363"/>
      <c r="J106" s="363"/>
      <c r="K106" s="10"/>
      <c r="L106" s="363"/>
      <c r="M106" s="363"/>
      <c r="N106" s="363"/>
      <c r="O106" s="363"/>
      <c r="P106" s="10"/>
      <c r="Q106" s="363"/>
      <c r="R106" s="363"/>
      <c r="S106" s="363"/>
      <c r="T106" s="363"/>
      <c r="U106" s="363"/>
      <c r="V106" s="363"/>
      <c r="W106" s="363"/>
      <c r="X106" s="363"/>
      <c r="Y106" s="363"/>
      <c r="Z106" s="363"/>
      <c r="AA106" s="363"/>
      <c r="AB106" s="363"/>
      <c r="AC106" s="363"/>
      <c r="AD106" s="363"/>
      <c r="AE106" s="363"/>
      <c r="AF106" s="363"/>
      <c r="AG106" s="363"/>
      <c r="AH106" s="363"/>
      <c r="AI106" s="363"/>
      <c r="AJ106" s="363"/>
      <c r="AK106" s="363"/>
      <c r="AL106" s="363"/>
      <c r="AM106" s="363"/>
      <c r="AN106" s="363"/>
      <c r="AO106" s="363"/>
    </row>
    <row r="107" spans="1:41" s="29" customFormat="1" x14ac:dyDescent="0.2">
      <c r="A107" s="384"/>
      <c r="B107" s="363"/>
      <c r="C107" s="363"/>
      <c r="D107" s="363"/>
      <c r="E107" s="363"/>
      <c r="F107" s="363"/>
      <c r="J107" s="363"/>
      <c r="K107" s="10"/>
      <c r="L107" s="363"/>
      <c r="M107" s="363"/>
      <c r="N107" s="363"/>
      <c r="O107" s="363"/>
      <c r="P107" s="10"/>
      <c r="Q107" s="363"/>
      <c r="R107" s="363"/>
      <c r="S107" s="363"/>
      <c r="T107" s="363"/>
      <c r="U107" s="363"/>
      <c r="V107" s="363"/>
      <c r="W107" s="363"/>
      <c r="X107" s="363"/>
      <c r="Y107" s="363"/>
      <c r="Z107" s="363"/>
      <c r="AA107" s="363"/>
      <c r="AB107" s="363"/>
      <c r="AC107" s="363"/>
      <c r="AD107" s="363"/>
      <c r="AE107" s="363"/>
      <c r="AF107" s="363"/>
      <c r="AG107" s="363"/>
      <c r="AH107" s="363"/>
      <c r="AI107" s="363"/>
      <c r="AJ107" s="363"/>
      <c r="AK107" s="363"/>
      <c r="AL107" s="363"/>
      <c r="AM107" s="363"/>
      <c r="AN107" s="363"/>
      <c r="AO107" s="363"/>
    </row>
    <row r="108" spans="1:41" s="29" customFormat="1" x14ac:dyDescent="0.2">
      <c r="A108" s="384"/>
      <c r="B108" s="363"/>
      <c r="C108" s="363"/>
      <c r="D108" s="363"/>
      <c r="E108" s="363"/>
      <c r="F108" s="363"/>
      <c r="J108" s="363"/>
      <c r="K108" s="10"/>
      <c r="L108" s="363"/>
      <c r="M108" s="363"/>
      <c r="N108" s="363"/>
      <c r="O108" s="363"/>
      <c r="P108" s="10"/>
      <c r="Q108" s="363"/>
      <c r="R108" s="363"/>
      <c r="S108" s="363"/>
      <c r="T108" s="363"/>
      <c r="U108" s="363"/>
      <c r="V108" s="363"/>
      <c r="W108" s="363"/>
      <c r="X108" s="363"/>
      <c r="Y108" s="363"/>
      <c r="Z108" s="363"/>
      <c r="AA108" s="363"/>
      <c r="AB108" s="363"/>
      <c r="AC108" s="363"/>
      <c r="AD108" s="363"/>
      <c r="AE108" s="363"/>
      <c r="AF108" s="363"/>
      <c r="AG108" s="363"/>
      <c r="AH108" s="363"/>
      <c r="AI108" s="363"/>
      <c r="AJ108" s="363"/>
      <c r="AK108" s="363"/>
      <c r="AL108" s="363"/>
      <c r="AM108" s="363"/>
      <c r="AN108" s="363"/>
      <c r="AO108" s="363"/>
    </row>
    <row r="109" spans="1:41" s="29" customFormat="1" x14ac:dyDescent="0.2">
      <c r="A109" s="384"/>
      <c r="B109" s="363"/>
      <c r="C109" s="363"/>
      <c r="D109" s="363"/>
      <c r="E109" s="363"/>
      <c r="F109" s="363"/>
      <c r="J109" s="363"/>
      <c r="K109" s="10"/>
      <c r="L109" s="363"/>
      <c r="M109" s="363"/>
      <c r="N109" s="363"/>
      <c r="O109" s="363"/>
      <c r="P109" s="10"/>
      <c r="Q109" s="363"/>
      <c r="R109" s="363"/>
      <c r="S109" s="363"/>
      <c r="T109" s="363"/>
      <c r="U109" s="363"/>
      <c r="V109" s="363"/>
      <c r="W109" s="363"/>
      <c r="X109" s="363"/>
      <c r="Y109" s="363"/>
      <c r="Z109" s="363"/>
      <c r="AA109" s="363"/>
      <c r="AB109" s="363"/>
      <c r="AC109" s="363"/>
      <c r="AD109" s="363"/>
      <c r="AE109" s="363"/>
      <c r="AF109" s="363"/>
      <c r="AG109" s="363"/>
      <c r="AH109" s="363"/>
      <c r="AI109" s="363"/>
      <c r="AJ109" s="363"/>
      <c r="AK109" s="363"/>
      <c r="AL109" s="363"/>
      <c r="AM109" s="363"/>
      <c r="AN109" s="363"/>
      <c r="AO109" s="363"/>
    </row>
  </sheetData>
  <mergeCells count="2">
    <mergeCell ref="K1:L1"/>
    <mergeCell ref="G4:J4"/>
  </mergeCell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
    <tabColor rgb="FFFFFF00"/>
  </sheetPr>
  <dimension ref="A1:Q508"/>
  <sheetViews>
    <sheetView zoomScale="90" zoomScaleNormal="90" workbookViewId="0">
      <pane ySplit="3" topLeftCell="A4" activePane="bottomLeft" state="frozenSplit"/>
      <selection activeCell="D32" sqref="D32"/>
      <selection pane="bottomLeft" activeCell="C4" sqref="C4"/>
    </sheetView>
  </sheetViews>
  <sheetFormatPr defaultRowHeight="12.75" x14ac:dyDescent="0.2"/>
  <cols>
    <col min="1" max="1" width="109.85546875" style="317" customWidth="1"/>
    <col min="2" max="3" width="15.28515625" style="318" bestFit="1" customWidth="1"/>
    <col min="4" max="4" width="0.42578125" style="318" customWidth="1"/>
    <col min="5" max="5" width="15.5703125" style="318" customWidth="1"/>
    <col min="6" max="6" width="13" style="318" customWidth="1"/>
    <col min="7" max="7" width="0.42578125" style="318" customWidth="1"/>
    <col min="8" max="9" width="14.85546875" style="318" customWidth="1"/>
    <col min="10" max="10" width="14.5703125" style="297" bestFit="1" customWidth="1"/>
    <col min="11" max="11" width="10" style="297" bestFit="1" customWidth="1"/>
    <col min="12" max="12" width="9.140625" style="297"/>
    <col min="13" max="14" width="14.5703125" style="319" bestFit="1" customWidth="1"/>
    <col min="15" max="15" width="9.140625" style="297"/>
    <col min="16" max="17" width="13.5703125" style="297" bestFit="1" customWidth="1"/>
    <col min="18" max="16384" width="9.140625" style="297"/>
  </cols>
  <sheetData>
    <row r="1" spans="1:17" x14ac:dyDescent="0.2">
      <c r="A1" s="275" t="s">
        <v>7</v>
      </c>
      <c r="B1" s="558" t="s">
        <v>742</v>
      </c>
      <c r="C1" s="558"/>
      <c r="D1" s="295"/>
      <c r="E1" s="558" t="s">
        <v>744</v>
      </c>
      <c r="F1" s="558"/>
      <c r="G1" s="295"/>
      <c r="H1" s="558" t="s">
        <v>743</v>
      </c>
      <c r="I1" s="558"/>
      <c r="M1" s="319">
        <f>[4]Sheet1!$C$499</f>
        <v>604601063.28999996</v>
      </c>
    </row>
    <row r="2" spans="1:17" x14ac:dyDescent="0.2">
      <c r="A2" s="298" t="e">
        <f>FP!#REF!</f>
        <v>#REF!</v>
      </c>
      <c r="B2" s="299"/>
      <c r="C2" s="300">
        <f>C3-B3</f>
        <v>0</v>
      </c>
      <c r="D2" s="295"/>
      <c r="E2" s="299"/>
      <c r="F2" s="300">
        <f>F3-E3</f>
        <v>0</v>
      </c>
      <c r="G2" s="295"/>
      <c r="H2" s="299"/>
      <c r="I2" s="300">
        <f>I3-H3</f>
        <v>0</v>
      </c>
      <c r="N2" s="319">
        <f>M3-N3</f>
        <v>0</v>
      </c>
    </row>
    <row r="3" spans="1:17" ht="13.5" thickBot="1" x14ac:dyDescent="0.25">
      <c r="A3" s="301" t="e">
        <f>A2-A2</f>
        <v>#REF!</v>
      </c>
      <c r="B3" s="302">
        <f>SUM(B4:B508)</f>
        <v>601635139.03999996</v>
      </c>
      <c r="C3" s="302">
        <f>SUM(C4:C508)</f>
        <v>601635139.04000008</v>
      </c>
      <c r="D3" s="295"/>
      <c r="E3" s="302">
        <f>SUM(E4:E508)</f>
        <v>37849910.479999997</v>
      </c>
      <c r="F3" s="302">
        <f>SUM(F4:F508)</f>
        <v>37849910.480000004</v>
      </c>
      <c r="G3" s="295"/>
      <c r="H3" s="302">
        <f>SUM(H4:H508)</f>
        <v>616224252.50999999</v>
      </c>
      <c r="I3" s="302">
        <f>SUM(I4:I508)</f>
        <v>616224252.50999999</v>
      </c>
      <c r="M3" s="302">
        <f>SUM(M4:M508)</f>
        <v>604601063.28999996</v>
      </c>
      <c r="N3" s="302">
        <f>SUM(N4:N508)</f>
        <v>604601063.29000008</v>
      </c>
    </row>
    <row r="4" spans="1:17" x14ac:dyDescent="0.2">
      <c r="A4" s="303" t="s">
        <v>651</v>
      </c>
      <c r="B4" s="304">
        <v>0</v>
      </c>
      <c r="C4" s="305">
        <v>78120</v>
      </c>
      <c r="D4" s="305"/>
      <c r="E4" s="299">
        <v>0</v>
      </c>
      <c r="F4" s="299">
        <v>0</v>
      </c>
      <c r="G4" s="305"/>
      <c r="H4" s="305">
        <f>B4</f>
        <v>0</v>
      </c>
      <c r="I4" s="305">
        <f>C4</f>
        <v>78120</v>
      </c>
      <c r="M4" s="319">
        <f>VLOOKUP(A4,[4]Sheet1!$B:$D,2,FALSE)</f>
        <v>0</v>
      </c>
      <c r="N4" s="319">
        <f>VLOOKUP(A4,[4]Sheet1!$B:$D,3,FALSE)</f>
        <v>78120</v>
      </c>
      <c r="P4" s="320">
        <f>H4-M4</f>
        <v>0</v>
      </c>
      <c r="Q4" s="320">
        <f>I4-N4</f>
        <v>0</v>
      </c>
    </row>
    <row r="5" spans="1:17" x14ac:dyDescent="0.2">
      <c r="A5" s="306" t="s">
        <v>93</v>
      </c>
      <c r="B5" s="304">
        <v>0</v>
      </c>
      <c r="C5" s="305">
        <v>2361759.59</v>
      </c>
      <c r="D5" s="305"/>
      <c r="E5" s="299">
        <v>0</v>
      </c>
      <c r="F5" s="299">
        <v>0</v>
      </c>
      <c r="G5" s="305"/>
      <c r="H5" s="305">
        <f t="shared" ref="H5:H68" si="0">B5</f>
        <v>0</v>
      </c>
      <c r="I5" s="305">
        <f t="shared" ref="I5:I68" si="1">C5</f>
        <v>2361759.59</v>
      </c>
      <c r="M5" s="319">
        <f>VLOOKUP(A5,[4]Sheet1!$B:$D,2,FALSE)</f>
        <v>0</v>
      </c>
      <c r="N5" s="319">
        <f>VLOOKUP(A5,[4]Sheet1!$B:$D,3,FALSE)</f>
        <v>2361759.59</v>
      </c>
      <c r="P5" s="320">
        <f t="shared" ref="P5:P68" si="2">H5-M5</f>
        <v>0</v>
      </c>
      <c r="Q5" s="320">
        <f t="shared" ref="Q5:Q68" si="3">I5-N5</f>
        <v>0</v>
      </c>
    </row>
    <row r="6" spans="1:17" x14ac:dyDescent="0.2">
      <c r="A6" s="306" t="s">
        <v>322</v>
      </c>
      <c r="B6" s="304">
        <v>7496494.0300000003</v>
      </c>
      <c r="C6" s="305">
        <v>0</v>
      </c>
      <c r="D6" s="305"/>
      <c r="E6" s="299">
        <v>0</v>
      </c>
      <c r="F6" s="299">
        <v>0</v>
      </c>
      <c r="G6" s="305"/>
      <c r="H6" s="305">
        <f t="shared" si="0"/>
        <v>7496494.0300000003</v>
      </c>
      <c r="I6" s="305">
        <f t="shared" si="1"/>
        <v>0</v>
      </c>
      <c r="M6" s="319">
        <f>VLOOKUP(A6,[4]Sheet1!$B:$D,2,FALSE)</f>
        <v>7496494.0300000003</v>
      </c>
      <c r="N6" s="319">
        <f>VLOOKUP(A6,[4]Sheet1!$B:$D,3,FALSE)</f>
        <v>0</v>
      </c>
      <c r="P6" s="320">
        <f t="shared" si="2"/>
        <v>0</v>
      </c>
      <c r="Q6" s="320">
        <f t="shared" si="3"/>
        <v>0</v>
      </c>
    </row>
    <row r="7" spans="1:17" x14ac:dyDescent="0.2">
      <c r="A7" s="306" t="s">
        <v>94</v>
      </c>
      <c r="B7" s="304">
        <v>64334.34</v>
      </c>
      <c r="C7" s="305">
        <v>0</v>
      </c>
      <c r="D7" s="305"/>
      <c r="E7" s="299">
        <v>0</v>
      </c>
      <c r="F7" s="299">
        <v>0</v>
      </c>
      <c r="G7" s="305"/>
      <c r="H7" s="305">
        <f t="shared" si="0"/>
        <v>64334.34</v>
      </c>
      <c r="I7" s="305">
        <f t="shared" si="1"/>
        <v>0</v>
      </c>
      <c r="M7" s="319">
        <f>VLOOKUP(A7,[4]Sheet1!$B:$D,2,FALSE)</f>
        <v>64334.34</v>
      </c>
      <c r="N7" s="319">
        <f>VLOOKUP(A7,[4]Sheet1!$B:$D,3,FALSE)</f>
        <v>0</v>
      </c>
      <c r="P7" s="320">
        <f t="shared" si="2"/>
        <v>0</v>
      </c>
      <c r="Q7" s="320">
        <f t="shared" si="3"/>
        <v>0</v>
      </c>
    </row>
    <row r="8" spans="1:17" x14ac:dyDescent="0.2">
      <c r="A8" s="306" t="s">
        <v>95</v>
      </c>
      <c r="B8" s="304">
        <v>0</v>
      </c>
      <c r="C8" s="305">
        <v>982938.51</v>
      </c>
      <c r="D8" s="305"/>
      <c r="E8" s="299">
        <v>0</v>
      </c>
      <c r="F8" s="299">
        <v>0</v>
      </c>
      <c r="G8" s="305"/>
      <c r="H8" s="305">
        <f t="shared" si="0"/>
        <v>0</v>
      </c>
      <c r="I8" s="305">
        <f t="shared" si="1"/>
        <v>982938.51</v>
      </c>
      <c r="J8" s="320">
        <f>SUM(H4:H48)-SUM(I8:I48)</f>
        <v>21668275.170000009</v>
      </c>
      <c r="M8" s="319">
        <f>VLOOKUP(A8,[4]Sheet1!$B:$D,2,FALSE)</f>
        <v>0</v>
      </c>
      <c r="N8" s="319">
        <f>VLOOKUP(A8,[4]Sheet1!$B:$D,3,FALSE)</f>
        <v>982938.51</v>
      </c>
      <c r="P8" s="320">
        <f t="shared" si="2"/>
        <v>0</v>
      </c>
      <c r="Q8" s="320">
        <f t="shared" si="3"/>
        <v>0</v>
      </c>
    </row>
    <row r="9" spans="1:17" x14ac:dyDescent="0.2">
      <c r="A9" s="306" t="s">
        <v>96</v>
      </c>
      <c r="B9" s="304">
        <v>0</v>
      </c>
      <c r="C9" s="305">
        <v>0</v>
      </c>
      <c r="D9" s="305"/>
      <c r="E9" s="299">
        <v>0</v>
      </c>
      <c r="F9" s="299">
        <v>0</v>
      </c>
      <c r="G9" s="305"/>
      <c r="H9" s="305">
        <f t="shared" si="0"/>
        <v>0</v>
      </c>
      <c r="I9" s="305">
        <f t="shared" si="1"/>
        <v>0</v>
      </c>
      <c r="M9" s="319">
        <f>VLOOKUP(A9,[4]Sheet1!$B:$D,2,FALSE)</f>
        <v>0</v>
      </c>
      <c r="N9" s="319">
        <f>VLOOKUP(A9,[4]Sheet1!$B:$D,3,FALSE)</f>
        <v>0</v>
      </c>
      <c r="P9" s="320">
        <f t="shared" si="2"/>
        <v>0</v>
      </c>
      <c r="Q9" s="320">
        <f t="shared" si="3"/>
        <v>0</v>
      </c>
    </row>
    <row r="10" spans="1:17" x14ac:dyDescent="0.2">
      <c r="A10" s="306" t="s">
        <v>323</v>
      </c>
      <c r="B10" s="304">
        <v>0</v>
      </c>
      <c r="C10" s="305">
        <v>16563760.439999999</v>
      </c>
      <c r="D10" s="305"/>
      <c r="E10" s="299">
        <v>0</v>
      </c>
      <c r="F10" s="299">
        <v>0</v>
      </c>
      <c r="G10" s="305"/>
      <c r="H10" s="305">
        <f t="shared" si="0"/>
        <v>0</v>
      </c>
      <c r="I10" s="305">
        <f t="shared" si="1"/>
        <v>16563760.439999999</v>
      </c>
      <c r="M10" s="319">
        <f>VLOOKUP(A10,[4]Sheet1!$B:$D,2,FALSE)</f>
        <v>0</v>
      </c>
      <c r="N10" s="319">
        <f>VLOOKUP(A10,[4]Sheet1!$B:$D,3,FALSE)</f>
        <v>16563760.439999999</v>
      </c>
      <c r="P10" s="320">
        <f t="shared" si="2"/>
        <v>0</v>
      </c>
      <c r="Q10" s="320">
        <f t="shared" si="3"/>
        <v>0</v>
      </c>
    </row>
    <row r="11" spans="1:17" x14ac:dyDescent="0.2">
      <c r="A11" s="306" t="s">
        <v>324</v>
      </c>
      <c r="B11" s="304">
        <v>583854.43999999994</v>
      </c>
      <c r="C11" s="305">
        <v>0</v>
      </c>
      <c r="D11" s="305"/>
      <c r="E11" s="299">
        <v>0</v>
      </c>
      <c r="F11" s="299">
        <v>7851.59</v>
      </c>
      <c r="G11" s="305"/>
      <c r="H11" s="305">
        <f>B11-F11</f>
        <v>576002.85</v>
      </c>
      <c r="I11" s="305">
        <f t="shared" si="1"/>
        <v>0</v>
      </c>
      <c r="M11" s="319">
        <f>VLOOKUP(A11,[4]Sheet1!$B:$D,2,FALSE)</f>
        <v>583854.43999999994</v>
      </c>
      <c r="N11" s="319">
        <f>VLOOKUP(A11,[4]Sheet1!$B:$D,3,FALSE)</f>
        <v>0</v>
      </c>
      <c r="P11" s="320">
        <f t="shared" si="2"/>
        <v>-7851.5899999999674</v>
      </c>
      <c r="Q11" s="320">
        <f t="shared" si="3"/>
        <v>0</v>
      </c>
    </row>
    <row r="12" spans="1:17" x14ac:dyDescent="0.2">
      <c r="A12" s="306" t="s">
        <v>325</v>
      </c>
      <c r="B12" s="304">
        <v>11806577.789999999</v>
      </c>
      <c r="C12" s="305">
        <v>0</v>
      </c>
      <c r="D12" s="305"/>
      <c r="E12" s="299">
        <v>1408164.14</v>
      </c>
      <c r="F12" s="299">
        <v>0</v>
      </c>
      <c r="G12" s="305"/>
      <c r="H12" s="305">
        <f>B12+E12</f>
        <v>13214741.93</v>
      </c>
      <c r="I12" s="305">
        <f t="shared" si="1"/>
        <v>0</v>
      </c>
      <c r="M12" s="319">
        <f>VLOOKUP(A12,[4]Sheet1!$B:$D,2,FALSE)</f>
        <v>11806577.789999999</v>
      </c>
      <c r="N12" s="319">
        <f>VLOOKUP(A12,[4]Sheet1!$B:$D,3,FALSE)</f>
        <v>0</v>
      </c>
      <c r="P12" s="320">
        <f t="shared" si="2"/>
        <v>1408164.1400000006</v>
      </c>
      <c r="Q12" s="320">
        <f t="shared" si="3"/>
        <v>0</v>
      </c>
    </row>
    <row r="13" spans="1:17" x14ac:dyDescent="0.2">
      <c r="A13" s="306" t="s">
        <v>523</v>
      </c>
      <c r="B13" s="304">
        <v>0</v>
      </c>
      <c r="C13" s="305">
        <v>0</v>
      </c>
      <c r="D13" s="305"/>
      <c r="E13" s="299">
        <v>0</v>
      </c>
      <c r="F13" s="299">
        <v>0</v>
      </c>
      <c r="G13" s="305"/>
      <c r="H13" s="305">
        <f t="shared" si="0"/>
        <v>0</v>
      </c>
      <c r="I13" s="305">
        <f t="shared" si="1"/>
        <v>0</v>
      </c>
      <c r="M13" s="319">
        <f>VLOOKUP(A13,[4]Sheet1!$B:$D,2,FALSE)</f>
        <v>0</v>
      </c>
      <c r="N13" s="319">
        <f>VLOOKUP(A13,[4]Sheet1!$B:$D,3,FALSE)</f>
        <v>0</v>
      </c>
      <c r="P13" s="320">
        <f t="shared" si="2"/>
        <v>0</v>
      </c>
      <c r="Q13" s="320">
        <f t="shared" si="3"/>
        <v>0</v>
      </c>
    </row>
    <row r="14" spans="1:17" x14ac:dyDescent="0.2">
      <c r="A14" s="306" t="s">
        <v>636</v>
      </c>
      <c r="B14" s="336">
        <v>16723300</v>
      </c>
      <c r="C14" s="305">
        <v>0</v>
      </c>
      <c r="D14" s="305"/>
      <c r="E14" s="299">
        <v>1680000</v>
      </c>
      <c r="F14" s="299">
        <v>0</v>
      </c>
      <c r="G14" s="305"/>
      <c r="H14" s="307">
        <f>B14+E14</f>
        <v>18403300</v>
      </c>
      <c r="I14" s="305">
        <f t="shared" si="1"/>
        <v>0</v>
      </c>
      <c r="M14" s="319">
        <f>VLOOKUP(A14,[4]Sheet1!$B:$D,2,FALSE)</f>
        <v>18403300</v>
      </c>
      <c r="N14" s="319">
        <f>VLOOKUP(A14,[4]Sheet1!$B:$D,3,FALSE)</f>
        <v>0</v>
      </c>
      <c r="P14" s="320">
        <f t="shared" si="2"/>
        <v>0</v>
      </c>
      <c r="Q14" s="320">
        <f t="shared" si="3"/>
        <v>0</v>
      </c>
    </row>
    <row r="15" spans="1:17" x14ac:dyDescent="0.2">
      <c r="A15" s="306" t="s">
        <v>652</v>
      </c>
      <c r="B15" s="304">
        <v>24625</v>
      </c>
      <c r="C15" s="305">
        <v>0</v>
      </c>
      <c r="D15" s="305"/>
      <c r="E15" s="299">
        <v>0</v>
      </c>
      <c r="F15" s="299">
        <v>0</v>
      </c>
      <c r="G15" s="305"/>
      <c r="H15" s="305">
        <f t="shared" si="0"/>
        <v>24625</v>
      </c>
      <c r="I15" s="305">
        <f t="shared" si="1"/>
        <v>0</v>
      </c>
      <c r="M15" s="319">
        <f>VLOOKUP(A15,[4]Sheet1!$B:$D,2,FALSE)</f>
        <v>24625</v>
      </c>
      <c r="N15" s="319">
        <f>VLOOKUP(A15,[4]Sheet1!$B:$D,3,FALSE)</f>
        <v>0</v>
      </c>
      <c r="P15" s="320">
        <f t="shared" si="2"/>
        <v>0</v>
      </c>
      <c r="Q15" s="320">
        <f t="shared" si="3"/>
        <v>0</v>
      </c>
    </row>
    <row r="16" spans="1:17" x14ac:dyDescent="0.2">
      <c r="A16" s="306" t="s">
        <v>524</v>
      </c>
      <c r="B16" s="304">
        <v>87292.53</v>
      </c>
      <c r="C16" s="305">
        <v>0</v>
      </c>
      <c r="D16" s="305"/>
      <c r="E16" s="299">
        <v>0</v>
      </c>
      <c r="F16" s="299">
        <v>7254.4</v>
      </c>
      <c r="G16" s="305"/>
      <c r="H16" s="305">
        <f>B16-F16</f>
        <v>80038.13</v>
      </c>
      <c r="I16" s="305">
        <f t="shared" si="1"/>
        <v>0</v>
      </c>
      <c r="M16" s="319">
        <f>VLOOKUP(A16,[4]Sheet1!$B:$D,2,FALSE)</f>
        <v>87292.53</v>
      </c>
      <c r="N16" s="319">
        <f>VLOOKUP(A16,[4]Sheet1!$B:$D,3,FALSE)</f>
        <v>0</v>
      </c>
      <c r="P16" s="320">
        <f t="shared" si="2"/>
        <v>-7254.3999999999942</v>
      </c>
      <c r="Q16" s="320">
        <f t="shared" si="3"/>
        <v>0</v>
      </c>
    </row>
    <row r="17" spans="1:17" x14ac:dyDescent="0.2">
      <c r="A17" s="306" t="s">
        <v>525</v>
      </c>
      <c r="B17" s="304">
        <v>0</v>
      </c>
      <c r="C17" s="305">
        <v>0</v>
      </c>
      <c r="D17" s="305"/>
      <c r="E17" s="299">
        <v>0</v>
      </c>
      <c r="F17" s="299">
        <v>0</v>
      </c>
      <c r="G17" s="305"/>
      <c r="H17" s="305">
        <f t="shared" si="0"/>
        <v>0</v>
      </c>
      <c r="I17" s="305">
        <f t="shared" si="1"/>
        <v>0</v>
      </c>
      <c r="M17" s="319">
        <f>VLOOKUP(A17,[4]Sheet1!$B:$D,2,FALSE)</f>
        <v>0</v>
      </c>
      <c r="N17" s="319">
        <f>VLOOKUP(A17,[4]Sheet1!$B:$D,3,FALSE)</f>
        <v>0</v>
      </c>
      <c r="P17" s="320">
        <f t="shared" si="2"/>
        <v>0</v>
      </c>
      <c r="Q17" s="320">
        <f t="shared" si="3"/>
        <v>0</v>
      </c>
    </row>
    <row r="18" spans="1:17" x14ac:dyDescent="0.2">
      <c r="A18" s="306" t="s">
        <v>526</v>
      </c>
      <c r="B18" s="304">
        <v>95000</v>
      </c>
      <c r="C18" s="305">
        <v>0</v>
      </c>
      <c r="D18" s="305"/>
      <c r="E18" s="299">
        <v>0</v>
      </c>
      <c r="F18" s="299">
        <v>0</v>
      </c>
      <c r="G18" s="305"/>
      <c r="H18" s="305">
        <f t="shared" si="0"/>
        <v>95000</v>
      </c>
      <c r="I18" s="305">
        <f t="shared" si="1"/>
        <v>0</v>
      </c>
      <c r="M18" s="319">
        <f>VLOOKUP(A18,[4]Sheet1!$B:$D,2,FALSE)</f>
        <v>95000</v>
      </c>
      <c r="N18" s="319">
        <f>VLOOKUP(A18,[4]Sheet1!$B:$D,3,FALSE)</f>
        <v>0</v>
      </c>
      <c r="P18" s="320">
        <f t="shared" si="2"/>
        <v>0</v>
      </c>
      <c r="Q18" s="320">
        <f t="shared" si="3"/>
        <v>0</v>
      </c>
    </row>
    <row r="19" spans="1:17" x14ac:dyDescent="0.2">
      <c r="A19" s="306" t="s">
        <v>653</v>
      </c>
      <c r="B19" s="304">
        <v>228914.09</v>
      </c>
      <c r="C19" s="305">
        <v>0</v>
      </c>
      <c r="D19" s="305"/>
      <c r="E19" s="299">
        <v>0</v>
      </c>
      <c r="F19" s="299">
        <v>0</v>
      </c>
      <c r="G19" s="305"/>
      <c r="H19" s="305">
        <f t="shared" si="0"/>
        <v>228914.09</v>
      </c>
      <c r="I19" s="305">
        <f t="shared" si="1"/>
        <v>0</v>
      </c>
      <c r="M19" s="319">
        <f>VLOOKUP(A19,[4]Sheet1!$B:$D,2,FALSE)</f>
        <v>228914.09</v>
      </c>
      <c r="N19" s="319">
        <f>VLOOKUP(A19,[4]Sheet1!$B:$D,3,FALSE)</f>
        <v>0</v>
      </c>
      <c r="P19" s="320">
        <f t="shared" si="2"/>
        <v>0</v>
      </c>
      <c r="Q19" s="320">
        <f t="shared" si="3"/>
        <v>0</v>
      </c>
    </row>
    <row r="20" spans="1:17" x14ac:dyDescent="0.2">
      <c r="A20" s="306" t="s">
        <v>527</v>
      </c>
      <c r="B20" s="304">
        <v>17045.25</v>
      </c>
      <c r="C20" s="305">
        <v>0</v>
      </c>
      <c r="D20" s="305"/>
      <c r="E20" s="299">
        <v>0</v>
      </c>
      <c r="F20" s="299">
        <v>0</v>
      </c>
      <c r="G20" s="305"/>
      <c r="H20" s="305">
        <f t="shared" si="0"/>
        <v>17045.25</v>
      </c>
      <c r="I20" s="305">
        <f t="shared" si="1"/>
        <v>0</v>
      </c>
      <c r="M20" s="319">
        <f>VLOOKUP(A20,[4]Sheet1!$B:$D,2,FALSE)</f>
        <v>17045.25</v>
      </c>
      <c r="N20" s="319">
        <f>VLOOKUP(A20,[4]Sheet1!$B:$D,3,FALSE)</f>
        <v>0</v>
      </c>
      <c r="P20" s="320">
        <f t="shared" si="2"/>
        <v>0</v>
      </c>
      <c r="Q20" s="320">
        <f t="shared" si="3"/>
        <v>0</v>
      </c>
    </row>
    <row r="21" spans="1:17" x14ac:dyDescent="0.2">
      <c r="A21" s="306" t="s">
        <v>654</v>
      </c>
      <c r="B21" s="304">
        <v>0</v>
      </c>
      <c r="C21" s="305">
        <v>984628.9</v>
      </c>
      <c r="D21" s="305"/>
      <c r="E21" s="299">
        <v>0</v>
      </c>
      <c r="F21" s="299">
        <v>0</v>
      </c>
      <c r="G21" s="305"/>
      <c r="H21" s="305">
        <f t="shared" si="0"/>
        <v>0</v>
      </c>
      <c r="I21" s="305">
        <f t="shared" si="1"/>
        <v>984628.9</v>
      </c>
      <c r="M21" s="319">
        <f>VLOOKUP(A21,[4]Sheet1!$B:$D,2,FALSE)</f>
        <v>0</v>
      </c>
      <c r="N21" s="319">
        <f>VLOOKUP(A21,[4]Sheet1!$B:$D,3,FALSE)</f>
        <v>984628.9</v>
      </c>
      <c r="P21" s="320">
        <f t="shared" si="2"/>
        <v>0</v>
      </c>
      <c r="Q21" s="320">
        <f t="shared" si="3"/>
        <v>0</v>
      </c>
    </row>
    <row r="22" spans="1:17" x14ac:dyDescent="0.2">
      <c r="A22" s="306" t="s">
        <v>655</v>
      </c>
      <c r="B22" s="304">
        <v>150000</v>
      </c>
      <c r="C22" s="305">
        <v>0</v>
      </c>
      <c r="D22" s="305"/>
      <c r="E22" s="299">
        <v>0</v>
      </c>
      <c r="F22" s="299">
        <v>0</v>
      </c>
      <c r="G22" s="305"/>
      <c r="H22" s="305">
        <f t="shared" si="0"/>
        <v>150000</v>
      </c>
      <c r="I22" s="305">
        <f t="shared" si="1"/>
        <v>0</v>
      </c>
      <c r="M22" s="319">
        <f>VLOOKUP(A22,[4]Sheet1!$B:$D,2,FALSE)</f>
        <v>150000</v>
      </c>
      <c r="N22" s="319">
        <f>VLOOKUP(A22,[4]Sheet1!$B:$D,3,FALSE)</f>
        <v>0</v>
      </c>
      <c r="P22" s="320">
        <f t="shared" si="2"/>
        <v>0</v>
      </c>
      <c r="Q22" s="320">
        <f t="shared" si="3"/>
        <v>0</v>
      </c>
    </row>
    <row r="23" spans="1:17" x14ac:dyDescent="0.2">
      <c r="A23" s="306" t="s">
        <v>326</v>
      </c>
      <c r="B23" s="304">
        <v>0</v>
      </c>
      <c r="C23" s="305">
        <v>862077.39</v>
      </c>
      <c r="D23" s="305"/>
      <c r="E23" s="299">
        <v>0</v>
      </c>
      <c r="F23" s="299">
        <v>0</v>
      </c>
      <c r="G23" s="305"/>
      <c r="H23" s="307">
        <f t="shared" si="0"/>
        <v>0</v>
      </c>
      <c r="I23" s="305">
        <f t="shared" si="1"/>
        <v>862077.39</v>
      </c>
      <c r="M23" s="319">
        <f>VLOOKUP(A23,[4]Sheet1!$B:$D,2,FALSE)</f>
        <v>0</v>
      </c>
      <c r="N23" s="319">
        <f>VLOOKUP(A23,[4]Sheet1!$B:$D,3,FALSE)</f>
        <v>862077.39</v>
      </c>
      <c r="P23" s="320">
        <f t="shared" si="2"/>
        <v>0</v>
      </c>
      <c r="Q23" s="320">
        <f t="shared" si="3"/>
        <v>0</v>
      </c>
    </row>
    <row r="24" spans="1:17" x14ac:dyDescent="0.2">
      <c r="A24" s="306" t="s">
        <v>327</v>
      </c>
      <c r="B24" s="304">
        <v>0</v>
      </c>
      <c r="C24" s="305">
        <v>0</v>
      </c>
      <c r="D24" s="305"/>
      <c r="E24" s="299">
        <v>0</v>
      </c>
      <c r="F24" s="299">
        <v>0</v>
      </c>
      <c r="G24" s="305"/>
      <c r="H24" s="307">
        <f t="shared" si="0"/>
        <v>0</v>
      </c>
      <c r="I24" s="305">
        <f t="shared" si="1"/>
        <v>0</v>
      </c>
      <c r="M24" s="319">
        <f>VLOOKUP(A24,[4]Sheet1!$B:$D,2,FALSE)</f>
        <v>0</v>
      </c>
      <c r="N24" s="319">
        <f>VLOOKUP(A24,[4]Sheet1!$B:$D,3,FALSE)</f>
        <v>0</v>
      </c>
      <c r="P24" s="320">
        <f t="shared" si="2"/>
        <v>0</v>
      </c>
      <c r="Q24" s="320">
        <f t="shared" si="3"/>
        <v>0</v>
      </c>
    </row>
    <row r="25" spans="1:17" x14ac:dyDescent="0.2">
      <c r="A25" s="306" t="s">
        <v>328</v>
      </c>
      <c r="B25" s="304">
        <v>6729.43</v>
      </c>
      <c r="C25" s="305">
        <v>0</v>
      </c>
      <c r="D25" s="305"/>
      <c r="E25" s="299">
        <v>0</v>
      </c>
      <c r="F25" s="299">
        <v>0</v>
      </c>
      <c r="G25" s="305"/>
      <c r="H25" s="307">
        <f t="shared" si="0"/>
        <v>6729.43</v>
      </c>
      <c r="I25" s="305">
        <f t="shared" si="1"/>
        <v>0</v>
      </c>
      <c r="M25" s="319">
        <f>VLOOKUP(A25,[4]Sheet1!$B:$D,2,FALSE)</f>
        <v>6729.43</v>
      </c>
      <c r="N25" s="319">
        <f>VLOOKUP(A25,[4]Sheet1!$B:$D,3,FALSE)</f>
        <v>0</v>
      </c>
      <c r="P25" s="320">
        <f t="shared" si="2"/>
        <v>0</v>
      </c>
      <c r="Q25" s="320">
        <f t="shared" si="3"/>
        <v>0</v>
      </c>
    </row>
    <row r="26" spans="1:17" x14ac:dyDescent="0.2">
      <c r="A26" s="306" t="s">
        <v>329</v>
      </c>
      <c r="B26" s="304">
        <v>0</v>
      </c>
      <c r="C26" s="305">
        <v>0</v>
      </c>
      <c r="D26" s="305"/>
      <c r="E26" s="299">
        <v>0</v>
      </c>
      <c r="F26" s="299">
        <v>0</v>
      </c>
      <c r="G26" s="305"/>
      <c r="H26" s="307">
        <f t="shared" si="0"/>
        <v>0</v>
      </c>
      <c r="I26" s="305">
        <f t="shared" si="1"/>
        <v>0</v>
      </c>
      <c r="M26" s="319">
        <f>VLOOKUP(A26,[4]Sheet1!$B:$D,2,FALSE)</f>
        <v>0</v>
      </c>
      <c r="N26" s="319">
        <f>VLOOKUP(A26,[4]Sheet1!$B:$D,3,FALSE)</f>
        <v>0</v>
      </c>
      <c r="P26" s="320">
        <f t="shared" si="2"/>
        <v>0</v>
      </c>
      <c r="Q26" s="320">
        <f t="shared" si="3"/>
        <v>0</v>
      </c>
    </row>
    <row r="27" spans="1:17" x14ac:dyDescent="0.2">
      <c r="A27" s="306" t="s">
        <v>330</v>
      </c>
      <c r="B27" s="304">
        <v>0</v>
      </c>
      <c r="C27" s="305">
        <v>1400</v>
      </c>
      <c r="D27" s="305"/>
      <c r="E27" s="299">
        <v>0</v>
      </c>
      <c r="F27" s="299">
        <v>0</v>
      </c>
      <c r="G27" s="305"/>
      <c r="H27" s="307">
        <f t="shared" si="0"/>
        <v>0</v>
      </c>
      <c r="I27" s="305">
        <f t="shared" si="1"/>
        <v>1400</v>
      </c>
      <c r="M27" s="319">
        <f>VLOOKUP(A27,[4]Sheet1!$B:$D,2,FALSE)</f>
        <v>0</v>
      </c>
      <c r="N27" s="319">
        <f>VLOOKUP(A27,[4]Sheet1!$B:$D,3,FALSE)</f>
        <v>1400</v>
      </c>
      <c r="P27" s="320">
        <f t="shared" si="2"/>
        <v>0</v>
      </c>
      <c r="Q27" s="320">
        <f t="shared" si="3"/>
        <v>0</v>
      </c>
    </row>
    <row r="28" spans="1:17" x14ac:dyDescent="0.2">
      <c r="A28" s="306" t="s">
        <v>331</v>
      </c>
      <c r="B28" s="304">
        <v>5000</v>
      </c>
      <c r="C28" s="305">
        <v>0</v>
      </c>
      <c r="D28" s="305"/>
      <c r="E28" s="299">
        <v>0</v>
      </c>
      <c r="F28" s="299">
        <v>0</v>
      </c>
      <c r="G28" s="305"/>
      <c r="H28" s="307">
        <f t="shared" si="0"/>
        <v>5000</v>
      </c>
      <c r="I28" s="305">
        <f t="shared" si="1"/>
        <v>0</v>
      </c>
      <c r="M28" s="319">
        <f>VLOOKUP(A28,[4]Sheet1!$B:$D,2,FALSE)</f>
        <v>5000</v>
      </c>
      <c r="N28" s="319">
        <f>VLOOKUP(A28,[4]Sheet1!$B:$D,3,FALSE)</f>
        <v>0</v>
      </c>
      <c r="P28" s="320">
        <f t="shared" si="2"/>
        <v>0</v>
      </c>
      <c r="Q28" s="320">
        <f t="shared" si="3"/>
        <v>0</v>
      </c>
    </row>
    <row r="29" spans="1:17" x14ac:dyDescent="0.2">
      <c r="A29" s="306" t="s">
        <v>656</v>
      </c>
      <c r="B29" s="304"/>
      <c r="C29" s="305"/>
      <c r="D29" s="305"/>
      <c r="E29" s="299">
        <v>0</v>
      </c>
      <c r="F29" s="299">
        <v>0</v>
      </c>
      <c r="G29" s="305"/>
      <c r="H29" s="307">
        <f t="shared" si="0"/>
        <v>0</v>
      </c>
      <c r="I29" s="305">
        <f t="shared" si="1"/>
        <v>0</v>
      </c>
      <c r="P29" s="320">
        <f t="shared" si="2"/>
        <v>0</v>
      </c>
      <c r="Q29" s="320">
        <f t="shared" si="3"/>
        <v>0</v>
      </c>
    </row>
    <row r="30" spans="1:17" x14ac:dyDescent="0.2">
      <c r="A30" s="306" t="s">
        <v>657</v>
      </c>
      <c r="B30" s="304">
        <v>5988</v>
      </c>
      <c r="C30" s="305">
        <v>0</v>
      </c>
      <c r="D30" s="305"/>
      <c r="E30" s="299">
        <v>0</v>
      </c>
      <c r="F30" s="299">
        <v>0</v>
      </c>
      <c r="G30" s="305"/>
      <c r="H30" s="307">
        <f t="shared" si="0"/>
        <v>5988</v>
      </c>
      <c r="I30" s="305">
        <f t="shared" si="1"/>
        <v>0</v>
      </c>
      <c r="M30" s="319">
        <f>VLOOKUP(A30,[4]Sheet1!$B:$D,2,FALSE)</f>
        <v>5988</v>
      </c>
      <c r="N30" s="319">
        <f>VLOOKUP(A30,[4]Sheet1!$B:$D,3,FALSE)</f>
        <v>0</v>
      </c>
      <c r="P30" s="320">
        <f t="shared" si="2"/>
        <v>0</v>
      </c>
      <c r="Q30" s="320">
        <f t="shared" si="3"/>
        <v>0</v>
      </c>
    </row>
    <row r="31" spans="1:17" x14ac:dyDescent="0.2">
      <c r="A31" s="306" t="s">
        <v>658</v>
      </c>
      <c r="B31" s="304">
        <v>190014.25</v>
      </c>
      <c r="C31" s="305">
        <v>0</v>
      </c>
      <c r="D31" s="305">
        <f>'2015'!H313+'2015'!H449+'2015'!H361+'2015'!H405</f>
        <v>394748.73000000004</v>
      </c>
      <c r="E31" s="299">
        <v>0</v>
      </c>
      <c r="F31" s="299">
        <v>0</v>
      </c>
      <c r="G31" s="305"/>
      <c r="H31" s="307">
        <f t="shared" si="0"/>
        <v>190014.25</v>
      </c>
      <c r="I31" s="305">
        <f t="shared" si="1"/>
        <v>0</v>
      </c>
      <c r="M31" s="319">
        <f>VLOOKUP(A31,[4]Sheet1!$B:$D,2,FALSE)</f>
        <v>190014.25</v>
      </c>
      <c r="N31" s="319">
        <f>VLOOKUP(A31,[4]Sheet1!$B:$D,3,FALSE)</f>
        <v>0</v>
      </c>
      <c r="P31" s="320">
        <f t="shared" si="2"/>
        <v>0</v>
      </c>
      <c r="Q31" s="320">
        <f t="shared" si="3"/>
        <v>0</v>
      </c>
    </row>
    <row r="32" spans="1:17" x14ac:dyDescent="0.2">
      <c r="A32" s="306" t="s">
        <v>332</v>
      </c>
      <c r="B32" s="304">
        <v>0</v>
      </c>
      <c r="C32" s="305">
        <v>29863</v>
      </c>
      <c r="D32" s="305"/>
      <c r="E32" s="299">
        <v>0</v>
      </c>
      <c r="F32" s="299">
        <v>0</v>
      </c>
      <c r="G32" s="305"/>
      <c r="H32" s="307">
        <f t="shared" si="0"/>
        <v>0</v>
      </c>
      <c r="I32" s="305">
        <f t="shared" si="1"/>
        <v>29863</v>
      </c>
      <c r="M32" s="319">
        <f>VLOOKUP(A32,[4]Sheet1!$B:$D,2,FALSE)</f>
        <v>0</v>
      </c>
      <c r="N32" s="319">
        <f>VLOOKUP(A32,[4]Sheet1!$B:$D,3,FALSE)</f>
        <v>29863</v>
      </c>
      <c r="P32" s="320">
        <f t="shared" si="2"/>
        <v>0</v>
      </c>
      <c r="Q32" s="320">
        <f t="shared" si="3"/>
        <v>0</v>
      </c>
    </row>
    <row r="33" spans="1:17" x14ac:dyDescent="0.2">
      <c r="A33" s="306" t="s">
        <v>333</v>
      </c>
      <c r="B33" s="304">
        <v>0</v>
      </c>
      <c r="C33" s="305">
        <v>0</v>
      </c>
      <c r="D33" s="305"/>
      <c r="E33" s="299">
        <v>0</v>
      </c>
      <c r="F33" s="299">
        <v>0</v>
      </c>
      <c r="G33" s="305"/>
      <c r="H33" s="307">
        <f t="shared" si="0"/>
        <v>0</v>
      </c>
      <c r="I33" s="305">
        <f t="shared" si="1"/>
        <v>0</v>
      </c>
      <c r="M33" s="319">
        <f>VLOOKUP(A33,[4]Sheet1!$B:$D,2,FALSE)</f>
        <v>0</v>
      </c>
      <c r="N33" s="319">
        <f>VLOOKUP(A33,[4]Sheet1!$B:$D,3,FALSE)</f>
        <v>0</v>
      </c>
      <c r="P33" s="320">
        <f t="shared" si="2"/>
        <v>0</v>
      </c>
      <c r="Q33" s="320">
        <f t="shared" si="3"/>
        <v>0</v>
      </c>
    </row>
    <row r="34" spans="1:17" x14ac:dyDescent="0.2">
      <c r="A34" s="306" t="s">
        <v>334</v>
      </c>
      <c r="B34" s="304">
        <v>0</v>
      </c>
      <c r="C34" s="305">
        <v>0</v>
      </c>
      <c r="D34" s="305"/>
      <c r="E34" s="299">
        <v>0</v>
      </c>
      <c r="F34" s="299">
        <v>0</v>
      </c>
      <c r="G34" s="305"/>
      <c r="H34" s="307">
        <f t="shared" si="0"/>
        <v>0</v>
      </c>
      <c r="I34" s="305">
        <f t="shared" si="1"/>
        <v>0</v>
      </c>
      <c r="M34" s="319">
        <f>VLOOKUP(A34,[4]Sheet1!$B:$D,2,FALSE)</f>
        <v>0</v>
      </c>
      <c r="N34" s="319">
        <f>VLOOKUP(A34,[4]Sheet1!$B:$D,3,FALSE)</f>
        <v>0</v>
      </c>
      <c r="P34" s="320">
        <f t="shared" si="2"/>
        <v>0</v>
      </c>
      <c r="Q34" s="320">
        <f t="shared" si="3"/>
        <v>0</v>
      </c>
    </row>
    <row r="35" spans="1:17" x14ac:dyDescent="0.2">
      <c r="A35" s="306" t="s">
        <v>335</v>
      </c>
      <c r="B35" s="304">
        <v>0</v>
      </c>
      <c r="C35" s="305">
        <v>0</v>
      </c>
      <c r="D35" s="305"/>
      <c r="E35" s="299">
        <v>0</v>
      </c>
      <c r="F35" s="299">
        <v>0</v>
      </c>
      <c r="G35" s="305"/>
      <c r="H35" s="307">
        <f t="shared" si="0"/>
        <v>0</v>
      </c>
      <c r="I35" s="305">
        <f t="shared" si="1"/>
        <v>0</v>
      </c>
      <c r="M35" s="319">
        <f>VLOOKUP(A35,[4]Sheet1!$B:$D,2,FALSE)</f>
        <v>0</v>
      </c>
      <c r="N35" s="319">
        <f>VLOOKUP(A35,[4]Sheet1!$B:$D,3,FALSE)</f>
        <v>0</v>
      </c>
      <c r="P35" s="320">
        <f t="shared" si="2"/>
        <v>0</v>
      </c>
      <c r="Q35" s="320">
        <f t="shared" si="3"/>
        <v>0</v>
      </c>
    </row>
    <row r="36" spans="1:17" x14ac:dyDescent="0.2">
      <c r="A36" s="306" t="s">
        <v>336</v>
      </c>
      <c r="B36" s="304">
        <v>0</v>
      </c>
      <c r="C36" s="305">
        <v>0</v>
      </c>
      <c r="D36" s="305"/>
      <c r="E36" s="299">
        <v>0</v>
      </c>
      <c r="F36" s="299">
        <v>0</v>
      </c>
      <c r="G36" s="305"/>
      <c r="H36" s="307">
        <f t="shared" si="0"/>
        <v>0</v>
      </c>
      <c r="I36" s="305">
        <f t="shared" si="1"/>
        <v>0</v>
      </c>
      <c r="M36" s="319">
        <f>VLOOKUP(A36,[4]Sheet1!$B:$D,2,FALSE)</f>
        <v>0</v>
      </c>
      <c r="N36" s="319">
        <f>VLOOKUP(A36,[4]Sheet1!$B:$D,3,FALSE)</f>
        <v>0</v>
      </c>
      <c r="P36" s="320">
        <f t="shared" si="2"/>
        <v>0</v>
      </c>
      <c r="Q36" s="320">
        <f t="shared" si="3"/>
        <v>0</v>
      </c>
    </row>
    <row r="37" spans="1:17" x14ac:dyDescent="0.2">
      <c r="A37" s="306" t="s">
        <v>337</v>
      </c>
      <c r="B37" s="304">
        <v>74133</v>
      </c>
      <c r="C37" s="305">
        <v>0</v>
      </c>
      <c r="D37" s="305"/>
      <c r="E37" s="299">
        <v>0</v>
      </c>
      <c r="F37" s="299">
        <v>0</v>
      </c>
      <c r="G37" s="305"/>
      <c r="H37" s="307">
        <f t="shared" si="0"/>
        <v>74133</v>
      </c>
      <c r="I37" s="305">
        <f t="shared" si="1"/>
        <v>0</v>
      </c>
      <c r="M37" s="319">
        <f>VLOOKUP(A37,[4]Sheet1!$B:$D,2,FALSE)</f>
        <v>74133</v>
      </c>
      <c r="N37" s="319">
        <f>VLOOKUP(A37,[4]Sheet1!$B:$D,3,FALSE)</f>
        <v>0</v>
      </c>
      <c r="P37" s="320">
        <f t="shared" si="2"/>
        <v>0</v>
      </c>
      <c r="Q37" s="320">
        <f t="shared" si="3"/>
        <v>0</v>
      </c>
    </row>
    <row r="38" spans="1:17" x14ac:dyDescent="0.2">
      <c r="A38" s="306" t="s">
        <v>528</v>
      </c>
      <c r="B38" s="304">
        <v>22293.5</v>
      </c>
      <c r="C38" s="305">
        <v>0</v>
      </c>
      <c r="D38" s="305"/>
      <c r="E38" s="299">
        <v>0</v>
      </c>
      <c r="F38" s="299">
        <v>0</v>
      </c>
      <c r="G38" s="305"/>
      <c r="H38" s="307">
        <f t="shared" si="0"/>
        <v>22293.5</v>
      </c>
      <c r="I38" s="305">
        <f t="shared" si="1"/>
        <v>0</v>
      </c>
      <c r="M38" s="319">
        <f>VLOOKUP(A38,[4]Sheet1!$B:$D,2,FALSE)</f>
        <v>22293.5</v>
      </c>
      <c r="N38" s="319">
        <f>VLOOKUP(A38,[4]Sheet1!$B:$D,3,FALSE)</f>
        <v>0</v>
      </c>
      <c r="P38" s="320">
        <f t="shared" si="2"/>
        <v>0</v>
      </c>
      <c r="Q38" s="320">
        <f t="shared" si="3"/>
        <v>0</v>
      </c>
    </row>
    <row r="39" spans="1:17" x14ac:dyDescent="0.2">
      <c r="A39" s="306" t="s">
        <v>659</v>
      </c>
      <c r="B39" s="304">
        <v>0</v>
      </c>
      <c r="C39" s="305">
        <v>0</v>
      </c>
      <c r="D39" s="305"/>
      <c r="E39" s="299">
        <v>0</v>
      </c>
      <c r="F39" s="299">
        <v>0</v>
      </c>
      <c r="G39" s="305"/>
      <c r="H39" s="307">
        <f t="shared" si="0"/>
        <v>0</v>
      </c>
      <c r="I39" s="305">
        <f t="shared" si="1"/>
        <v>0</v>
      </c>
      <c r="M39" s="319">
        <f>VLOOKUP(A39,[4]Sheet1!$B:$D,2,FALSE)</f>
        <v>0</v>
      </c>
      <c r="N39" s="319">
        <f>VLOOKUP(A39,[4]Sheet1!$B:$D,3,FALSE)</f>
        <v>0</v>
      </c>
      <c r="P39" s="320">
        <f t="shared" si="2"/>
        <v>0</v>
      </c>
      <c r="Q39" s="320">
        <f t="shared" si="3"/>
        <v>0</v>
      </c>
    </row>
    <row r="40" spans="1:17" x14ac:dyDescent="0.2">
      <c r="A40" s="306" t="s">
        <v>660</v>
      </c>
      <c r="B40" s="304">
        <v>6059.42</v>
      </c>
      <c r="C40" s="305">
        <v>0</v>
      </c>
      <c r="D40" s="305"/>
      <c r="E40" s="299">
        <v>0</v>
      </c>
      <c r="F40" s="299">
        <v>0</v>
      </c>
      <c r="G40" s="305"/>
      <c r="H40" s="307">
        <f t="shared" si="0"/>
        <v>6059.42</v>
      </c>
      <c r="I40" s="305">
        <f t="shared" si="1"/>
        <v>0</v>
      </c>
      <c r="M40" s="319">
        <f>VLOOKUP(A40,[4]Sheet1!$B:$D,2,FALSE)</f>
        <v>6059.42</v>
      </c>
      <c r="N40" s="319">
        <f>VLOOKUP(A40,[4]Sheet1!$B:$D,3,FALSE)</f>
        <v>0</v>
      </c>
      <c r="P40" s="320">
        <f t="shared" si="2"/>
        <v>0</v>
      </c>
      <c r="Q40" s="320">
        <f t="shared" si="3"/>
        <v>0</v>
      </c>
    </row>
    <row r="41" spans="1:17" x14ac:dyDescent="0.2">
      <c r="A41" s="306" t="s">
        <v>529</v>
      </c>
      <c r="B41" s="304">
        <v>8955.5</v>
      </c>
      <c r="C41" s="305">
        <v>0</v>
      </c>
      <c r="D41" s="305"/>
      <c r="E41" s="299">
        <v>0</v>
      </c>
      <c r="F41" s="299">
        <v>0</v>
      </c>
      <c r="G41" s="305"/>
      <c r="H41" s="307">
        <f t="shared" si="0"/>
        <v>8955.5</v>
      </c>
      <c r="I41" s="305">
        <f t="shared" si="1"/>
        <v>0</v>
      </c>
      <c r="M41" s="319">
        <f>VLOOKUP(A41,[4]Sheet1!$B:$D,2,FALSE)</f>
        <v>8955.5</v>
      </c>
      <c r="N41" s="319">
        <f>VLOOKUP(A41,[4]Sheet1!$B:$D,3,FALSE)</f>
        <v>0</v>
      </c>
      <c r="P41" s="320">
        <f t="shared" si="2"/>
        <v>0</v>
      </c>
      <c r="Q41" s="320">
        <f t="shared" si="3"/>
        <v>0</v>
      </c>
    </row>
    <row r="42" spans="1:17" x14ac:dyDescent="0.2">
      <c r="A42" s="306" t="s">
        <v>338</v>
      </c>
      <c r="B42" s="304">
        <v>0</v>
      </c>
      <c r="C42" s="305">
        <v>23917.81</v>
      </c>
      <c r="D42" s="305"/>
      <c r="E42" s="299">
        <v>0</v>
      </c>
      <c r="F42" s="299">
        <v>0</v>
      </c>
      <c r="G42" s="305"/>
      <c r="H42" s="307">
        <f t="shared" si="0"/>
        <v>0</v>
      </c>
      <c r="I42" s="305">
        <f t="shared" si="1"/>
        <v>23917.81</v>
      </c>
      <c r="M42" s="319">
        <f>VLOOKUP(A42,[4]Sheet1!$B:$D,2,FALSE)</f>
        <v>0</v>
      </c>
      <c r="N42" s="319">
        <f>VLOOKUP(A42,[4]Sheet1!$B:$D,3,FALSE)</f>
        <v>23917.81</v>
      </c>
      <c r="P42" s="320">
        <f t="shared" si="2"/>
        <v>0</v>
      </c>
      <c r="Q42" s="320">
        <f t="shared" si="3"/>
        <v>0</v>
      </c>
    </row>
    <row r="43" spans="1:17" x14ac:dyDescent="0.2">
      <c r="A43" s="306" t="s">
        <v>339</v>
      </c>
      <c r="B43" s="304">
        <v>314491</v>
      </c>
      <c r="C43" s="305">
        <v>0</v>
      </c>
      <c r="D43" s="305"/>
      <c r="E43" s="299">
        <v>0</v>
      </c>
      <c r="F43" s="299">
        <v>0</v>
      </c>
      <c r="G43" s="305"/>
      <c r="H43" s="307">
        <f t="shared" si="0"/>
        <v>314491</v>
      </c>
      <c r="I43" s="305">
        <f t="shared" si="1"/>
        <v>0</v>
      </c>
      <c r="M43" s="319">
        <f>VLOOKUP(A43,[4]Sheet1!$B:$D,2,FALSE)</f>
        <v>314491</v>
      </c>
      <c r="N43" s="319">
        <f>VLOOKUP(A43,[4]Sheet1!$B:$D,3,FALSE)</f>
        <v>0</v>
      </c>
      <c r="P43" s="320">
        <f t="shared" si="2"/>
        <v>0</v>
      </c>
      <c r="Q43" s="320">
        <f t="shared" si="3"/>
        <v>0</v>
      </c>
    </row>
    <row r="44" spans="1:17" x14ac:dyDescent="0.2">
      <c r="A44" s="306" t="s">
        <v>340</v>
      </c>
      <c r="B44" s="304">
        <v>0</v>
      </c>
      <c r="C44" s="305">
        <v>112680</v>
      </c>
      <c r="D44" s="305"/>
      <c r="E44" s="299">
        <v>0</v>
      </c>
      <c r="F44" s="299">
        <v>0</v>
      </c>
      <c r="G44" s="305"/>
      <c r="H44" s="307">
        <f t="shared" si="0"/>
        <v>0</v>
      </c>
      <c r="I44" s="305">
        <f t="shared" si="1"/>
        <v>112680</v>
      </c>
      <c r="M44" s="319">
        <f>VLOOKUP(A44,[4]Sheet1!$B:$D,2,FALSE)</f>
        <v>0</v>
      </c>
      <c r="N44" s="319">
        <f>VLOOKUP(A44,[4]Sheet1!$B:$D,3,FALSE)</f>
        <v>112680</v>
      </c>
      <c r="P44" s="320">
        <f t="shared" si="2"/>
        <v>0</v>
      </c>
      <c r="Q44" s="320">
        <f t="shared" si="3"/>
        <v>0</v>
      </c>
    </row>
    <row r="45" spans="1:17" x14ac:dyDescent="0.2">
      <c r="A45" s="306" t="s">
        <v>341</v>
      </c>
      <c r="B45" s="304">
        <v>134676</v>
      </c>
      <c r="C45" s="305">
        <v>0</v>
      </c>
      <c r="D45" s="305"/>
      <c r="E45" s="299">
        <v>0</v>
      </c>
      <c r="F45" s="299">
        <v>0</v>
      </c>
      <c r="G45" s="305"/>
      <c r="H45" s="307">
        <f t="shared" si="0"/>
        <v>134676</v>
      </c>
      <c r="I45" s="305">
        <f t="shared" si="1"/>
        <v>0</v>
      </c>
      <c r="M45" s="319">
        <f>VLOOKUP(A45,[4]Sheet1!$B:$D,2,FALSE)</f>
        <v>134676</v>
      </c>
      <c r="N45" s="319">
        <f>VLOOKUP(A45,[4]Sheet1!$B:$D,3,FALSE)</f>
        <v>0</v>
      </c>
      <c r="P45" s="320">
        <f t="shared" si="2"/>
        <v>0</v>
      </c>
      <c r="Q45" s="320">
        <f t="shared" si="3"/>
        <v>0</v>
      </c>
    </row>
    <row r="46" spans="1:17" x14ac:dyDescent="0.2">
      <c r="A46" s="306" t="s">
        <v>342</v>
      </c>
      <c r="B46" s="304">
        <v>69684.5</v>
      </c>
      <c r="C46" s="305">
        <v>0</v>
      </c>
      <c r="D46" s="305"/>
      <c r="E46" s="299">
        <v>0</v>
      </c>
      <c r="F46" s="299">
        <v>0</v>
      </c>
      <c r="G46" s="305"/>
      <c r="H46" s="307">
        <f t="shared" si="0"/>
        <v>69684.5</v>
      </c>
      <c r="I46" s="305">
        <f t="shared" si="1"/>
        <v>0</v>
      </c>
      <c r="M46" s="319">
        <f>VLOOKUP(A46,[4]Sheet1!$B:$D,2,FALSE)</f>
        <v>69684.5</v>
      </c>
      <c r="N46" s="319">
        <f>VLOOKUP(A46,[4]Sheet1!$B:$D,3,FALSE)</f>
        <v>0</v>
      </c>
      <c r="P46" s="320">
        <f t="shared" si="2"/>
        <v>0</v>
      </c>
      <c r="Q46" s="320">
        <f t="shared" si="3"/>
        <v>0</v>
      </c>
    </row>
    <row r="47" spans="1:17" x14ac:dyDescent="0.2">
      <c r="A47" s="306" t="s">
        <v>343</v>
      </c>
      <c r="B47" s="304">
        <v>0</v>
      </c>
      <c r="C47" s="305">
        <v>0</v>
      </c>
      <c r="D47" s="305"/>
      <c r="E47" s="299">
        <v>0</v>
      </c>
      <c r="F47" s="299">
        <v>0</v>
      </c>
      <c r="G47" s="305"/>
      <c r="H47" s="307">
        <f t="shared" si="0"/>
        <v>0</v>
      </c>
      <c r="I47" s="305">
        <f t="shared" si="1"/>
        <v>0</v>
      </c>
      <c r="M47" s="319">
        <f>VLOOKUP(A47,[4]Sheet1!$B:$D,2,FALSE)</f>
        <v>0</v>
      </c>
      <c r="N47" s="319">
        <f>VLOOKUP(A47,[4]Sheet1!$B:$D,3,FALSE)</f>
        <v>0</v>
      </c>
      <c r="P47" s="320">
        <f t="shared" si="2"/>
        <v>0</v>
      </c>
      <c r="Q47" s="320">
        <f t="shared" si="3"/>
        <v>0</v>
      </c>
    </row>
    <row r="48" spans="1:17" ht="13.5" thickBot="1" x14ac:dyDescent="0.25">
      <c r="A48" s="308" t="s">
        <v>661</v>
      </c>
      <c r="B48" s="304">
        <v>41021</v>
      </c>
      <c r="C48" s="305">
        <v>0</v>
      </c>
      <c r="D48" s="305"/>
      <c r="E48" s="299">
        <v>0</v>
      </c>
      <c r="F48" s="299">
        <v>0</v>
      </c>
      <c r="G48" s="305"/>
      <c r="H48" s="307">
        <f t="shared" si="0"/>
        <v>41021</v>
      </c>
      <c r="I48" s="305">
        <f t="shared" si="1"/>
        <v>0</v>
      </c>
      <c r="M48" s="319">
        <f>VLOOKUP(A48,[4]Sheet1!$B:$D,2,FALSE)</f>
        <v>41021</v>
      </c>
      <c r="N48" s="319">
        <f>VLOOKUP(A48,[4]Sheet1!$B:$D,3,FALSE)</f>
        <v>0</v>
      </c>
      <c r="P48" s="320">
        <f t="shared" si="2"/>
        <v>0</v>
      </c>
      <c r="Q48" s="320">
        <f t="shared" si="3"/>
        <v>0</v>
      </c>
    </row>
    <row r="49" spans="1:17" x14ac:dyDescent="0.2">
      <c r="A49" s="309" t="s">
        <v>344</v>
      </c>
      <c r="B49" s="299">
        <v>0</v>
      </c>
      <c r="C49" s="299">
        <v>0</v>
      </c>
      <c r="D49" s="295"/>
      <c r="E49" s="299">
        <v>0</v>
      </c>
      <c r="F49" s="299">
        <v>0</v>
      </c>
      <c r="G49" s="295"/>
      <c r="H49" s="299">
        <f t="shared" si="0"/>
        <v>0</v>
      </c>
      <c r="I49" s="299">
        <f t="shared" si="1"/>
        <v>0</v>
      </c>
      <c r="M49" s="319">
        <f>VLOOKUP(A49,[4]Sheet1!$B:$D,2,FALSE)</f>
        <v>0</v>
      </c>
      <c r="N49" s="319">
        <f>VLOOKUP(A49,[4]Sheet1!$B:$D,3,FALSE)</f>
        <v>0</v>
      </c>
      <c r="P49" s="320">
        <f t="shared" si="2"/>
        <v>0</v>
      </c>
      <c r="Q49" s="320">
        <f t="shared" si="3"/>
        <v>0</v>
      </c>
    </row>
    <row r="50" spans="1:17" x14ac:dyDescent="0.2">
      <c r="A50" s="310" t="s">
        <v>97</v>
      </c>
      <c r="B50" s="299">
        <v>26868532.25</v>
      </c>
      <c r="C50" s="299">
        <v>0</v>
      </c>
      <c r="D50" s="295"/>
      <c r="E50" s="299">
        <v>0</v>
      </c>
      <c r="F50" s="299">
        <v>1680000</v>
      </c>
      <c r="G50" s="295"/>
      <c r="H50" s="300">
        <f>B50-F50</f>
        <v>25188532.25</v>
      </c>
      <c r="I50" s="299">
        <f t="shared" si="1"/>
        <v>0</v>
      </c>
      <c r="M50" s="319">
        <f>VLOOKUP(A50,[4]Sheet1!$B:$D,2,FALSE)</f>
        <v>25188532.25</v>
      </c>
      <c r="N50" s="319">
        <f>VLOOKUP(A50,[4]Sheet1!$B:$D,3,FALSE)</f>
        <v>0</v>
      </c>
      <c r="P50" s="320">
        <f t="shared" si="2"/>
        <v>0</v>
      </c>
      <c r="Q50" s="320">
        <f t="shared" si="3"/>
        <v>0</v>
      </c>
    </row>
    <row r="51" spans="1:17" x14ac:dyDescent="0.2">
      <c r="A51" s="310" t="s">
        <v>345</v>
      </c>
      <c r="B51" s="299">
        <v>4214.62</v>
      </c>
      <c r="C51" s="299">
        <v>0</v>
      </c>
      <c r="D51" s="295"/>
      <c r="E51" s="299">
        <v>0</v>
      </c>
      <c r="F51" s="299">
        <v>0</v>
      </c>
      <c r="G51" s="295"/>
      <c r="H51" s="300">
        <f t="shared" si="0"/>
        <v>4214.62</v>
      </c>
      <c r="I51" s="299">
        <f t="shared" si="1"/>
        <v>0</v>
      </c>
      <c r="M51" s="319">
        <f>VLOOKUP(A51,[4]Sheet1!$B:$D,2,FALSE)</f>
        <v>4214.62</v>
      </c>
      <c r="N51" s="319">
        <f>VLOOKUP(A51,[4]Sheet1!$B:$D,3,FALSE)</f>
        <v>0</v>
      </c>
      <c r="P51" s="320">
        <f t="shared" si="2"/>
        <v>0</v>
      </c>
      <c r="Q51" s="320">
        <f t="shared" si="3"/>
        <v>0</v>
      </c>
    </row>
    <row r="52" spans="1:17" x14ac:dyDescent="0.2">
      <c r="A52" s="310" t="s">
        <v>98</v>
      </c>
      <c r="B52" s="299">
        <v>2277.44</v>
      </c>
      <c r="C52" s="299">
        <v>0</v>
      </c>
      <c r="D52" s="295"/>
      <c r="E52" s="299">
        <v>0</v>
      </c>
      <c r="F52" s="299">
        <v>0</v>
      </c>
      <c r="G52" s="295"/>
      <c r="H52" s="300">
        <f t="shared" si="0"/>
        <v>2277.44</v>
      </c>
      <c r="I52" s="299">
        <f t="shared" si="1"/>
        <v>0</v>
      </c>
      <c r="M52" s="319">
        <f>VLOOKUP(A52,[4]Sheet1!$B:$D,2,FALSE)</f>
        <v>2277.44</v>
      </c>
      <c r="N52" s="319">
        <f>VLOOKUP(A52,[4]Sheet1!$B:$D,3,FALSE)</f>
        <v>0</v>
      </c>
      <c r="P52" s="320">
        <f t="shared" si="2"/>
        <v>0</v>
      </c>
      <c r="Q52" s="320">
        <f t="shared" si="3"/>
        <v>0</v>
      </c>
    </row>
    <row r="53" spans="1:17" x14ac:dyDescent="0.2">
      <c r="A53" s="310" t="s">
        <v>99</v>
      </c>
      <c r="B53" s="299">
        <v>9929182.1099999994</v>
      </c>
      <c r="C53" s="299">
        <v>0</v>
      </c>
      <c r="D53" s="295"/>
      <c r="E53" s="299">
        <v>0</v>
      </c>
      <c r="F53" s="299">
        <v>0</v>
      </c>
      <c r="G53" s="295"/>
      <c r="H53" s="300">
        <f t="shared" si="0"/>
        <v>9929182.1099999994</v>
      </c>
      <c r="I53" s="299">
        <f t="shared" si="1"/>
        <v>0</v>
      </c>
      <c r="M53" s="319">
        <f>VLOOKUP(A53,[4]Sheet1!$B:$D,2,FALSE)</f>
        <v>9929182.1099999994</v>
      </c>
      <c r="N53" s="319">
        <f>VLOOKUP(A53,[4]Sheet1!$B:$D,3,FALSE)</f>
        <v>0</v>
      </c>
      <c r="P53" s="320">
        <f t="shared" si="2"/>
        <v>0</v>
      </c>
      <c r="Q53" s="320">
        <f t="shared" si="3"/>
        <v>0</v>
      </c>
    </row>
    <row r="54" spans="1:17" x14ac:dyDescent="0.2">
      <c r="A54" s="310" t="s">
        <v>346</v>
      </c>
      <c r="B54" s="299">
        <v>121639.55</v>
      </c>
      <c r="C54" s="299">
        <v>0</v>
      </c>
      <c r="D54" s="295"/>
      <c r="E54" s="299">
        <v>0</v>
      </c>
      <c r="F54" s="299">
        <v>0</v>
      </c>
      <c r="G54" s="295"/>
      <c r="H54" s="300">
        <f t="shared" si="0"/>
        <v>121639.55</v>
      </c>
      <c r="I54" s="299">
        <f t="shared" si="1"/>
        <v>0</v>
      </c>
      <c r="M54" s="319">
        <f>VLOOKUP(A54,[4]Sheet1!$B:$D,2,FALSE)</f>
        <v>121639.55</v>
      </c>
      <c r="N54" s="319">
        <f>VLOOKUP(A54,[4]Sheet1!$B:$D,3,FALSE)</f>
        <v>0</v>
      </c>
      <c r="P54" s="320">
        <f t="shared" si="2"/>
        <v>0</v>
      </c>
      <c r="Q54" s="320">
        <f t="shared" si="3"/>
        <v>0</v>
      </c>
    </row>
    <row r="55" spans="1:17" x14ac:dyDescent="0.2">
      <c r="A55" s="310" t="s">
        <v>347</v>
      </c>
      <c r="B55" s="299">
        <v>0</v>
      </c>
      <c r="C55" s="299">
        <v>0</v>
      </c>
      <c r="D55" s="295"/>
      <c r="E55" s="299">
        <v>0</v>
      </c>
      <c r="F55" s="299">
        <v>0</v>
      </c>
      <c r="G55" s="295"/>
      <c r="H55" s="299">
        <f t="shared" si="0"/>
        <v>0</v>
      </c>
      <c r="I55" s="299">
        <f t="shared" si="1"/>
        <v>0</v>
      </c>
      <c r="M55" s="319">
        <f>VLOOKUP(A55,[4]Sheet1!$B:$D,2,FALSE)</f>
        <v>0</v>
      </c>
      <c r="N55" s="319">
        <f>VLOOKUP(A55,[4]Sheet1!$B:$D,3,FALSE)</f>
        <v>0</v>
      </c>
      <c r="P55" s="320">
        <f t="shared" si="2"/>
        <v>0</v>
      </c>
      <c r="Q55" s="320">
        <f t="shared" si="3"/>
        <v>0</v>
      </c>
    </row>
    <row r="56" spans="1:17" x14ac:dyDescent="0.2">
      <c r="A56" s="310" t="s">
        <v>530</v>
      </c>
      <c r="B56" s="299">
        <v>0</v>
      </c>
      <c r="C56" s="299">
        <v>0</v>
      </c>
      <c r="D56" s="295"/>
      <c r="E56" s="299">
        <v>0</v>
      </c>
      <c r="F56" s="299">
        <v>0</v>
      </c>
      <c r="G56" s="295"/>
      <c r="H56" s="299">
        <f t="shared" si="0"/>
        <v>0</v>
      </c>
      <c r="I56" s="299">
        <f t="shared" si="1"/>
        <v>0</v>
      </c>
      <c r="M56" s="319">
        <f>VLOOKUP(A56,[4]Sheet1!$B:$D,2,FALSE)</f>
        <v>0</v>
      </c>
      <c r="N56" s="319">
        <f>VLOOKUP(A56,[4]Sheet1!$B:$D,3,FALSE)</f>
        <v>0</v>
      </c>
      <c r="P56" s="320">
        <f t="shared" si="2"/>
        <v>0</v>
      </c>
      <c r="Q56" s="320">
        <f t="shared" si="3"/>
        <v>0</v>
      </c>
    </row>
    <row r="57" spans="1:17" x14ac:dyDescent="0.2">
      <c r="A57" s="310" t="s">
        <v>100</v>
      </c>
      <c r="B57" s="299">
        <v>1886684.43</v>
      </c>
      <c r="C57" s="299">
        <v>0</v>
      </c>
      <c r="D57" s="295"/>
      <c r="E57" s="299">
        <v>0</v>
      </c>
      <c r="F57" s="299">
        <v>0</v>
      </c>
      <c r="G57" s="295"/>
      <c r="H57" s="300">
        <f t="shared" si="0"/>
        <v>1886684.43</v>
      </c>
      <c r="I57" s="299">
        <f t="shared" si="1"/>
        <v>0</v>
      </c>
      <c r="M57" s="319">
        <f>VLOOKUP(A57,[4]Sheet1!$B:$D,2,FALSE)</f>
        <v>1886684.43</v>
      </c>
      <c r="N57" s="319">
        <f>VLOOKUP(A57,[4]Sheet1!$B:$D,3,FALSE)</f>
        <v>0</v>
      </c>
      <c r="P57" s="320">
        <f t="shared" si="2"/>
        <v>0</v>
      </c>
      <c r="Q57" s="320">
        <f t="shared" si="3"/>
        <v>0</v>
      </c>
    </row>
    <row r="58" spans="1:17" x14ac:dyDescent="0.2">
      <c r="A58" s="310" t="s">
        <v>101</v>
      </c>
      <c r="B58" s="299">
        <v>0</v>
      </c>
      <c r="C58" s="299">
        <v>0</v>
      </c>
      <c r="D58" s="295"/>
      <c r="E58" s="299">
        <v>0</v>
      </c>
      <c r="F58" s="299">
        <v>0</v>
      </c>
      <c r="G58" s="295"/>
      <c r="H58" s="299">
        <f t="shared" si="0"/>
        <v>0</v>
      </c>
      <c r="I58" s="299">
        <f t="shared" si="1"/>
        <v>0</v>
      </c>
      <c r="M58" s="319">
        <f>VLOOKUP(A58,[4]Sheet1!$B:$D,2,FALSE)</f>
        <v>0</v>
      </c>
      <c r="N58" s="319">
        <f>VLOOKUP(A58,[4]Sheet1!$B:$D,3,FALSE)</f>
        <v>0</v>
      </c>
      <c r="P58" s="320">
        <f t="shared" si="2"/>
        <v>0</v>
      </c>
      <c r="Q58" s="320">
        <f t="shared" si="3"/>
        <v>0</v>
      </c>
    </row>
    <row r="59" spans="1:17" x14ac:dyDescent="0.2">
      <c r="A59" s="310" t="s">
        <v>102</v>
      </c>
      <c r="B59" s="299">
        <v>2729957.38</v>
      </c>
      <c r="C59" s="299">
        <v>0</v>
      </c>
      <c r="D59" s="295"/>
      <c r="E59" s="299">
        <v>0</v>
      </c>
      <c r="F59" s="299">
        <v>0</v>
      </c>
      <c r="G59" s="295"/>
      <c r="H59" s="300">
        <f t="shared" si="0"/>
        <v>2729957.38</v>
      </c>
      <c r="I59" s="299">
        <f t="shared" si="1"/>
        <v>0</v>
      </c>
      <c r="M59" s="319">
        <f>VLOOKUP(A59,[4]Sheet1!$B:$D,2,FALSE)</f>
        <v>2729957.38</v>
      </c>
      <c r="N59" s="319">
        <f>VLOOKUP(A59,[4]Sheet1!$B:$D,3,FALSE)</f>
        <v>0</v>
      </c>
      <c r="P59" s="320">
        <f t="shared" si="2"/>
        <v>0</v>
      </c>
      <c r="Q59" s="320">
        <f t="shared" si="3"/>
        <v>0</v>
      </c>
    </row>
    <row r="60" spans="1:17" x14ac:dyDescent="0.2">
      <c r="A60" s="310" t="s">
        <v>267</v>
      </c>
      <c r="B60" s="299">
        <v>0</v>
      </c>
      <c r="C60" s="299">
        <v>0</v>
      </c>
      <c r="D60" s="295"/>
      <c r="E60" s="299">
        <v>0</v>
      </c>
      <c r="F60" s="299">
        <v>0</v>
      </c>
      <c r="G60" s="295"/>
      <c r="H60" s="299">
        <f t="shared" si="0"/>
        <v>0</v>
      </c>
      <c r="I60" s="299">
        <f t="shared" si="1"/>
        <v>0</v>
      </c>
      <c r="M60" s="319">
        <f>VLOOKUP(A60,[4]Sheet1!$B:$D,2,FALSE)</f>
        <v>0</v>
      </c>
      <c r="N60" s="319">
        <f>VLOOKUP(A60,[4]Sheet1!$B:$D,3,FALSE)</f>
        <v>0</v>
      </c>
      <c r="P60" s="320">
        <f t="shared" si="2"/>
        <v>0</v>
      </c>
      <c r="Q60" s="320">
        <f t="shared" si="3"/>
        <v>0</v>
      </c>
    </row>
    <row r="61" spans="1:17" x14ac:dyDescent="0.2">
      <c r="A61" s="310" t="s">
        <v>268</v>
      </c>
      <c r="B61" s="299">
        <v>1486849.2</v>
      </c>
      <c r="C61" s="299">
        <v>0</v>
      </c>
      <c r="D61" s="295"/>
      <c r="E61" s="299">
        <v>0</v>
      </c>
      <c r="F61" s="299">
        <v>0</v>
      </c>
      <c r="G61" s="295"/>
      <c r="H61" s="300">
        <f t="shared" si="0"/>
        <v>1486849.2</v>
      </c>
      <c r="I61" s="299">
        <f t="shared" si="1"/>
        <v>0</v>
      </c>
      <c r="M61" s="319">
        <f>VLOOKUP(A61,[4]Sheet1!$B:$D,2,FALSE)</f>
        <v>1486849.2</v>
      </c>
      <c r="N61" s="319">
        <f>VLOOKUP(A61,[4]Sheet1!$B:$D,3,FALSE)</f>
        <v>0</v>
      </c>
      <c r="P61" s="320">
        <f t="shared" si="2"/>
        <v>0</v>
      </c>
      <c r="Q61" s="320">
        <f t="shared" si="3"/>
        <v>0</v>
      </c>
    </row>
    <row r="62" spans="1:17" x14ac:dyDescent="0.2">
      <c r="A62" s="310" t="s">
        <v>531</v>
      </c>
      <c r="B62" s="299">
        <v>3542720.11</v>
      </c>
      <c r="C62" s="299">
        <v>0</v>
      </c>
      <c r="D62" s="295"/>
      <c r="E62" s="299">
        <v>0</v>
      </c>
      <c r="F62" s="299">
        <v>0</v>
      </c>
      <c r="G62" s="295"/>
      <c r="H62" s="300">
        <f t="shared" si="0"/>
        <v>3542720.11</v>
      </c>
      <c r="I62" s="299">
        <f t="shared" si="1"/>
        <v>0</v>
      </c>
      <c r="M62" s="319">
        <f>VLOOKUP(A62,[4]Sheet1!$B:$D,2,FALSE)</f>
        <v>3542720.11</v>
      </c>
      <c r="N62" s="319">
        <f>VLOOKUP(A62,[4]Sheet1!$B:$D,3,FALSE)</f>
        <v>0</v>
      </c>
      <c r="P62" s="320">
        <f t="shared" si="2"/>
        <v>0</v>
      </c>
      <c r="Q62" s="320">
        <f t="shared" si="3"/>
        <v>0</v>
      </c>
    </row>
    <row r="63" spans="1:17" x14ac:dyDescent="0.2">
      <c r="A63" s="310" t="s">
        <v>103</v>
      </c>
      <c r="B63" s="299">
        <v>0</v>
      </c>
      <c r="C63" s="299">
        <v>0</v>
      </c>
      <c r="D63" s="295"/>
      <c r="E63" s="299">
        <v>0</v>
      </c>
      <c r="F63" s="299">
        <v>0</v>
      </c>
      <c r="G63" s="295"/>
      <c r="H63" s="299">
        <f t="shared" si="0"/>
        <v>0</v>
      </c>
      <c r="I63" s="299">
        <f t="shared" si="1"/>
        <v>0</v>
      </c>
      <c r="M63" s="319">
        <f>VLOOKUP(A63,[4]Sheet1!$B:$D,2,FALSE)</f>
        <v>0</v>
      </c>
      <c r="N63" s="319">
        <f>VLOOKUP(A63,[4]Sheet1!$B:$D,3,FALSE)</f>
        <v>0</v>
      </c>
      <c r="P63" s="320">
        <f t="shared" si="2"/>
        <v>0</v>
      </c>
      <c r="Q63" s="320">
        <f t="shared" si="3"/>
        <v>0</v>
      </c>
    </row>
    <row r="64" spans="1:17" x14ac:dyDescent="0.2">
      <c r="A64" s="310" t="s">
        <v>348</v>
      </c>
      <c r="B64" s="299">
        <v>370888</v>
      </c>
      <c r="C64" s="299">
        <v>0</v>
      </c>
      <c r="D64" s="295"/>
      <c r="E64" s="299">
        <v>0</v>
      </c>
      <c r="F64" s="299">
        <v>0</v>
      </c>
      <c r="G64" s="295"/>
      <c r="H64" s="300">
        <f t="shared" si="0"/>
        <v>370888</v>
      </c>
      <c r="I64" s="299">
        <f t="shared" si="1"/>
        <v>0</v>
      </c>
      <c r="M64" s="319">
        <f>VLOOKUP(A64,[4]Sheet1!$B:$D,2,FALSE)</f>
        <v>370888</v>
      </c>
      <c r="N64" s="319">
        <f>VLOOKUP(A64,[4]Sheet1!$B:$D,3,FALSE)</f>
        <v>0</v>
      </c>
      <c r="P64" s="320">
        <f t="shared" si="2"/>
        <v>0</v>
      </c>
      <c r="Q64" s="320">
        <f t="shared" si="3"/>
        <v>0</v>
      </c>
    </row>
    <row r="65" spans="1:17" x14ac:dyDescent="0.2">
      <c r="A65" s="310" t="s">
        <v>104</v>
      </c>
      <c r="B65" s="299">
        <v>102000</v>
      </c>
      <c r="C65" s="299">
        <v>0</v>
      </c>
      <c r="D65" s="295"/>
      <c r="E65" s="299">
        <v>0</v>
      </c>
      <c r="F65" s="299">
        <v>0</v>
      </c>
      <c r="G65" s="295"/>
      <c r="H65" s="300">
        <f t="shared" si="0"/>
        <v>102000</v>
      </c>
      <c r="I65" s="299">
        <f t="shared" si="1"/>
        <v>0</v>
      </c>
      <c r="M65" s="319">
        <f>VLOOKUP(A65,[4]Sheet1!$B:$D,2,FALSE)</f>
        <v>102000</v>
      </c>
      <c r="N65" s="319">
        <f>VLOOKUP(A65,[4]Sheet1!$B:$D,3,FALSE)</f>
        <v>0</v>
      </c>
      <c r="P65" s="320">
        <f t="shared" si="2"/>
        <v>0</v>
      </c>
      <c r="Q65" s="320">
        <f t="shared" si="3"/>
        <v>0</v>
      </c>
    </row>
    <row r="66" spans="1:17" x14ac:dyDescent="0.2">
      <c r="A66" s="310" t="s">
        <v>105</v>
      </c>
      <c r="B66" s="299">
        <v>39000</v>
      </c>
      <c r="C66" s="299">
        <v>0</v>
      </c>
      <c r="D66" s="295"/>
      <c r="E66" s="299">
        <v>0</v>
      </c>
      <c r="F66" s="299">
        <v>0</v>
      </c>
      <c r="G66" s="295"/>
      <c r="H66" s="300">
        <f t="shared" si="0"/>
        <v>39000</v>
      </c>
      <c r="I66" s="299">
        <f t="shared" si="1"/>
        <v>0</v>
      </c>
      <c r="M66" s="319">
        <f>VLOOKUP(A66,[4]Sheet1!$B:$D,2,FALSE)</f>
        <v>39000</v>
      </c>
      <c r="N66" s="319">
        <f>VLOOKUP(A66,[4]Sheet1!$B:$D,3,FALSE)</f>
        <v>0</v>
      </c>
      <c r="P66" s="320">
        <f t="shared" si="2"/>
        <v>0</v>
      </c>
      <c r="Q66" s="320">
        <f t="shared" si="3"/>
        <v>0</v>
      </c>
    </row>
    <row r="67" spans="1:17" x14ac:dyDescent="0.2">
      <c r="A67" s="310" t="s">
        <v>106</v>
      </c>
      <c r="B67" s="299">
        <v>1484322.02</v>
      </c>
      <c r="C67" s="299">
        <v>0</v>
      </c>
      <c r="D67" s="295"/>
      <c r="E67" s="299">
        <v>0</v>
      </c>
      <c r="F67" s="299">
        <v>0</v>
      </c>
      <c r="G67" s="295"/>
      <c r="H67" s="300">
        <f t="shared" si="0"/>
        <v>1484322.02</v>
      </c>
      <c r="I67" s="299">
        <f t="shared" si="1"/>
        <v>0</v>
      </c>
      <c r="M67" s="319">
        <f>VLOOKUP(A67,[4]Sheet1!$B:$D,2,FALSE)</f>
        <v>1484322.02</v>
      </c>
      <c r="N67" s="319">
        <f>VLOOKUP(A67,[4]Sheet1!$B:$D,3,FALSE)</f>
        <v>0</v>
      </c>
      <c r="P67" s="320">
        <f t="shared" si="2"/>
        <v>0</v>
      </c>
      <c r="Q67" s="320">
        <f t="shared" si="3"/>
        <v>0</v>
      </c>
    </row>
    <row r="68" spans="1:17" x14ac:dyDescent="0.2">
      <c r="A68" s="310" t="s">
        <v>662</v>
      </c>
      <c r="B68" s="299">
        <v>14930</v>
      </c>
      <c r="C68" s="299">
        <v>0</v>
      </c>
      <c r="D68" s="295"/>
      <c r="E68" s="299">
        <v>0</v>
      </c>
      <c r="F68" s="299">
        <v>0</v>
      </c>
      <c r="G68" s="295"/>
      <c r="H68" s="300">
        <f t="shared" si="0"/>
        <v>14930</v>
      </c>
      <c r="I68" s="299">
        <f t="shared" si="1"/>
        <v>0</v>
      </c>
      <c r="M68" s="319">
        <f>VLOOKUP(A68,[4]Sheet1!$B:$D,2,FALSE)</f>
        <v>14930</v>
      </c>
      <c r="N68" s="319">
        <f>VLOOKUP(A68,[4]Sheet1!$B:$D,3,FALSE)</f>
        <v>0</v>
      </c>
      <c r="P68" s="320">
        <f t="shared" si="2"/>
        <v>0</v>
      </c>
      <c r="Q68" s="320">
        <f t="shared" si="3"/>
        <v>0</v>
      </c>
    </row>
    <row r="69" spans="1:17" x14ac:dyDescent="0.2">
      <c r="A69" s="310" t="s">
        <v>663</v>
      </c>
      <c r="B69" s="299">
        <v>39700</v>
      </c>
      <c r="C69" s="299">
        <v>0</v>
      </c>
      <c r="D69" s="295"/>
      <c r="E69" s="299">
        <v>0</v>
      </c>
      <c r="F69" s="299">
        <v>0</v>
      </c>
      <c r="G69" s="295"/>
      <c r="H69" s="300">
        <f t="shared" ref="H69:H133" si="4">B69</f>
        <v>39700</v>
      </c>
      <c r="I69" s="299">
        <f t="shared" ref="I69:I133" si="5">C69</f>
        <v>0</v>
      </c>
      <c r="M69" s="319">
        <f>VLOOKUP(A69,[4]Sheet1!$B:$D,2,FALSE)</f>
        <v>39700</v>
      </c>
      <c r="N69" s="319">
        <f>VLOOKUP(A69,[4]Sheet1!$B:$D,3,FALSE)</f>
        <v>0</v>
      </c>
      <c r="P69" s="320">
        <f t="shared" ref="P69:P133" si="6">H69-M69</f>
        <v>0</v>
      </c>
      <c r="Q69" s="320">
        <f t="shared" ref="Q69:Q133" si="7">I69-N69</f>
        <v>0</v>
      </c>
    </row>
    <row r="70" spans="1:17" x14ac:dyDescent="0.2">
      <c r="A70" s="310" t="s">
        <v>664</v>
      </c>
      <c r="B70" s="299">
        <v>239418.5</v>
      </c>
      <c r="C70" s="299">
        <v>0</v>
      </c>
      <c r="D70" s="295"/>
      <c r="E70" s="299">
        <v>0</v>
      </c>
      <c r="F70" s="299">
        <v>0</v>
      </c>
      <c r="G70" s="295"/>
      <c r="H70" s="300">
        <f t="shared" si="4"/>
        <v>239418.5</v>
      </c>
      <c r="I70" s="299">
        <f t="shared" si="5"/>
        <v>0</v>
      </c>
      <c r="M70" s="319">
        <f>VLOOKUP(A70,[4]Sheet1!$B:$D,2,FALSE)</f>
        <v>239418.5</v>
      </c>
      <c r="N70" s="319">
        <f>VLOOKUP(A70,[4]Sheet1!$B:$D,3,FALSE)</f>
        <v>0</v>
      </c>
      <c r="P70" s="320">
        <f t="shared" si="6"/>
        <v>0</v>
      </c>
      <c r="Q70" s="320">
        <f t="shared" si="7"/>
        <v>0</v>
      </c>
    </row>
    <row r="71" spans="1:17" x14ac:dyDescent="0.2">
      <c r="A71" s="310" t="s">
        <v>107</v>
      </c>
      <c r="B71" s="299">
        <v>1068716.8999999999</v>
      </c>
      <c r="C71" s="299">
        <v>0</v>
      </c>
      <c r="D71" s="295"/>
      <c r="E71" s="299">
        <v>0</v>
      </c>
      <c r="F71" s="299">
        <v>0</v>
      </c>
      <c r="G71" s="295"/>
      <c r="H71" s="300">
        <f t="shared" si="4"/>
        <v>1068716.8999999999</v>
      </c>
      <c r="I71" s="299">
        <f t="shared" si="5"/>
        <v>0</v>
      </c>
      <c r="M71" s="319">
        <f>VLOOKUP(A71,[4]Sheet1!$B:$D,2,FALSE)</f>
        <v>1068716.8999999999</v>
      </c>
      <c r="N71" s="319">
        <f>VLOOKUP(A71,[4]Sheet1!$B:$D,3,FALSE)</f>
        <v>0</v>
      </c>
      <c r="P71" s="320">
        <f t="shared" si="6"/>
        <v>0</v>
      </c>
      <c r="Q71" s="320">
        <f t="shared" si="7"/>
        <v>0</v>
      </c>
    </row>
    <row r="72" spans="1:17" x14ac:dyDescent="0.2">
      <c r="A72" s="310" t="s">
        <v>349</v>
      </c>
      <c r="B72" s="299">
        <v>800</v>
      </c>
      <c r="C72" s="299">
        <v>0</v>
      </c>
      <c r="D72" s="295"/>
      <c r="E72" s="299">
        <v>0</v>
      </c>
      <c r="F72" s="299">
        <v>0</v>
      </c>
      <c r="G72" s="295"/>
      <c r="H72" s="300">
        <f t="shared" si="4"/>
        <v>800</v>
      </c>
      <c r="I72" s="299">
        <f t="shared" si="5"/>
        <v>0</v>
      </c>
      <c r="M72" s="319">
        <f>VLOOKUP(A72,[4]Sheet1!$B:$D,2,FALSE)</f>
        <v>800</v>
      </c>
      <c r="N72" s="319">
        <f>VLOOKUP(A72,[4]Sheet1!$B:$D,3,FALSE)</f>
        <v>0</v>
      </c>
      <c r="P72" s="320">
        <f t="shared" si="6"/>
        <v>0</v>
      </c>
      <c r="Q72" s="320">
        <f t="shared" si="7"/>
        <v>0</v>
      </c>
    </row>
    <row r="73" spans="1:17" x14ac:dyDescent="0.2">
      <c r="A73" s="310" t="s">
        <v>665</v>
      </c>
      <c r="B73" s="299">
        <v>1039925</v>
      </c>
      <c r="C73" s="299">
        <v>0</v>
      </c>
      <c r="D73" s="295"/>
      <c r="E73" s="299">
        <v>0</v>
      </c>
      <c r="F73" s="299">
        <v>0</v>
      </c>
      <c r="G73" s="295"/>
      <c r="H73" s="300">
        <f t="shared" si="4"/>
        <v>1039925</v>
      </c>
      <c r="I73" s="299">
        <f t="shared" si="5"/>
        <v>0</v>
      </c>
      <c r="M73" s="319">
        <f>VLOOKUP(A73,[4]Sheet1!$B:$D,2,FALSE)</f>
        <v>1039925</v>
      </c>
      <c r="N73" s="319">
        <f>VLOOKUP(A73,[4]Sheet1!$B:$D,3,FALSE)</f>
        <v>0</v>
      </c>
      <c r="P73" s="320">
        <f t="shared" si="6"/>
        <v>0</v>
      </c>
      <c r="Q73" s="320">
        <f t="shared" si="7"/>
        <v>0</v>
      </c>
    </row>
    <row r="74" spans="1:17" x14ac:dyDescent="0.2">
      <c r="A74" s="310" t="s">
        <v>532</v>
      </c>
      <c r="B74" s="299">
        <v>2000</v>
      </c>
      <c r="C74" s="299">
        <v>0</v>
      </c>
      <c r="D74" s="295"/>
      <c r="E74" s="299">
        <v>0</v>
      </c>
      <c r="F74" s="299">
        <v>0</v>
      </c>
      <c r="G74" s="295"/>
      <c r="H74" s="300">
        <f t="shared" si="4"/>
        <v>2000</v>
      </c>
      <c r="I74" s="299">
        <f t="shared" si="5"/>
        <v>0</v>
      </c>
      <c r="M74" s="319">
        <f>VLOOKUP(A74,[4]Sheet1!$B:$D,2,FALSE)</f>
        <v>2000</v>
      </c>
      <c r="N74" s="319">
        <f>VLOOKUP(A74,[4]Sheet1!$B:$D,3,FALSE)</f>
        <v>0</v>
      </c>
      <c r="P74" s="320">
        <f t="shared" si="6"/>
        <v>0</v>
      </c>
      <c r="Q74" s="320">
        <f t="shared" si="7"/>
        <v>0</v>
      </c>
    </row>
    <row r="75" spans="1:17" x14ac:dyDescent="0.2">
      <c r="A75" s="310" t="s">
        <v>108</v>
      </c>
      <c r="B75" s="299">
        <v>224667.36</v>
      </c>
      <c r="C75" s="299">
        <v>0</v>
      </c>
      <c r="D75" s="295"/>
      <c r="E75" s="299">
        <v>0</v>
      </c>
      <c r="F75" s="299">
        <v>0</v>
      </c>
      <c r="G75" s="295"/>
      <c r="H75" s="300">
        <f t="shared" si="4"/>
        <v>224667.36</v>
      </c>
      <c r="I75" s="299">
        <f t="shared" si="5"/>
        <v>0</v>
      </c>
      <c r="M75" s="319">
        <f>VLOOKUP(A75,[4]Sheet1!$B:$D,2,FALSE)</f>
        <v>224667.36</v>
      </c>
      <c r="N75" s="319">
        <f>VLOOKUP(A75,[4]Sheet1!$B:$D,3,FALSE)</f>
        <v>0</v>
      </c>
      <c r="P75" s="320">
        <f t="shared" si="6"/>
        <v>0</v>
      </c>
      <c r="Q75" s="320">
        <f t="shared" si="7"/>
        <v>0</v>
      </c>
    </row>
    <row r="76" spans="1:17" x14ac:dyDescent="0.2">
      <c r="A76" s="310" t="s">
        <v>109</v>
      </c>
      <c r="B76" s="299">
        <v>0</v>
      </c>
      <c r="C76" s="299">
        <v>25561.35</v>
      </c>
      <c r="D76" s="295"/>
      <c r="E76" s="299">
        <v>0</v>
      </c>
      <c r="F76" s="299">
        <v>0</v>
      </c>
      <c r="G76" s="295"/>
      <c r="H76" s="299">
        <f t="shared" si="4"/>
        <v>0</v>
      </c>
      <c r="I76" s="300">
        <f t="shared" si="5"/>
        <v>25561.35</v>
      </c>
      <c r="M76" s="319">
        <f>VLOOKUP(A76,[4]Sheet1!$B:$D,2,FALSE)</f>
        <v>0</v>
      </c>
      <c r="N76" s="319">
        <f>VLOOKUP(A76,[4]Sheet1!$B:$D,3,FALSE)</f>
        <v>25561.35</v>
      </c>
      <c r="P76" s="320">
        <f t="shared" si="6"/>
        <v>0</v>
      </c>
      <c r="Q76" s="320">
        <f t="shared" si="7"/>
        <v>0</v>
      </c>
    </row>
    <row r="77" spans="1:17" x14ac:dyDescent="0.2">
      <c r="A77" s="310" t="s">
        <v>533</v>
      </c>
      <c r="B77" s="299">
        <v>26067.5</v>
      </c>
      <c r="C77" s="299">
        <v>0</v>
      </c>
      <c r="D77" s="295"/>
      <c r="E77" s="299">
        <v>0</v>
      </c>
      <c r="F77" s="299">
        <v>0</v>
      </c>
      <c r="G77" s="295"/>
      <c r="H77" s="300">
        <f t="shared" si="4"/>
        <v>26067.5</v>
      </c>
      <c r="I77" s="299">
        <f t="shared" si="5"/>
        <v>0</v>
      </c>
      <c r="M77" s="319">
        <f>VLOOKUP(A77,[4]Sheet1!$B:$D,2,FALSE)</f>
        <v>26067.5</v>
      </c>
      <c r="N77" s="319">
        <f>VLOOKUP(A77,[4]Sheet1!$B:$D,3,FALSE)</f>
        <v>0</v>
      </c>
      <c r="P77" s="320">
        <f t="shared" si="6"/>
        <v>0</v>
      </c>
      <c r="Q77" s="320">
        <f t="shared" si="7"/>
        <v>0</v>
      </c>
    </row>
    <row r="78" spans="1:17" x14ac:dyDescent="0.2">
      <c r="A78" s="310" t="s">
        <v>666</v>
      </c>
      <c r="B78" s="299">
        <v>4080</v>
      </c>
      <c r="C78" s="299">
        <v>0</v>
      </c>
      <c r="D78" s="295"/>
      <c r="E78" s="299">
        <v>0</v>
      </c>
      <c r="F78" s="299">
        <v>0</v>
      </c>
      <c r="G78" s="295"/>
      <c r="H78" s="300">
        <f t="shared" si="4"/>
        <v>4080</v>
      </c>
      <c r="I78" s="299">
        <f t="shared" si="5"/>
        <v>0</v>
      </c>
      <c r="M78" s="319">
        <f>VLOOKUP(A78,[4]Sheet1!$B:$D,2,FALSE)</f>
        <v>4080</v>
      </c>
      <c r="N78" s="319">
        <f>VLOOKUP(A78,[4]Sheet1!$B:$D,3,FALSE)</f>
        <v>0</v>
      </c>
      <c r="P78" s="320">
        <f t="shared" si="6"/>
        <v>0</v>
      </c>
      <c r="Q78" s="320">
        <f t="shared" si="7"/>
        <v>0</v>
      </c>
    </row>
    <row r="79" spans="1:17" x14ac:dyDescent="0.2">
      <c r="A79" s="310" t="s">
        <v>110</v>
      </c>
      <c r="B79" s="299">
        <v>1230000</v>
      </c>
      <c r="C79" s="299">
        <v>0</v>
      </c>
      <c r="D79" s="295"/>
      <c r="E79" s="299">
        <v>0</v>
      </c>
      <c r="F79" s="299">
        <v>0</v>
      </c>
      <c r="G79" s="295"/>
      <c r="H79" s="300">
        <f t="shared" si="4"/>
        <v>1230000</v>
      </c>
      <c r="I79" s="299">
        <f t="shared" si="5"/>
        <v>0</v>
      </c>
      <c r="M79" s="319">
        <f>VLOOKUP(A79,[4]Sheet1!$B:$D,2,FALSE)</f>
        <v>1230000</v>
      </c>
      <c r="N79" s="319">
        <f>VLOOKUP(A79,[4]Sheet1!$B:$D,3,FALSE)</f>
        <v>0</v>
      </c>
      <c r="P79" s="320">
        <f t="shared" si="6"/>
        <v>0</v>
      </c>
      <c r="Q79" s="320">
        <f t="shared" si="7"/>
        <v>0</v>
      </c>
    </row>
    <row r="80" spans="1:17" x14ac:dyDescent="0.2">
      <c r="A80" s="310" t="s">
        <v>111</v>
      </c>
      <c r="B80" s="299">
        <v>14500</v>
      </c>
      <c r="C80" s="299">
        <v>0</v>
      </c>
      <c r="D80" s="295"/>
      <c r="E80" s="299">
        <v>0</v>
      </c>
      <c r="F80" s="299">
        <v>0</v>
      </c>
      <c r="G80" s="295"/>
      <c r="H80" s="300">
        <f t="shared" si="4"/>
        <v>14500</v>
      </c>
      <c r="I80" s="299">
        <f t="shared" si="5"/>
        <v>0</v>
      </c>
      <c r="M80" s="319">
        <f>VLOOKUP(A80,[4]Sheet1!$B:$D,2,FALSE)</f>
        <v>14500</v>
      </c>
      <c r="N80" s="319">
        <f>VLOOKUP(A80,[4]Sheet1!$B:$D,3,FALSE)</f>
        <v>0</v>
      </c>
      <c r="P80" s="320">
        <f t="shared" si="6"/>
        <v>0</v>
      </c>
      <c r="Q80" s="320">
        <f t="shared" si="7"/>
        <v>0</v>
      </c>
    </row>
    <row r="81" spans="1:17" x14ac:dyDescent="0.2">
      <c r="A81" s="310" t="s">
        <v>112</v>
      </c>
      <c r="B81" s="299">
        <v>64167</v>
      </c>
      <c r="C81" s="299">
        <v>0</v>
      </c>
      <c r="D81" s="295"/>
      <c r="E81" s="299">
        <v>0</v>
      </c>
      <c r="F81" s="299">
        <v>0</v>
      </c>
      <c r="G81" s="295"/>
      <c r="H81" s="300">
        <f t="shared" si="4"/>
        <v>64167</v>
      </c>
      <c r="I81" s="299">
        <f t="shared" si="5"/>
        <v>0</v>
      </c>
      <c r="M81" s="319">
        <f>VLOOKUP(A81,[4]Sheet1!$B:$D,2,FALSE)</f>
        <v>64167</v>
      </c>
      <c r="N81" s="319">
        <f>VLOOKUP(A81,[4]Sheet1!$B:$D,3,FALSE)</f>
        <v>0</v>
      </c>
      <c r="P81" s="320">
        <f t="shared" si="6"/>
        <v>0</v>
      </c>
      <c r="Q81" s="320">
        <f t="shared" si="7"/>
        <v>0</v>
      </c>
    </row>
    <row r="82" spans="1:17" x14ac:dyDescent="0.2">
      <c r="A82" s="310" t="s">
        <v>113</v>
      </c>
      <c r="B82" s="299">
        <v>15000</v>
      </c>
      <c r="C82" s="299">
        <v>0</v>
      </c>
      <c r="D82" s="295"/>
      <c r="E82" s="299">
        <v>0</v>
      </c>
      <c r="F82" s="299">
        <v>0</v>
      </c>
      <c r="G82" s="295"/>
      <c r="H82" s="300">
        <f t="shared" si="4"/>
        <v>15000</v>
      </c>
      <c r="I82" s="299">
        <f t="shared" si="5"/>
        <v>0</v>
      </c>
      <c r="M82" s="319">
        <f>VLOOKUP(A82,[4]Sheet1!$B:$D,2,FALSE)</f>
        <v>15000</v>
      </c>
      <c r="N82" s="319">
        <f>VLOOKUP(A82,[4]Sheet1!$B:$D,3,FALSE)</f>
        <v>0</v>
      </c>
      <c r="P82" s="320">
        <f t="shared" si="6"/>
        <v>0</v>
      </c>
      <c r="Q82" s="320">
        <f t="shared" si="7"/>
        <v>0</v>
      </c>
    </row>
    <row r="83" spans="1:17" x14ac:dyDescent="0.2">
      <c r="A83" s="310" t="s">
        <v>350</v>
      </c>
      <c r="B83" s="299">
        <v>72000</v>
      </c>
      <c r="C83" s="299">
        <v>0</v>
      </c>
      <c r="D83" s="295"/>
      <c r="E83" s="299">
        <v>0</v>
      </c>
      <c r="F83" s="299">
        <v>0</v>
      </c>
      <c r="G83" s="295"/>
      <c r="H83" s="300">
        <f t="shared" si="4"/>
        <v>72000</v>
      </c>
      <c r="I83" s="299">
        <f t="shared" si="5"/>
        <v>0</v>
      </c>
      <c r="M83" s="319">
        <f>VLOOKUP(A83,[4]Sheet1!$B:$D,2,FALSE)</f>
        <v>72000</v>
      </c>
      <c r="N83" s="319">
        <f>VLOOKUP(A83,[4]Sheet1!$B:$D,3,FALSE)</f>
        <v>0</v>
      </c>
      <c r="P83" s="320">
        <f t="shared" si="6"/>
        <v>0</v>
      </c>
      <c r="Q83" s="320">
        <f t="shared" si="7"/>
        <v>0</v>
      </c>
    </row>
    <row r="84" spans="1:17" x14ac:dyDescent="0.2">
      <c r="A84" s="310" t="s">
        <v>667</v>
      </c>
      <c r="B84" s="299">
        <v>64000</v>
      </c>
      <c r="C84" s="299">
        <v>0</v>
      </c>
      <c r="D84" s="295"/>
      <c r="E84" s="299">
        <v>0</v>
      </c>
      <c r="F84" s="299">
        <v>0</v>
      </c>
      <c r="G84" s="295"/>
      <c r="H84" s="300">
        <f t="shared" si="4"/>
        <v>64000</v>
      </c>
      <c r="I84" s="299">
        <f t="shared" si="5"/>
        <v>0</v>
      </c>
      <c r="M84" s="319">
        <f>VLOOKUP(A84,[4]Sheet1!$B:$D,2,FALSE)</f>
        <v>64000</v>
      </c>
      <c r="N84" s="319">
        <f>VLOOKUP(A84,[4]Sheet1!$B:$D,3,FALSE)</f>
        <v>0</v>
      </c>
      <c r="P84" s="320">
        <f t="shared" si="6"/>
        <v>0</v>
      </c>
      <c r="Q84" s="320">
        <f t="shared" si="7"/>
        <v>0</v>
      </c>
    </row>
    <row r="85" spans="1:17" x14ac:dyDescent="0.2">
      <c r="A85" s="310" t="s">
        <v>114</v>
      </c>
      <c r="B85" s="299">
        <v>72300</v>
      </c>
      <c r="C85" s="299">
        <v>0</v>
      </c>
      <c r="D85" s="295"/>
      <c r="E85" s="299">
        <v>0</v>
      </c>
      <c r="F85" s="299">
        <v>0</v>
      </c>
      <c r="G85" s="295"/>
      <c r="H85" s="300">
        <f t="shared" si="4"/>
        <v>72300</v>
      </c>
      <c r="I85" s="299">
        <f t="shared" si="5"/>
        <v>0</v>
      </c>
      <c r="M85" s="319">
        <f>VLOOKUP(A85,[4]Sheet1!$B:$D,2,FALSE)</f>
        <v>72300</v>
      </c>
      <c r="N85" s="319">
        <f>VLOOKUP(A85,[4]Sheet1!$B:$D,3,FALSE)</f>
        <v>0</v>
      </c>
      <c r="P85" s="320">
        <f t="shared" si="6"/>
        <v>0</v>
      </c>
      <c r="Q85" s="320">
        <f t="shared" si="7"/>
        <v>0</v>
      </c>
    </row>
    <row r="86" spans="1:17" x14ac:dyDescent="0.2">
      <c r="A86" s="310" t="s">
        <v>115</v>
      </c>
      <c r="B86" s="299">
        <v>2356494.89</v>
      </c>
      <c r="C86" s="299">
        <v>0</v>
      </c>
      <c r="D86" s="295"/>
      <c r="E86" s="299">
        <v>0</v>
      </c>
      <c r="F86" s="299">
        <v>0</v>
      </c>
      <c r="G86" s="295"/>
      <c r="H86" s="300">
        <f t="shared" si="4"/>
        <v>2356494.89</v>
      </c>
      <c r="I86" s="299">
        <f t="shared" si="5"/>
        <v>0</v>
      </c>
      <c r="M86" s="319">
        <f>VLOOKUP(A86,[4]Sheet1!$B:$D,2,FALSE)</f>
        <v>2356494.89</v>
      </c>
      <c r="N86" s="319">
        <f>VLOOKUP(A86,[4]Sheet1!$B:$D,3,FALSE)</f>
        <v>0</v>
      </c>
      <c r="P86" s="320">
        <f t="shared" si="6"/>
        <v>0</v>
      </c>
      <c r="Q86" s="320">
        <f t="shared" si="7"/>
        <v>0</v>
      </c>
    </row>
    <row r="87" spans="1:17" x14ac:dyDescent="0.2">
      <c r="A87" s="310" t="s">
        <v>116</v>
      </c>
      <c r="B87" s="299">
        <v>237808</v>
      </c>
      <c r="C87" s="299">
        <v>0</v>
      </c>
      <c r="D87" s="295"/>
      <c r="E87" s="299">
        <v>0</v>
      </c>
      <c r="F87" s="299">
        <v>0</v>
      </c>
      <c r="G87" s="295"/>
      <c r="H87" s="300">
        <f t="shared" si="4"/>
        <v>237808</v>
      </c>
      <c r="I87" s="299">
        <f t="shared" si="5"/>
        <v>0</v>
      </c>
      <c r="M87" s="319">
        <f>VLOOKUP(A87,[4]Sheet1!$B:$D,2,FALSE)</f>
        <v>237808</v>
      </c>
      <c r="N87" s="319">
        <f>VLOOKUP(A87,[4]Sheet1!$B:$D,3,FALSE)</f>
        <v>0</v>
      </c>
      <c r="P87" s="320">
        <f t="shared" si="6"/>
        <v>0</v>
      </c>
      <c r="Q87" s="320">
        <f t="shared" si="7"/>
        <v>0</v>
      </c>
    </row>
    <row r="88" spans="1:17" x14ac:dyDescent="0.2">
      <c r="A88" s="310" t="s">
        <v>351</v>
      </c>
      <c r="B88" s="299">
        <v>1092038</v>
      </c>
      <c r="C88" s="299">
        <v>0</v>
      </c>
      <c r="D88" s="295"/>
      <c r="E88" s="299">
        <v>0</v>
      </c>
      <c r="F88" s="299">
        <v>0</v>
      </c>
      <c r="G88" s="295"/>
      <c r="H88" s="300">
        <f t="shared" si="4"/>
        <v>1092038</v>
      </c>
      <c r="I88" s="299">
        <f t="shared" si="5"/>
        <v>0</v>
      </c>
      <c r="M88" s="319">
        <f>VLOOKUP(A88,[4]Sheet1!$B:$D,2,FALSE)</f>
        <v>1092038</v>
      </c>
      <c r="N88" s="319">
        <f>VLOOKUP(A88,[4]Sheet1!$B:$D,3,FALSE)</f>
        <v>0</v>
      </c>
      <c r="P88" s="320">
        <f t="shared" si="6"/>
        <v>0</v>
      </c>
      <c r="Q88" s="320">
        <f t="shared" si="7"/>
        <v>0</v>
      </c>
    </row>
    <row r="89" spans="1:17" x14ac:dyDescent="0.2">
      <c r="A89" s="310" t="s">
        <v>269</v>
      </c>
      <c r="B89" s="299">
        <v>202397.09</v>
      </c>
      <c r="C89" s="299">
        <v>0</v>
      </c>
      <c r="D89" s="295"/>
      <c r="E89" s="299">
        <v>0</v>
      </c>
      <c r="F89" s="299">
        <v>0</v>
      </c>
      <c r="G89" s="295"/>
      <c r="H89" s="300">
        <f t="shared" si="4"/>
        <v>202397.09</v>
      </c>
      <c r="I89" s="299">
        <f t="shared" si="5"/>
        <v>0</v>
      </c>
      <c r="M89" s="319">
        <f>VLOOKUP(A89,[4]Sheet1!$B:$D,2,FALSE)</f>
        <v>202397.09</v>
      </c>
      <c r="N89" s="319">
        <f>VLOOKUP(A89,[4]Sheet1!$B:$D,3,FALSE)</f>
        <v>0</v>
      </c>
      <c r="P89" s="320">
        <f t="shared" si="6"/>
        <v>0</v>
      </c>
      <c r="Q89" s="320">
        <f t="shared" si="7"/>
        <v>0</v>
      </c>
    </row>
    <row r="90" spans="1:17" x14ac:dyDescent="0.2">
      <c r="A90" s="310"/>
      <c r="B90" s="299"/>
      <c r="C90" s="299"/>
      <c r="D90" s="295"/>
      <c r="E90" s="299"/>
      <c r="F90" s="299">
        <f>E91</f>
        <v>11207546.24</v>
      </c>
      <c r="G90" s="295"/>
      <c r="H90" s="300"/>
      <c r="I90" s="299">
        <f>F90</f>
        <v>11207546.24</v>
      </c>
      <c r="J90" s="337">
        <v>4457590.7300000004</v>
      </c>
      <c r="P90" s="320"/>
      <c r="Q90" s="320"/>
    </row>
    <row r="91" spans="1:17" x14ac:dyDescent="0.2">
      <c r="A91" s="310" t="s">
        <v>117</v>
      </c>
      <c r="B91" s="299">
        <v>18398582.140000001</v>
      </c>
      <c r="C91" s="299">
        <v>0</v>
      </c>
      <c r="D91" s="295"/>
      <c r="E91" s="299">
        <f>6749955.51+4457590.73</f>
        <v>11207546.24</v>
      </c>
      <c r="F91" s="299">
        <v>0</v>
      </c>
      <c r="G91" s="295"/>
      <c r="H91" s="300">
        <f>B91+E91</f>
        <v>29606128.380000003</v>
      </c>
      <c r="I91" s="299">
        <f t="shared" si="5"/>
        <v>0</v>
      </c>
      <c r="M91" s="319">
        <f>VLOOKUP(A91,[4]Sheet1!$B:$D,2,FALSE)</f>
        <v>18398582.140000001</v>
      </c>
      <c r="N91" s="319">
        <f>VLOOKUP(A91,[4]Sheet1!$B:$D,3,FALSE)</f>
        <v>0</v>
      </c>
      <c r="P91" s="320">
        <f t="shared" si="6"/>
        <v>11207546.240000002</v>
      </c>
      <c r="Q91" s="320">
        <f t="shared" si="7"/>
        <v>0</v>
      </c>
    </row>
    <row r="92" spans="1:17" x14ac:dyDescent="0.2">
      <c r="A92" s="310" t="s">
        <v>270</v>
      </c>
      <c r="B92" s="299">
        <v>56881413.509999998</v>
      </c>
      <c r="C92" s="299">
        <v>0</v>
      </c>
      <c r="D92" s="295"/>
      <c r="E92" s="299">
        <v>0</v>
      </c>
      <c r="F92" s="299">
        <f>1127808+6153895.99+18000</f>
        <v>7299703.9900000002</v>
      </c>
      <c r="G92" s="295"/>
      <c r="H92" s="300">
        <f>B92-F92</f>
        <v>49581709.519999996</v>
      </c>
      <c r="I92" s="299">
        <f t="shared" si="5"/>
        <v>0</v>
      </c>
      <c r="M92" s="319">
        <f>VLOOKUP(A92,[4]Sheet1!$B:$D,2,FALSE)</f>
        <v>49599709.520000003</v>
      </c>
      <c r="N92" s="319">
        <f>VLOOKUP(A92,[4]Sheet1!$B:$D,3,FALSE)</f>
        <v>0</v>
      </c>
      <c r="P92" s="320">
        <f t="shared" si="6"/>
        <v>-18000.000000007451</v>
      </c>
      <c r="Q92" s="320">
        <f t="shared" si="7"/>
        <v>0</v>
      </c>
    </row>
    <row r="93" spans="1:17" x14ac:dyDescent="0.2">
      <c r="A93" s="310" t="s">
        <v>118</v>
      </c>
      <c r="B93" s="299">
        <v>3560272.24</v>
      </c>
      <c r="C93" s="299">
        <v>0</v>
      </c>
      <c r="D93" s="295"/>
      <c r="E93" s="299">
        <v>0</v>
      </c>
      <c r="F93" s="299">
        <v>0</v>
      </c>
      <c r="G93" s="295"/>
      <c r="H93" s="300">
        <f t="shared" si="4"/>
        <v>3560272.24</v>
      </c>
      <c r="I93" s="299">
        <f t="shared" si="5"/>
        <v>0</v>
      </c>
      <c r="M93" s="319">
        <f>VLOOKUP(A93,[4]Sheet1!$B:$D,2,FALSE)</f>
        <v>3560272.24</v>
      </c>
      <c r="N93" s="319">
        <f>VLOOKUP(A93,[4]Sheet1!$B:$D,3,FALSE)</f>
        <v>0</v>
      </c>
      <c r="P93" s="320">
        <f t="shared" si="6"/>
        <v>0</v>
      </c>
      <c r="Q93" s="320">
        <f t="shared" si="7"/>
        <v>0</v>
      </c>
    </row>
    <row r="94" spans="1:17" x14ac:dyDescent="0.2">
      <c r="A94" s="310" t="s">
        <v>119</v>
      </c>
      <c r="B94" s="299">
        <v>0</v>
      </c>
      <c r="C94" s="299">
        <v>0</v>
      </c>
      <c r="D94" s="295"/>
      <c r="E94" s="299">
        <v>0</v>
      </c>
      <c r="F94" s="299">
        <v>0</v>
      </c>
      <c r="G94" s="295"/>
      <c r="H94" s="299">
        <f t="shared" si="4"/>
        <v>0</v>
      </c>
      <c r="I94" s="299">
        <f t="shared" si="5"/>
        <v>0</v>
      </c>
      <c r="M94" s="319">
        <f>VLOOKUP(A94,[4]Sheet1!$B:$D,2,FALSE)</f>
        <v>0</v>
      </c>
      <c r="N94" s="319">
        <f>VLOOKUP(A94,[4]Sheet1!$B:$D,3,FALSE)</f>
        <v>0</v>
      </c>
      <c r="P94" s="320">
        <f t="shared" si="6"/>
        <v>0</v>
      </c>
      <c r="Q94" s="320">
        <f t="shared" si="7"/>
        <v>0</v>
      </c>
    </row>
    <row r="95" spans="1:17" x14ac:dyDescent="0.2">
      <c r="A95" s="310" t="s">
        <v>271</v>
      </c>
      <c r="B95" s="299">
        <v>10373726.800000001</v>
      </c>
      <c r="C95" s="299">
        <v>0</v>
      </c>
      <c r="D95" s="295"/>
      <c r="E95" s="299">
        <v>0</v>
      </c>
      <c r="F95" s="299">
        <v>0</v>
      </c>
      <c r="G95" s="295"/>
      <c r="H95" s="300">
        <f t="shared" si="4"/>
        <v>10373726.800000001</v>
      </c>
      <c r="I95" s="299">
        <f t="shared" si="5"/>
        <v>0</v>
      </c>
      <c r="M95" s="319">
        <f>VLOOKUP(A95,[4]Sheet1!$B:$D,2,FALSE)</f>
        <v>10373726.800000001</v>
      </c>
      <c r="N95" s="319">
        <f>VLOOKUP(A95,[4]Sheet1!$B:$D,3,FALSE)</f>
        <v>0</v>
      </c>
      <c r="P95" s="320">
        <f t="shared" si="6"/>
        <v>0</v>
      </c>
      <c r="Q95" s="320">
        <f t="shared" si="7"/>
        <v>0</v>
      </c>
    </row>
    <row r="96" spans="1:17" x14ac:dyDescent="0.2">
      <c r="A96" s="310" t="s">
        <v>668</v>
      </c>
      <c r="B96" s="299">
        <v>31501</v>
      </c>
      <c r="C96" s="299">
        <v>0</v>
      </c>
      <c r="D96" s="295"/>
      <c r="E96" s="299">
        <v>0</v>
      </c>
      <c r="F96" s="299">
        <v>0</v>
      </c>
      <c r="G96" s="295"/>
      <c r="H96" s="300">
        <f t="shared" si="4"/>
        <v>31501</v>
      </c>
      <c r="I96" s="299">
        <f t="shared" si="5"/>
        <v>0</v>
      </c>
      <c r="M96" s="319">
        <f>VLOOKUP(A96,[4]Sheet1!$B:$D,2,FALSE)</f>
        <v>31501</v>
      </c>
      <c r="N96" s="319">
        <f>VLOOKUP(A96,[4]Sheet1!$B:$D,3,FALSE)</f>
        <v>0</v>
      </c>
      <c r="P96" s="320">
        <f t="shared" si="6"/>
        <v>0</v>
      </c>
      <c r="Q96" s="320">
        <f t="shared" si="7"/>
        <v>0</v>
      </c>
    </row>
    <row r="97" spans="1:17" x14ac:dyDescent="0.2">
      <c r="A97" s="310" t="s">
        <v>669</v>
      </c>
      <c r="B97" s="299">
        <v>9855592.2699999996</v>
      </c>
      <c r="C97" s="299">
        <v>0</v>
      </c>
      <c r="D97" s="295"/>
      <c r="E97" s="299">
        <v>0</v>
      </c>
      <c r="F97" s="299">
        <v>0</v>
      </c>
      <c r="G97" s="295"/>
      <c r="H97" s="300">
        <f t="shared" si="4"/>
        <v>9855592.2699999996</v>
      </c>
      <c r="I97" s="299">
        <f t="shared" si="5"/>
        <v>0</v>
      </c>
      <c r="M97" s="319">
        <f>VLOOKUP(A97,[4]Sheet1!$B:$D,2,FALSE)</f>
        <v>9855592.2699999996</v>
      </c>
      <c r="N97" s="319">
        <f>VLOOKUP(A97,[4]Sheet1!$B:$D,3,FALSE)</f>
        <v>0</v>
      </c>
      <c r="P97" s="320">
        <f t="shared" si="6"/>
        <v>0</v>
      </c>
      <c r="Q97" s="320">
        <f t="shared" si="7"/>
        <v>0</v>
      </c>
    </row>
    <row r="98" spans="1:17" x14ac:dyDescent="0.2">
      <c r="A98" s="310" t="s">
        <v>120</v>
      </c>
      <c r="B98" s="299">
        <v>0</v>
      </c>
      <c r="C98" s="299">
        <v>0</v>
      </c>
      <c r="D98" s="295"/>
      <c r="E98" s="299">
        <v>0</v>
      </c>
      <c r="F98" s="299">
        <v>0</v>
      </c>
      <c r="G98" s="295"/>
      <c r="H98" s="299">
        <f t="shared" si="4"/>
        <v>0</v>
      </c>
      <c r="I98" s="299">
        <f t="shared" si="5"/>
        <v>0</v>
      </c>
      <c r="M98" s="319">
        <f>VLOOKUP(A98,[4]Sheet1!$B:$D,2,FALSE)</f>
        <v>0</v>
      </c>
      <c r="N98" s="319">
        <f>VLOOKUP(A98,[4]Sheet1!$B:$D,3,FALSE)</f>
        <v>0</v>
      </c>
      <c r="P98" s="320">
        <f t="shared" si="6"/>
        <v>0</v>
      </c>
      <c r="Q98" s="320">
        <f t="shared" si="7"/>
        <v>0</v>
      </c>
    </row>
    <row r="99" spans="1:17" x14ac:dyDescent="0.2">
      <c r="A99" s="310" t="s">
        <v>773</v>
      </c>
      <c r="B99" s="299">
        <v>0</v>
      </c>
      <c r="C99" s="299">
        <v>543983</v>
      </c>
      <c r="D99" s="295"/>
      <c r="E99" s="299">
        <v>0</v>
      </c>
      <c r="F99" s="299">
        <v>0</v>
      </c>
      <c r="G99" s="295"/>
      <c r="H99" s="299">
        <f t="shared" si="4"/>
        <v>0</v>
      </c>
      <c r="I99" s="300">
        <f t="shared" si="5"/>
        <v>543983</v>
      </c>
      <c r="M99" s="319">
        <f>VLOOKUP(A99,[4]Sheet1!$B:$D,2,FALSE)</f>
        <v>0</v>
      </c>
      <c r="N99" s="319">
        <f>VLOOKUP(A99,[4]Sheet1!$B:$D,3,FALSE)</f>
        <v>543983</v>
      </c>
      <c r="P99" s="320">
        <f t="shared" si="6"/>
        <v>0</v>
      </c>
      <c r="Q99" s="320">
        <f t="shared" si="7"/>
        <v>0</v>
      </c>
    </row>
    <row r="100" spans="1:17" x14ac:dyDescent="0.2">
      <c r="A100" s="310" t="s">
        <v>521</v>
      </c>
      <c r="B100" s="299">
        <v>4088451.64</v>
      </c>
      <c r="C100" s="299">
        <v>0</v>
      </c>
      <c r="D100" s="295"/>
      <c r="E100" s="299">
        <v>0</v>
      </c>
      <c r="F100" s="299">
        <f>4088451.64+500000</f>
        <v>4588451.6400000006</v>
      </c>
      <c r="G100" s="295"/>
      <c r="H100" s="300">
        <f>B100-F100+500000</f>
        <v>-4.6566128730773926E-10</v>
      </c>
      <c r="I100" s="299">
        <v>500000</v>
      </c>
      <c r="M100" s="319">
        <f>VLOOKUP(A100,[4]Sheet1!$B:$D,2,FALSE)</f>
        <v>0</v>
      </c>
      <c r="N100" s="319">
        <f>VLOOKUP(A100,[4]Sheet1!$B:$D,3,FALSE)</f>
        <v>500000</v>
      </c>
      <c r="P100" s="320">
        <f t="shared" si="6"/>
        <v>-4.6566128730773926E-10</v>
      </c>
      <c r="Q100" s="320">
        <f t="shared" si="7"/>
        <v>0</v>
      </c>
    </row>
    <row r="101" spans="1:17" x14ac:dyDescent="0.2">
      <c r="A101" s="310" t="s">
        <v>534</v>
      </c>
      <c r="B101" s="299">
        <v>2305600</v>
      </c>
      <c r="C101" s="299">
        <v>0</v>
      </c>
      <c r="D101" s="295"/>
      <c r="E101" s="299">
        <v>0</v>
      </c>
      <c r="F101" s="299">
        <v>0</v>
      </c>
      <c r="G101" s="295"/>
      <c r="H101" s="311">
        <f t="shared" si="4"/>
        <v>2305600</v>
      </c>
      <c r="I101" s="299">
        <f t="shared" si="5"/>
        <v>0</v>
      </c>
      <c r="M101" s="319">
        <f>VLOOKUP(A101,[4]Sheet1!$B:$D,2,FALSE)</f>
        <v>2305600</v>
      </c>
      <c r="N101" s="319">
        <f>VLOOKUP(A101,[4]Sheet1!$B:$D,3,FALSE)</f>
        <v>0</v>
      </c>
      <c r="P101" s="320">
        <f t="shared" si="6"/>
        <v>0</v>
      </c>
      <c r="Q101" s="320">
        <f t="shared" si="7"/>
        <v>0</v>
      </c>
    </row>
    <row r="102" spans="1:17" x14ac:dyDescent="0.2">
      <c r="A102" s="310" t="s">
        <v>121</v>
      </c>
      <c r="B102" s="299">
        <v>3681068</v>
      </c>
      <c r="C102" s="299">
        <v>0</v>
      </c>
      <c r="D102" s="295"/>
      <c r="E102" s="299">
        <v>0</v>
      </c>
      <c r="F102" s="299">
        <v>0</v>
      </c>
      <c r="G102" s="295"/>
      <c r="H102" s="311">
        <f t="shared" si="4"/>
        <v>3681068</v>
      </c>
      <c r="I102" s="299">
        <f t="shared" si="5"/>
        <v>0</v>
      </c>
      <c r="M102" s="319">
        <f>VLOOKUP(A102,[4]Sheet1!$B:$D,2,FALSE)</f>
        <v>3681068</v>
      </c>
      <c r="N102" s="319">
        <f>VLOOKUP(A102,[4]Sheet1!$B:$D,3,FALSE)</f>
        <v>0</v>
      </c>
      <c r="P102" s="320">
        <f t="shared" si="6"/>
        <v>0</v>
      </c>
      <c r="Q102" s="320">
        <f t="shared" si="7"/>
        <v>0</v>
      </c>
    </row>
    <row r="103" spans="1:17" x14ac:dyDescent="0.2">
      <c r="A103" s="310" t="s">
        <v>272</v>
      </c>
      <c r="B103" s="299">
        <v>25331753</v>
      </c>
      <c r="C103" s="299">
        <v>0</v>
      </c>
      <c r="D103" s="295"/>
      <c r="E103" s="299">
        <v>0</v>
      </c>
      <c r="F103" s="299">
        <v>0</v>
      </c>
      <c r="G103" s="295"/>
      <c r="H103" s="311">
        <f t="shared" si="4"/>
        <v>25331753</v>
      </c>
      <c r="I103" s="299">
        <f t="shared" si="5"/>
        <v>0</v>
      </c>
      <c r="M103" s="319">
        <f>VLOOKUP(A103,[4]Sheet1!$B:$D,2,FALSE)</f>
        <v>25331753</v>
      </c>
      <c r="N103" s="319">
        <f>VLOOKUP(A103,[4]Sheet1!$B:$D,3,FALSE)</f>
        <v>0</v>
      </c>
      <c r="P103" s="320">
        <f t="shared" si="6"/>
        <v>0</v>
      </c>
      <c r="Q103" s="320">
        <f t="shared" si="7"/>
        <v>0</v>
      </c>
    </row>
    <row r="104" spans="1:17" x14ac:dyDescent="0.2">
      <c r="A104" s="310" t="s">
        <v>273</v>
      </c>
      <c r="B104" s="299">
        <v>3389962</v>
      </c>
      <c r="C104" s="299">
        <v>0</v>
      </c>
      <c r="D104" s="295"/>
      <c r="E104" s="299">
        <v>0</v>
      </c>
      <c r="F104" s="299">
        <v>0</v>
      </c>
      <c r="G104" s="295"/>
      <c r="H104" s="311">
        <f t="shared" si="4"/>
        <v>3389962</v>
      </c>
      <c r="I104" s="299">
        <f t="shared" si="5"/>
        <v>0</v>
      </c>
      <c r="M104" s="319">
        <f>VLOOKUP(A104,[4]Sheet1!$B:$D,2,FALSE)</f>
        <v>3389962</v>
      </c>
      <c r="N104" s="319">
        <f>VLOOKUP(A104,[4]Sheet1!$B:$D,3,FALSE)</f>
        <v>0</v>
      </c>
      <c r="P104" s="320">
        <f t="shared" si="6"/>
        <v>0</v>
      </c>
      <c r="Q104" s="320">
        <f t="shared" si="7"/>
        <v>0</v>
      </c>
    </row>
    <row r="105" spans="1:17" x14ac:dyDescent="0.2">
      <c r="A105" s="310" t="s">
        <v>535</v>
      </c>
      <c r="B105" s="299">
        <v>2942736</v>
      </c>
      <c r="C105" s="299">
        <v>0</v>
      </c>
      <c r="D105" s="295"/>
      <c r="E105" s="299">
        <v>0</v>
      </c>
      <c r="F105" s="299">
        <v>0</v>
      </c>
      <c r="G105" s="295"/>
      <c r="H105" s="300">
        <f t="shared" si="4"/>
        <v>2942736</v>
      </c>
      <c r="I105" s="299">
        <f t="shared" si="5"/>
        <v>0</v>
      </c>
      <c r="M105" s="319">
        <f>VLOOKUP(A105,[4]Sheet1!$B:$D,2,FALSE)</f>
        <v>2942736</v>
      </c>
      <c r="N105" s="319">
        <f>VLOOKUP(A105,[4]Sheet1!$B:$D,3,FALSE)</f>
        <v>0</v>
      </c>
      <c r="P105" s="320">
        <f t="shared" si="6"/>
        <v>0</v>
      </c>
      <c r="Q105" s="320">
        <f t="shared" si="7"/>
        <v>0</v>
      </c>
    </row>
    <row r="106" spans="1:17" x14ac:dyDescent="0.2">
      <c r="A106" s="310" t="s">
        <v>536</v>
      </c>
      <c r="B106" s="299">
        <v>1041000</v>
      </c>
      <c r="C106" s="299">
        <v>0</v>
      </c>
      <c r="D106" s="295"/>
      <c r="E106" s="299">
        <v>0</v>
      </c>
      <c r="F106" s="299">
        <v>0</v>
      </c>
      <c r="G106" s="295"/>
      <c r="H106" s="311">
        <f t="shared" si="4"/>
        <v>1041000</v>
      </c>
      <c r="I106" s="299">
        <f t="shared" si="5"/>
        <v>0</v>
      </c>
      <c r="M106" s="319">
        <f>VLOOKUP(A106,[4]Sheet1!$B:$D,2,FALSE)</f>
        <v>1041000</v>
      </c>
      <c r="N106" s="319">
        <f>VLOOKUP(A106,[4]Sheet1!$B:$D,3,FALSE)</f>
        <v>0</v>
      </c>
      <c r="P106" s="320">
        <f t="shared" si="6"/>
        <v>0</v>
      </c>
      <c r="Q106" s="320">
        <f t="shared" si="7"/>
        <v>0</v>
      </c>
    </row>
    <row r="107" spans="1:17" x14ac:dyDescent="0.2">
      <c r="A107" s="310" t="s">
        <v>670</v>
      </c>
      <c r="B107" s="299">
        <v>104500</v>
      </c>
      <c r="C107" s="299">
        <v>0</v>
      </c>
      <c r="D107" s="295"/>
      <c r="E107" s="299">
        <v>0</v>
      </c>
      <c r="F107" s="299">
        <v>0</v>
      </c>
      <c r="G107" s="295"/>
      <c r="H107" s="311">
        <f t="shared" si="4"/>
        <v>104500</v>
      </c>
      <c r="I107" s="299">
        <f t="shared" si="5"/>
        <v>0</v>
      </c>
      <c r="M107" s="319">
        <f>VLOOKUP(A107,[4]Sheet1!$B:$D,2,FALSE)</f>
        <v>104500</v>
      </c>
      <c r="N107" s="319">
        <f>VLOOKUP(A107,[4]Sheet1!$B:$D,3,FALSE)</f>
        <v>0</v>
      </c>
      <c r="P107" s="320">
        <f t="shared" si="6"/>
        <v>0</v>
      </c>
      <c r="Q107" s="320">
        <f t="shared" si="7"/>
        <v>0</v>
      </c>
    </row>
    <row r="108" spans="1:17" x14ac:dyDescent="0.2">
      <c r="A108" s="310" t="s">
        <v>274</v>
      </c>
      <c r="B108" s="299">
        <v>12559000</v>
      </c>
      <c r="C108" s="299">
        <v>0</v>
      </c>
      <c r="D108" s="295"/>
      <c r="E108" s="299">
        <v>0</v>
      </c>
      <c r="F108" s="299">
        <v>0</v>
      </c>
      <c r="G108" s="295"/>
      <c r="H108" s="311">
        <f t="shared" si="4"/>
        <v>12559000</v>
      </c>
      <c r="I108" s="299">
        <f t="shared" si="5"/>
        <v>0</v>
      </c>
      <c r="M108" s="319">
        <f>VLOOKUP(A108,[4]Sheet1!$B:$D,2,FALSE)</f>
        <v>12559000</v>
      </c>
      <c r="N108" s="319">
        <f>VLOOKUP(A108,[4]Sheet1!$B:$D,3,FALSE)</f>
        <v>0</v>
      </c>
      <c r="P108" s="320">
        <f t="shared" si="6"/>
        <v>0</v>
      </c>
      <c r="Q108" s="320">
        <f t="shared" si="7"/>
        <v>0</v>
      </c>
    </row>
    <row r="109" spans="1:17" x14ac:dyDescent="0.2">
      <c r="A109" s="310" t="s">
        <v>275</v>
      </c>
      <c r="B109" s="299">
        <v>3768000</v>
      </c>
      <c r="C109" s="299">
        <v>0</v>
      </c>
      <c r="D109" s="295"/>
      <c r="E109" s="299">
        <v>0</v>
      </c>
      <c r="F109" s="299">
        <v>0</v>
      </c>
      <c r="G109" s="295"/>
      <c r="H109" s="311">
        <f t="shared" si="4"/>
        <v>3768000</v>
      </c>
      <c r="I109" s="299">
        <f t="shared" si="5"/>
        <v>0</v>
      </c>
      <c r="M109" s="319">
        <f>VLOOKUP(A109,[4]Sheet1!$B:$D,2,FALSE)</f>
        <v>3768000</v>
      </c>
      <c r="N109" s="319">
        <f>VLOOKUP(A109,[4]Sheet1!$B:$D,3,FALSE)</f>
        <v>0</v>
      </c>
      <c r="P109" s="320">
        <f t="shared" si="6"/>
        <v>0</v>
      </c>
      <c r="Q109" s="320">
        <f t="shared" si="7"/>
        <v>0</v>
      </c>
    </row>
    <row r="110" spans="1:17" x14ac:dyDescent="0.2">
      <c r="A110" s="310" t="s">
        <v>352</v>
      </c>
      <c r="B110" s="299">
        <v>46694800</v>
      </c>
      <c r="C110" s="299">
        <v>0</v>
      </c>
      <c r="D110" s="295"/>
      <c r="E110" s="299">
        <v>0</v>
      </c>
      <c r="F110" s="299">
        <v>0</v>
      </c>
      <c r="G110" s="295"/>
      <c r="H110" s="311">
        <f t="shared" si="4"/>
        <v>46694800</v>
      </c>
      <c r="I110" s="299">
        <f t="shared" si="5"/>
        <v>0</v>
      </c>
      <c r="M110" s="319">
        <f>VLOOKUP(A110,[4]Sheet1!$B:$D,2,FALSE)</f>
        <v>46694800</v>
      </c>
      <c r="N110" s="319">
        <f>VLOOKUP(A110,[4]Sheet1!$B:$D,3,FALSE)</f>
        <v>0</v>
      </c>
      <c r="P110" s="320">
        <f t="shared" si="6"/>
        <v>0</v>
      </c>
      <c r="Q110" s="320">
        <f t="shared" si="7"/>
        <v>0</v>
      </c>
    </row>
    <row r="111" spans="1:17" x14ac:dyDescent="0.2">
      <c r="A111" s="310" t="s">
        <v>122</v>
      </c>
      <c r="B111" s="299">
        <v>5462728.5</v>
      </c>
      <c r="C111" s="299">
        <v>0</v>
      </c>
      <c r="D111" s="295"/>
      <c r="E111" s="299">
        <v>0</v>
      </c>
      <c r="F111" s="299">
        <v>0</v>
      </c>
      <c r="G111" s="295"/>
      <c r="H111" s="300">
        <f t="shared" si="4"/>
        <v>5462728.5</v>
      </c>
      <c r="I111" s="299">
        <f t="shared" si="5"/>
        <v>0</v>
      </c>
      <c r="M111" s="319">
        <f>VLOOKUP(A111,[4]Sheet1!$B:$D,2,FALSE)</f>
        <v>5462728.5</v>
      </c>
      <c r="N111" s="319">
        <f>VLOOKUP(A111,[4]Sheet1!$B:$D,3,FALSE)</f>
        <v>0</v>
      </c>
      <c r="P111" s="320">
        <f t="shared" si="6"/>
        <v>0</v>
      </c>
      <c r="Q111" s="320">
        <f t="shared" si="7"/>
        <v>0</v>
      </c>
    </row>
    <row r="112" spans="1:17" x14ac:dyDescent="0.2">
      <c r="A112" s="310" t="s">
        <v>276</v>
      </c>
      <c r="B112" s="299">
        <v>0</v>
      </c>
      <c r="C112" s="299">
        <v>0</v>
      </c>
      <c r="D112" s="295"/>
      <c r="E112" s="299">
        <v>0</v>
      </c>
      <c r="F112" s="299">
        <v>0</v>
      </c>
      <c r="G112" s="295"/>
      <c r="H112" s="300">
        <f t="shared" si="4"/>
        <v>0</v>
      </c>
      <c r="I112" s="299">
        <f t="shared" si="5"/>
        <v>0</v>
      </c>
      <c r="M112" s="319">
        <f>VLOOKUP(A112,[4]Sheet1!$B:$D,2,FALSE)</f>
        <v>0</v>
      </c>
      <c r="N112" s="319">
        <f>VLOOKUP(A112,[4]Sheet1!$B:$D,3,FALSE)</f>
        <v>0</v>
      </c>
      <c r="P112" s="320">
        <f t="shared" si="6"/>
        <v>0</v>
      </c>
      <c r="Q112" s="320">
        <f t="shared" si="7"/>
        <v>0</v>
      </c>
    </row>
    <row r="113" spans="1:17" x14ac:dyDescent="0.2">
      <c r="A113" s="310" t="s">
        <v>277</v>
      </c>
      <c r="B113" s="299">
        <v>0</v>
      </c>
      <c r="C113" s="299">
        <v>0</v>
      </c>
      <c r="D113" s="295"/>
      <c r="E113" s="299">
        <v>0</v>
      </c>
      <c r="F113" s="299">
        <v>0</v>
      </c>
      <c r="G113" s="295"/>
      <c r="H113" s="300">
        <f t="shared" si="4"/>
        <v>0</v>
      </c>
      <c r="I113" s="299">
        <f t="shared" si="5"/>
        <v>0</v>
      </c>
      <c r="M113" s="319">
        <f>VLOOKUP(A113,[4]Sheet1!$B:$D,2,FALSE)</f>
        <v>0</v>
      </c>
      <c r="N113" s="319">
        <f>VLOOKUP(A113,[4]Sheet1!$B:$D,3,FALSE)</f>
        <v>0</v>
      </c>
      <c r="P113" s="320">
        <f t="shared" si="6"/>
        <v>0</v>
      </c>
      <c r="Q113" s="320">
        <f t="shared" si="7"/>
        <v>0</v>
      </c>
    </row>
    <row r="114" spans="1:17" x14ac:dyDescent="0.2">
      <c r="A114" s="310" t="s">
        <v>278</v>
      </c>
      <c r="B114" s="299">
        <v>0</v>
      </c>
      <c r="C114" s="299">
        <v>0</v>
      </c>
      <c r="D114" s="295"/>
      <c r="E114" s="299">
        <v>0</v>
      </c>
      <c r="F114" s="299">
        <v>0</v>
      </c>
      <c r="G114" s="295"/>
      <c r="H114" s="300">
        <f t="shared" si="4"/>
        <v>0</v>
      </c>
      <c r="I114" s="299">
        <f t="shared" si="5"/>
        <v>0</v>
      </c>
      <c r="M114" s="319">
        <f>VLOOKUP(A114,[4]Sheet1!$B:$D,2,FALSE)</f>
        <v>0</v>
      </c>
      <c r="N114" s="319">
        <f>VLOOKUP(A114,[4]Sheet1!$B:$D,3,FALSE)</f>
        <v>0</v>
      </c>
      <c r="P114" s="320">
        <f t="shared" si="6"/>
        <v>0</v>
      </c>
      <c r="Q114" s="320">
        <f t="shared" si="7"/>
        <v>0</v>
      </c>
    </row>
    <row r="115" spans="1:17" x14ac:dyDescent="0.2">
      <c r="A115" s="310" t="s">
        <v>123</v>
      </c>
      <c r="B115" s="299">
        <v>1215000</v>
      </c>
      <c r="C115" s="299">
        <v>0</v>
      </c>
      <c r="D115" s="295"/>
      <c r="E115" s="299">
        <v>0</v>
      </c>
      <c r="F115" s="299">
        <v>0</v>
      </c>
      <c r="G115" s="295"/>
      <c r="H115" s="300">
        <f t="shared" si="4"/>
        <v>1215000</v>
      </c>
      <c r="I115" s="299">
        <f t="shared" si="5"/>
        <v>0</v>
      </c>
      <c r="M115" s="319">
        <f>VLOOKUP(A115,[4]Sheet1!$B:$D,2,FALSE)</f>
        <v>1215000</v>
      </c>
      <c r="N115" s="319">
        <f>VLOOKUP(A115,[4]Sheet1!$B:$D,3,FALSE)</f>
        <v>0</v>
      </c>
      <c r="P115" s="320">
        <f t="shared" si="6"/>
        <v>0</v>
      </c>
      <c r="Q115" s="320">
        <f t="shared" si="7"/>
        <v>0</v>
      </c>
    </row>
    <row r="116" spans="1:17" x14ac:dyDescent="0.2">
      <c r="A116" s="310" t="s">
        <v>124</v>
      </c>
      <c r="B116" s="299">
        <v>973873</v>
      </c>
      <c r="C116" s="299">
        <v>0</v>
      </c>
      <c r="D116" s="295"/>
      <c r="E116" s="299">
        <v>0</v>
      </c>
      <c r="F116" s="299">
        <v>0</v>
      </c>
      <c r="G116" s="295"/>
      <c r="H116" s="300">
        <f t="shared" si="4"/>
        <v>973873</v>
      </c>
      <c r="I116" s="299">
        <f t="shared" si="5"/>
        <v>0</v>
      </c>
      <c r="M116" s="319">
        <f>VLOOKUP(A116,[4]Sheet1!$B:$D,2,FALSE)</f>
        <v>973873</v>
      </c>
      <c r="N116" s="319">
        <f>VLOOKUP(A116,[4]Sheet1!$B:$D,3,FALSE)</f>
        <v>0</v>
      </c>
      <c r="P116" s="320">
        <f t="shared" si="6"/>
        <v>0</v>
      </c>
      <c r="Q116" s="320">
        <f t="shared" si="7"/>
        <v>0</v>
      </c>
    </row>
    <row r="117" spans="1:17" x14ac:dyDescent="0.2">
      <c r="A117" s="310" t="s">
        <v>125</v>
      </c>
      <c r="B117" s="299">
        <v>11098350.4</v>
      </c>
      <c r="C117" s="299">
        <v>0</v>
      </c>
      <c r="D117" s="295"/>
      <c r="E117" s="299">
        <v>0</v>
      </c>
      <c r="F117" s="299">
        <v>0</v>
      </c>
      <c r="G117" s="295"/>
      <c r="H117" s="300">
        <f t="shared" si="4"/>
        <v>11098350.4</v>
      </c>
      <c r="I117" s="299">
        <f t="shared" si="5"/>
        <v>0</v>
      </c>
      <c r="M117" s="319">
        <f>VLOOKUP(A117,[4]Sheet1!$B:$D,2,FALSE)</f>
        <v>11098350.4</v>
      </c>
      <c r="N117" s="319">
        <f>VLOOKUP(A117,[4]Sheet1!$B:$D,3,FALSE)</f>
        <v>0</v>
      </c>
      <c r="P117" s="320">
        <f t="shared" si="6"/>
        <v>0</v>
      </c>
      <c r="Q117" s="320">
        <f t="shared" si="7"/>
        <v>0</v>
      </c>
    </row>
    <row r="118" spans="1:17" x14ac:dyDescent="0.2">
      <c r="A118" s="310" t="s">
        <v>126</v>
      </c>
      <c r="B118" s="299">
        <v>5941467.7400000002</v>
      </c>
      <c r="C118" s="299">
        <v>0</v>
      </c>
      <c r="D118" s="295"/>
      <c r="E118" s="299">
        <v>0</v>
      </c>
      <c r="F118" s="299">
        <v>0</v>
      </c>
      <c r="G118" s="295"/>
      <c r="H118" s="300">
        <f t="shared" si="4"/>
        <v>5941467.7400000002</v>
      </c>
      <c r="I118" s="299">
        <f t="shared" si="5"/>
        <v>0</v>
      </c>
      <c r="M118" s="319">
        <f>VLOOKUP(A118,[4]Sheet1!$B:$D,2,FALSE)</f>
        <v>5941467.7400000002</v>
      </c>
      <c r="N118" s="319">
        <f>VLOOKUP(A118,[4]Sheet1!$B:$D,3,FALSE)</f>
        <v>0</v>
      </c>
      <c r="P118" s="320">
        <f t="shared" si="6"/>
        <v>0</v>
      </c>
      <c r="Q118" s="320">
        <f t="shared" si="7"/>
        <v>0</v>
      </c>
    </row>
    <row r="119" spans="1:17" x14ac:dyDescent="0.2">
      <c r="A119" s="310" t="s">
        <v>127</v>
      </c>
      <c r="B119" s="299">
        <v>1129916</v>
      </c>
      <c r="C119" s="299">
        <v>0</v>
      </c>
      <c r="D119" s="295"/>
      <c r="E119" s="299">
        <v>0</v>
      </c>
      <c r="F119" s="299">
        <v>0</v>
      </c>
      <c r="G119" s="295"/>
      <c r="H119" s="300">
        <f t="shared" si="4"/>
        <v>1129916</v>
      </c>
      <c r="I119" s="299">
        <f t="shared" si="5"/>
        <v>0</v>
      </c>
      <c r="M119" s="319">
        <f>VLOOKUP(A119,[4]Sheet1!$B:$D,2,FALSE)</f>
        <v>1129916</v>
      </c>
      <c r="N119" s="319">
        <f>VLOOKUP(A119,[4]Sheet1!$B:$D,3,FALSE)</f>
        <v>0</v>
      </c>
      <c r="P119" s="320">
        <f t="shared" si="6"/>
        <v>0</v>
      </c>
      <c r="Q119" s="320">
        <f t="shared" si="7"/>
        <v>0</v>
      </c>
    </row>
    <row r="120" spans="1:17" x14ac:dyDescent="0.2">
      <c r="A120" s="310" t="s">
        <v>279</v>
      </c>
      <c r="B120" s="299">
        <v>9077116.2899999991</v>
      </c>
      <c r="C120" s="299">
        <v>0</v>
      </c>
      <c r="D120" s="295"/>
      <c r="E120" s="299">
        <v>0</v>
      </c>
      <c r="F120" s="299">
        <v>0</v>
      </c>
      <c r="G120" s="295"/>
      <c r="H120" s="300">
        <f t="shared" si="4"/>
        <v>9077116.2899999991</v>
      </c>
      <c r="I120" s="299">
        <f t="shared" si="5"/>
        <v>0</v>
      </c>
      <c r="M120" s="319">
        <f>VLOOKUP(A120,[4]Sheet1!$B:$D,2,FALSE)</f>
        <v>9077116.2899999991</v>
      </c>
      <c r="N120" s="319">
        <f>VLOOKUP(A120,[4]Sheet1!$B:$D,3,FALSE)</f>
        <v>0</v>
      </c>
      <c r="P120" s="320">
        <f t="shared" si="6"/>
        <v>0</v>
      </c>
      <c r="Q120" s="320">
        <f t="shared" si="7"/>
        <v>0</v>
      </c>
    </row>
    <row r="121" spans="1:17" x14ac:dyDescent="0.2">
      <c r="A121" s="310" t="s">
        <v>280</v>
      </c>
      <c r="B121" s="299">
        <v>1254039.8999999999</v>
      </c>
      <c r="C121" s="299">
        <v>0</v>
      </c>
      <c r="D121" s="295"/>
      <c r="E121" s="299">
        <v>0</v>
      </c>
      <c r="F121" s="299">
        <v>0</v>
      </c>
      <c r="G121" s="295"/>
      <c r="H121" s="300">
        <f t="shared" si="4"/>
        <v>1254039.8999999999</v>
      </c>
      <c r="I121" s="299">
        <f t="shared" si="5"/>
        <v>0</v>
      </c>
      <c r="M121" s="319">
        <f>VLOOKUP(A121,[4]Sheet1!$B:$D,2,FALSE)</f>
        <v>1254039.8999999999</v>
      </c>
      <c r="N121" s="319">
        <f>VLOOKUP(A121,[4]Sheet1!$B:$D,3,FALSE)</f>
        <v>0</v>
      </c>
      <c r="P121" s="320">
        <f t="shared" si="6"/>
        <v>0</v>
      </c>
      <c r="Q121" s="320">
        <f t="shared" si="7"/>
        <v>0</v>
      </c>
    </row>
    <row r="122" spans="1:17" x14ac:dyDescent="0.2">
      <c r="A122" s="310" t="s">
        <v>281</v>
      </c>
      <c r="B122" s="299">
        <v>1701432.81</v>
      </c>
      <c r="C122" s="299">
        <v>0</v>
      </c>
      <c r="D122" s="295"/>
      <c r="E122" s="299">
        <v>0</v>
      </c>
      <c r="F122" s="299">
        <v>0</v>
      </c>
      <c r="G122" s="295"/>
      <c r="H122" s="300">
        <f t="shared" si="4"/>
        <v>1701432.81</v>
      </c>
      <c r="I122" s="299">
        <f t="shared" si="5"/>
        <v>0</v>
      </c>
      <c r="M122" s="319">
        <f>VLOOKUP(A122,[4]Sheet1!$B:$D,2,FALSE)</f>
        <v>1701432.81</v>
      </c>
      <c r="N122" s="319">
        <f>VLOOKUP(A122,[4]Sheet1!$B:$D,3,FALSE)</f>
        <v>0</v>
      </c>
      <c r="P122" s="320">
        <f t="shared" si="6"/>
        <v>0</v>
      </c>
      <c r="Q122" s="320">
        <f t="shared" si="7"/>
        <v>0</v>
      </c>
    </row>
    <row r="123" spans="1:17" x14ac:dyDescent="0.2">
      <c r="A123" s="310" t="s">
        <v>128</v>
      </c>
      <c r="B123" s="299">
        <v>0</v>
      </c>
      <c r="C123" s="299">
        <v>12517345.52</v>
      </c>
      <c r="D123" s="295"/>
      <c r="E123" s="299">
        <v>0</v>
      </c>
      <c r="F123" s="299">
        <v>0</v>
      </c>
      <c r="G123" s="295"/>
      <c r="H123" s="299">
        <f t="shared" si="4"/>
        <v>0</v>
      </c>
      <c r="I123" s="300">
        <f t="shared" si="5"/>
        <v>12517345.52</v>
      </c>
      <c r="M123" s="319">
        <f>VLOOKUP(A123,[4]Sheet1!$B:$D,2,FALSE)</f>
        <v>0</v>
      </c>
      <c r="N123" s="319">
        <f>VLOOKUP(A123,[4]Sheet1!$B:$D,3,FALSE)</f>
        <v>12517345.52</v>
      </c>
      <c r="P123" s="320">
        <f t="shared" si="6"/>
        <v>0</v>
      </c>
      <c r="Q123" s="320">
        <f t="shared" si="7"/>
        <v>0</v>
      </c>
    </row>
    <row r="124" spans="1:17" x14ac:dyDescent="0.2">
      <c r="A124" s="310" t="s">
        <v>129</v>
      </c>
      <c r="B124" s="299">
        <v>4026800</v>
      </c>
      <c r="C124" s="299">
        <v>0</v>
      </c>
      <c r="D124" s="295"/>
      <c r="E124" s="299">
        <v>0</v>
      </c>
      <c r="F124" s="299">
        <f>28450+15000+959415</f>
        <v>1002865</v>
      </c>
      <c r="G124" s="295"/>
      <c r="H124" s="300">
        <f>B124+E124-F124</f>
        <v>3023935</v>
      </c>
      <c r="I124" s="299">
        <f t="shared" si="5"/>
        <v>0</v>
      </c>
      <c r="M124" s="319">
        <f>VLOOKUP(A124,[4]Sheet1!$B:$D,2,FALSE)</f>
        <v>4026800</v>
      </c>
      <c r="N124" s="319">
        <f>VLOOKUP(A124,[4]Sheet1!$B:$D,3,FALSE)</f>
        <v>0</v>
      </c>
      <c r="P124" s="320">
        <f t="shared" si="6"/>
        <v>-1002865</v>
      </c>
      <c r="Q124" s="320">
        <f t="shared" si="7"/>
        <v>0</v>
      </c>
    </row>
    <row r="125" spans="1:17" x14ac:dyDescent="0.2">
      <c r="A125" s="310" t="s">
        <v>130</v>
      </c>
      <c r="B125" s="299">
        <v>0</v>
      </c>
      <c r="C125" s="299">
        <v>0</v>
      </c>
      <c r="D125" s="295"/>
      <c r="E125" s="299">
        <v>0</v>
      </c>
      <c r="F125" s="299">
        <v>0</v>
      </c>
      <c r="G125" s="295"/>
      <c r="H125" s="300">
        <f t="shared" si="4"/>
        <v>0</v>
      </c>
      <c r="I125" s="299">
        <f t="shared" si="5"/>
        <v>0</v>
      </c>
      <c r="M125" s="319">
        <f>VLOOKUP(A125,[4]Sheet1!$B:$D,2,FALSE)</f>
        <v>0</v>
      </c>
      <c r="N125" s="319">
        <f>VLOOKUP(A125,[4]Sheet1!$B:$D,3,FALSE)</f>
        <v>0</v>
      </c>
      <c r="P125" s="320">
        <f t="shared" si="6"/>
        <v>0</v>
      </c>
      <c r="Q125" s="320">
        <f t="shared" si="7"/>
        <v>0</v>
      </c>
    </row>
    <row r="126" spans="1:17" x14ac:dyDescent="0.2">
      <c r="A126" s="310" t="s">
        <v>282</v>
      </c>
      <c r="B126" s="299">
        <v>0</v>
      </c>
      <c r="C126" s="299">
        <v>0</v>
      </c>
      <c r="D126" s="295"/>
      <c r="E126" s="299">
        <v>0</v>
      </c>
      <c r="F126" s="299">
        <v>0</v>
      </c>
      <c r="G126" s="295"/>
      <c r="H126" s="300">
        <f t="shared" si="4"/>
        <v>0</v>
      </c>
      <c r="I126" s="299">
        <f t="shared" si="5"/>
        <v>0</v>
      </c>
      <c r="M126" s="319">
        <f>VLOOKUP(A126,[4]Sheet1!$B:$D,2,FALSE)</f>
        <v>0</v>
      </c>
      <c r="N126" s="319">
        <f>VLOOKUP(A126,[4]Sheet1!$B:$D,3,FALSE)</f>
        <v>0</v>
      </c>
      <c r="P126" s="320">
        <f t="shared" si="6"/>
        <v>0</v>
      </c>
      <c r="Q126" s="320">
        <f t="shared" si="7"/>
        <v>0</v>
      </c>
    </row>
    <row r="127" spans="1:17" x14ac:dyDescent="0.2">
      <c r="A127" s="310" t="s">
        <v>131</v>
      </c>
      <c r="B127" s="299">
        <v>2955300</v>
      </c>
      <c r="C127" s="299">
        <v>0</v>
      </c>
      <c r="D127" s="295"/>
      <c r="E127" s="299">
        <v>0</v>
      </c>
      <c r="F127" s="299">
        <v>0</v>
      </c>
      <c r="G127" s="295"/>
      <c r="H127" s="300">
        <f t="shared" si="4"/>
        <v>2955300</v>
      </c>
      <c r="I127" s="299">
        <f t="shared" si="5"/>
        <v>0</v>
      </c>
      <c r="M127" s="319">
        <f>VLOOKUP(A127,[4]Sheet1!$B:$D,2,FALSE)</f>
        <v>2955300</v>
      </c>
      <c r="N127" s="319">
        <f>VLOOKUP(A127,[4]Sheet1!$B:$D,3,FALSE)</f>
        <v>0</v>
      </c>
      <c r="P127" s="320">
        <f t="shared" si="6"/>
        <v>0</v>
      </c>
      <c r="Q127" s="320">
        <f t="shared" si="7"/>
        <v>0</v>
      </c>
    </row>
    <row r="128" spans="1:17" x14ac:dyDescent="0.2">
      <c r="A128" s="310" t="s">
        <v>353</v>
      </c>
      <c r="B128" s="299">
        <v>5477500</v>
      </c>
      <c r="C128" s="299">
        <v>0</v>
      </c>
      <c r="D128" s="295"/>
      <c r="E128" s="299">
        <v>0</v>
      </c>
      <c r="F128" s="299">
        <v>0</v>
      </c>
      <c r="G128" s="295"/>
      <c r="H128" s="300">
        <f t="shared" si="4"/>
        <v>5477500</v>
      </c>
      <c r="I128" s="299">
        <f t="shared" si="5"/>
        <v>0</v>
      </c>
      <c r="M128" s="319">
        <f>VLOOKUP(A128,[4]Sheet1!$B:$D,2,FALSE)</f>
        <v>5477500</v>
      </c>
      <c r="N128" s="319">
        <f>VLOOKUP(A128,[4]Sheet1!$B:$D,3,FALSE)</f>
        <v>0</v>
      </c>
      <c r="P128" s="320">
        <f t="shared" si="6"/>
        <v>0</v>
      </c>
      <c r="Q128" s="320">
        <f t="shared" si="7"/>
        <v>0</v>
      </c>
    </row>
    <row r="129" spans="1:17" x14ac:dyDescent="0.2">
      <c r="A129" s="310" t="s">
        <v>354</v>
      </c>
      <c r="B129" s="299">
        <v>136390</v>
      </c>
      <c r="C129" s="299">
        <v>0</v>
      </c>
      <c r="D129" s="295"/>
      <c r="E129" s="299">
        <v>0</v>
      </c>
      <c r="F129" s="299">
        <v>0</v>
      </c>
      <c r="G129" s="295"/>
      <c r="H129" s="300">
        <f t="shared" si="4"/>
        <v>136390</v>
      </c>
      <c r="I129" s="299">
        <f t="shared" si="5"/>
        <v>0</v>
      </c>
      <c r="M129" s="319">
        <f>VLOOKUP(A129,[4]Sheet1!$B:$D,2,FALSE)</f>
        <v>136390</v>
      </c>
      <c r="N129" s="319">
        <f>VLOOKUP(A129,[4]Sheet1!$B:$D,3,FALSE)</f>
        <v>0</v>
      </c>
      <c r="P129" s="320">
        <f t="shared" si="6"/>
        <v>0</v>
      </c>
      <c r="Q129" s="320">
        <f t="shared" si="7"/>
        <v>0</v>
      </c>
    </row>
    <row r="130" spans="1:17" x14ac:dyDescent="0.2">
      <c r="A130" s="310" t="s">
        <v>355</v>
      </c>
      <c r="B130" s="299">
        <v>0</v>
      </c>
      <c r="C130" s="299">
        <v>0</v>
      </c>
      <c r="D130" s="295"/>
      <c r="E130" s="299">
        <v>0</v>
      </c>
      <c r="F130" s="299">
        <v>0</v>
      </c>
      <c r="G130" s="295"/>
      <c r="H130" s="300">
        <f t="shared" si="4"/>
        <v>0</v>
      </c>
      <c r="I130" s="299">
        <f t="shared" si="5"/>
        <v>0</v>
      </c>
      <c r="M130" s="319">
        <f>VLOOKUP(A130,[4]Sheet1!$B:$D,2,FALSE)</f>
        <v>0</v>
      </c>
      <c r="N130" s="319">
        <f>VLOOKUP(A130,[4]Sheet1!$B:$D,3,FALSE)</f>
        <v>0</v>
      </c>
      <c r="P130" s="320">
        <f t="shared" si="6"/>
        <v>0</v>
      </c>
      <c r="Q130" s="320">
        <f t="shared" si="7"/>
        <v>0</v>
      </c>
    </row>
    <row r="131" spans="1:17" x14ac:dyDescent="0.2">
      <c r="A131" s="310" t="s">
        <v>356</v>
      </c>
      <c r="B131" s="299">
        <v>3927826</v>
      </c>
      <c r="C131" s="299">
        <v>0</v>
      </c>
      <c r="D131" s="295"/>
      <c r="E131" s="299">
        <v>0</v>
      </c>
      <c r="F131" s="299">
        <v>0</v>
      </c>
      <c r="G131" s="295"/>
      <c r="H131" s="300">
        <f t="shared" si="4"/>
        <v>3927826</v>
      </c>
      <c r="I131" s="299">
        <f t="shared" si="5"/>
        <v>0</v>
      </c>
      <c r="M131" s="319">
        <f>VLOOKUP(A131,[4]Sheet1!$B:$D,2,FALSE)</f>
        <v>3927826</v>
      </c>
      <c r="N131" s="319">
        <f>VLOOKUP(A131,[4]Sheet1!$B:$D,3,FALSE)</f>
        <v>0</v>
      </c>
      <c r="P131" s="320">
        <f t="shared" si="6"/>
        <v>0</v>
      </c>
      <c r="Q131" s="320">
        <f t="shared" si="7"/>
        <v>0</v>
      </c>
    </row>
    <row r="132" spans="1:17" x14ac:dyDescent="0.2">
      <c r="A132" s="310" t="s">
        <v>357</v>
      </c>
      <c r="B132" s="299">
        <v>2202963</v>
      </c>
      <c r="C132" s="299">
        <v>0</v>
      </c>
      <c r="D132" s="295"/>
      <c r="E132" s="299">
        <v>0</v>
      </c>
      <c r="F132" s="299">
        <v>0</v>
      </c>
      <c r="G132" s="295"/>
      <c r="H132" s="300">
        <f t="shared" si="4"/>
        <v>2202963</v>
      </c>
      <c r="I132" s="299">
        <f t="shared" si="5"/>
        <v>0</v>
      </c>
      <c r="M132" s="319">
        <f>VLOOKUP(A132,[4]Sheet1!$B:$D,2,FALSE)</f>
        <v>2202963</v>
      </c>
      <c r="N132" s="319">
        <f>VLOOKUP(A132,[4]Sheet1!$B:$D,3,FALSE)</f>
        <v>0</v>
      </c>
      <c r="P132" s="320">
        <f t="shared" si="6"/>
        <v>0</v>
      </c>
      <c r="Q132" s="320">
        <f t="shared" si="7"/>
        <v>0</v>
      </c>
    </row>
    <row r="133" spans="1:17" x14ac:dyDescent="0.2">
      <c r="A133" s="310" t="s">
        <v>671</v>
      </c>
      <c r="B133" s="299">
        <v>625000</v>
      </c>
      <c r="C133" s="299">
        <v>0</v>
      </c>
      <c r="D133" s="295"/>
      <c r="E133" s="299">
        <v>0</v>
      </c>
      <c r="F133" s="299">
        <v>0</v>
      </c>
      <c r="G133" s="295"/>
      <c r="H133" s="300">
        <f t="shared" si="4"/>
        <v>625000</v>
      </c>
      <c r="I133" s="299">
        <f t="shared" si="5"/>
        <v>0</v>
      </c>
      <c r="M133" s="319">
        <f>VLOOKUP(A133,[4]Sheet1!$B:$D,2,FALSE)</f>
        <v>625000</v>
      </c>
      <c r="N133" s="319">
        <f>VLOOKUP(A133,[4]Sheet1!$B:$D,3,FALSE)</f>
        <v>0</v>
      </c>
      <c r="P133" s="320">
        <f t="shared" si="6"/>
        <v>0</v>
      </c>
      <c r="Q133" s="320">
        <f t="shared" si="7"/>
        <v>0</v>
      </c>
    </row>
    <row r="134" spans="1:17" x14ac:dyDescent="0.2">
      <c r="A134" s="310" t="s">
        <v>132</v>
      </c>
      <c r="B134" s="299">
        <v>287680</v>
      </c>
      <c r="C134" s="299">
        <v>0</v>
      </c>
      <c r="D134" s="295"/>
      <c r="E134" s="299">
        <v>0</v>
      </c>
      <c r="F134" s="299">
        <v>0</v>
      </c>
      <c r="G134" s="295"/>
      <c r="H134" s="300">
        <f t="shared" ref="H134:H227" si="8">B134</f>
        <v>287680</v>
      </c>
      <c r="I134" s="299">
        <f t="shared" ref="I134:I227" si="9">C134</f>
        <v>0</v>
      </c>
      <c r="M134" s="319">
        <f>VLOOKUP(A134,[4]Sheet1!$B:$D,2,FALSE)</f>
        <v>287680</v>
      </c>
      <c r="N134" s="319">
        <f>VLOOKUP(A134,[4]Sheet1!$B:$D,3,FALSE)</f>
        <v>0</v>
      </c>
      <c r="P134" s="320">
        <f t="shared" ref="P134:P197" si="10">H134-M134</f>
        <v>0</v>
      </c>
      <c r="Q134" s="320">
        <f t="shared" ref="Q134:Q197" si="11">I134-N134</f>
        <v>0</v>
      </c>
    </row>
    <row r="135" spans="1:17" x14ac:dyDescent="0.2">
      <c r="A135" s="310" t="s">
        <v>133</v>
      </c>
      <c r="B135" s="299">
        <v>0</v>
      </c>
      <c r="C135" s="299">
        <v>13535461.699999999</v>
      </c>
      <c r="D135" s="295"/>
      <c r="E135" s="299">
        <v>0</v>
      </c>
      <c r="F135" s="299">
        <v>0</v>
      </c>
      <c r="G135" s="295"/>
      <c r="H135" s="299">
        <f t="shared" si="8"/>
        <v>0</v>
      </c>
      <c r="I135" s="300">
        <f t="shared" si="9"/>
        <v>13535461.699999999</v>
      </c>
      <c r="M135" s="319">
        <f>VLOOKUP(A135,[4]Sheet1!$B:$D,2,FALSE)</f>
        <v>0</v>
      </c>
      <c r="N135" s="319">
        <f>VLOOKUP(A135,[4]Sheet1!$B:$D,3,FALSE)</f>
        <v>13535461.699999999</v>
      </c>
      <c r="P135" s="320">
        <f t="shared" si="10"/>
        <v>0</v>
      </c>
      <c r="Q135" s="320">
        <f t="shared" si="11"/>
        <v>0</v>
      </c>
    </row>
    <row r="136" spans="1:17" x14ac:dyDescent="0.2">
      <c r="A136" s="310" t="s">
        <v>134</v>
      </c>
      <c r="B136" s="299">
        <v>8357281.8799999999</v>
      </c>
      <c r="C136" s="299">
        <v>0</v>
      </c>
      <c r="D136" s="295"/>
      <c r="E136" s="299">
        <v>0</v>
      </c>
      <c r="F136" s="299">
        <v>0</v>
      </c>
      <c r="G136" s="295"/>
      <c r="H136" s="300">
        <f t="shared" si="8"/>
        <v>8357281.8799999999</v>
      </c>
      <c r="I136" s="299">
        <f t="shared" si="9"/>
        <v>0</v>
      </c>
      <c r="M136" s="319">
        <f>VLOOKUP(A136,[4]Sheet1!$B:$D,2,FALSE)</f>
        <v>8357281.8799999999</v>
      </c>
      <c r="N136" s="319">
        <f>VLOOKUP(A136,[4]Sheet1!$B:$D,3,FALSE)</f>
        <v>0</v>
      </c>
      <c r="P136" s="320">
        <f t="shared" si="10"/>
        <v>0</v>
      </c>
      <c r="Q136" s="320">
        <f t="shared" si="11"/>
        <v>0</v>
      </c>
    </row>
    <row r="137" spans="1:17" x14ac:dyDescent="0.2">
      <c r="A137" s="310" t="s">
        <v>135</v>
      </c>
      <c r="B137" s="299">
        <v>1414657.14</v>
      </c>
      <c r="C137" s="299">
        <v>0</v>
      </c>
      <c r="D137" s="295"/>
      <c r="E137" s="299">
        <v>0</v>
      </c>
      <c r="F137" s="299">
        <v>0</v>
      </c>
      <c r="G137" s="295"/>
      <c r="H137" s="300">
        <f t="shared" si="8"/>
        <v>1414657.14</v>
      </c>
      <c r="I137" s="299">
        <f t="shared" si="9"/>
        <v>0</v>
      </c>
      <c r="M137" s="319">
        <f>VLOOKUP(A137,[4]Sheet1!$B:$D,2,FALSE)</f>
        <v>1414657.14</v>
      </c>
      <c r="N137" s="319">
        <f>VLOOKUP(A137,[4]Sheet1!$B:$D,3,FALSE)</f>
        <v>0</v>
      </c>
      <c r="P137" s="320">
        <f t="shared" si="10"/>
        <v>0</v>
      </c>
      <c r="Q137" s="320">
        <f t="shared" si="11"/>
        <v>0</v>
      </c>
    </row>
    <row r="138" spans="1:17" x14ac:dyDescent="0.2">
      <c r="A138" s="310" t="s">
        <v>136</v>
      </c>
      <c r="B138" s="299">
        <v>732194.3</v>
      </c>
      <c r="C138" s="299">
        <v>0</v>
      </c>
      <c r="D138" s="295"/>
      <c r="E138" s="299">
        <v>0</v>
      </c>
      <c r="F138" s="299">
        <v>0</v>
      </c>
      <c r="G138" s="295"/>
      <c r="H138" s="300">
        <f t="shared" si="8"/>
        <v>732194.3</v>
      </c>
      <c r="I138" s="299">
        <f t="shared" si="9"/>
        <v>0</v>
      </c>
      <c r="M138" s="319">
        <f>VLOOKUP(A138,[4]Sheet1!$B:$D,2,FALSE)</f>
        <v>732194.3</v>
      </c>
      <c r="N138" s="319">
        <f>VLOOKUP(A138,[4]Sheet1!$B:$D,3,FALSE)</f>
        <v>0</v>
      </c>
      <c r="P138" s="320">
        <f t="shared" si="10"/>
        <v>0</v>
      </c>
      <c r="Q138" s="320">
        <f t="shared" si="11"/>
        <v>0</v>
      </c>
    </row>
    <row r="139" spans="1:17" x14ac:dyDescent="0.2">
      <c r="A139" s="310" t="s">
        <v>137</v>
      </c>
      <c r="B139" s="299">
        <v>780451.89</v>
      </c>
      <c r="C139" s="299">
        <v>0</v>
      </c>
      <c r="D139" s="295"/>
      <c r="E139" s="299">
        <v>0</v>
      </c>
      <c r="F139" s="299">
        <v>0</v>
      </c>
      <c r="G139" s="295"/>
      <c r="H139" s="300">
        <f t="shared" si="8"/>
        <v>780451.89</v>
      </c>
      <c r="I139" s="299">
        <f t="shared" si="9"/>
        <v>0</v>
      </c>
      <c r="M139" s="319">
        <f>VLOOKUP(A139,[4]Sheet1!$B:$D,2,FALSE)</f>
        <v>780451.89</v>
      </c>
      <c r="N139" s="319">
        <f>VLOOKUP(A139,[4]Sheet1!$B:$D,3,FALSE)</f>
        <v>0</v>
      </c>
      <c r="P139" s="320">
        <f t="shared" si="10"/>
        <v>0</v>
      </c>
      <c r="Q139" s="320">
        <f t="shared" si="11"/>
        <v>0</v>
      </c>
    </row>
    <row r="140" spans="1:17" x14ac:dyDescent="0.2">
      <c r="A140" s="310" t="s">
        <v>138</v>
      </c>
      <c r="B140" s="299">
        <v>0</v>
      </c>
      <c r="C140" s="299">
        <v>10143616.85</v>
      </c>
      <c r="D140" s="295"/>
      <c r="E140" s="299">
        <v>0</v>
      </c>
      <c r="F140" s="299">
        <v>0</v>
      </c>
      <c r="G140" s="295"/>
      <c r="H140" s="299">
        <f t="shared" si="8"/>
        <v>0</v>
      </c>
      <c r="I140" s="300">
        <f t="shared" si="9"/>
        <v>10143616.85</v>
      </c>
      <c r="M140" s="319">
        <f>VLOOKUP(A140,[4]Sheet1!$B:$D,2,FALSE)</f>
        <v>0</v>
      </c>
      <c r="N140" s="319">
        <f>VLOOKUP(A140,[4]Sheet1!$B:$D,3,FALSE)</f>
        <v>10143616.85</v>
      </c>
      <c r="P140" s="320">
        <f t="shared" si="10"/>
        <v>0</v>
      </c>
      <c r="Q140" s="320">
        <f t="shared" si="11"/>
        <v>0</v>
      </c>
    </row>
    <row r="141" spans="1:17" x14ac:dyDescent="0.2">
      <c r="A141" s="310" t="s">
        <v>672</v>
      </c>
      <c r="B141" s="299">
        <v>578449</v>
      </c>
      <c r="C141" s="299">
        <v>0</v>
      </c>
      <c r="D141" s="295"/>
      <c r="E141" s="299">
        <v>4588451.6399999997</v>
      </c>
      <c r="F141" s="299">
        <v>0</v>
      </c>
      <c r="G141" s="295"/>
      <c r="H141" s="300">
        <f>B141+E141</f>
        <v>5166900.6399999997</v>
      </c>
      <c r="I141" s="299">
        <f t="shared" si="9"/>
        <v>0</v>
      </c>
      <c r="M141" s="319">
        <f>VLOOKUP(A141,[4]Sheet1!$B:$D,2,FALSE)</f>
        <v>5166900.6399999997</v>
      </c>
      <c r="N141" s="319">
        <f>VLOOKUP(A141,[4]Sheet1!$B:$D,3,FALSE)</f>
        <v>0</v>
      </c>
      <c r="P141" s="320">
        <f t="shared" si="10"/>
        <v>0</v>
      </c>
      <c r="Q141" s="320">
        <f t="shared" si="11"/>
        <v>0</v>
      </c>
    </row>
    <row r="142" spans="1:17" x14ac:dyDescent="0.2">
      <c r="A142" s="310" t="s">
        <v>139</v>
      </c>
      <c r="B142" s="299">
        <v>3503759.18</v>
      </c>
      <c r="C142" s="299">
        <v>0</v>
      </c>
      <c r="D142" s="295"/>
      <c r="E142" s="299">
        <v>0</v>
      </c>
      <c r="F142" s="299">
        <v>0</v>
      </c>
      <c r="G142" s="295"/>
      <c r="H142" s="300">
        <f t="shared" si="8"/>
        <v>3503759.18</v>
      </c>
      <c r="I142" s="299">
        <f t="shared" si="9"/>
        <v>0</v>
      </c>
      <c r="M142" s="319">
        <f>VLOOKUP(A142,[4]Sheet1!$B:$D,2,FALSE)</f>
        <v>3503759.18</v>
      </c>
      <c r="N142" s="319">
        <f>VLOOKUP(A142,[4]Sheet1!$B:$D,3,FALSE)</f>
        <v>0</v>
      </c>
      <c r="P142" s="320">
        <f t="shared" si="10"/>
        <v>0</v>
      </c>
      <c r="Q142" s="320">
        <f t="shared" si="11"/>
        <v>0</v>
      </c>
    </row>
    <row r="143" spans="1:17" x14ac:dyDescent="0.2">
      <c r="A143" s="310" t="s">
        <v>140</v>
      </c>
      <c r="B143" s="299">
        <v>0</v>
      </c>
      <c r="C143" s="299">
        <v>1796864.65</v>
      </c>
      <c r="D143" s="295"/>
      <c r="E143" s="299">
        <v>0</v>
      </c>
      <c r="F143" s="299">
        <v>0</v>
      </c>
      <c r="G143" s="295"/>
      <c r="H143" s="299">
        <f t="shared" si="8"/>
        <v>0</v>
      </c>
      <c r="I143" s="300">
        <f t="shared" si="9"/>
        <v>1796864.65</v>
      </c>
      <c r="M143" s="319">
        <f>VLOOKUP(A143,[4]Sheet1!$B:$D,2,FALSE)</f>
        <v>0</v>
      </c>
      <c r="N143" s="319">
        <f>VLOOKUP(A143,[4]Sheet1!$B:$D,3,FALSE)</f>
        <v>1796864.65</v>
      </c>
      <c r="P143" s="320">
        <f t="shared" si="10"/>
        <v>0</v>
      </c>
      <c r="Q143" s="320">
        <f t="shared" si="11"/>
        <v>0</v>
      </c>
    </row>
    <row r="144" spans="1:17" x14ac:dyDescent="0.2">
      <c r="A144" s="310" t="s">
        <v>358</v>
      </c>
      <c r="B144" s="299">
        <v>17610</v>
      </c>
      <c r="C144" s="299">
        <v>0</v>
      </c>
      <c r="D144" s="295"/>
      <c r="E144" s="299">
        <v>0</v>
      </c>
      <c r="F144" s="299">
        <v>0</v>
      </c>
      <c r="G144" s="295"/>
      <c r="H144" s="300">
        <f t="shared" si="8"/>
        <v>17610</v>
      </c>
      <c r="I144" s="299">
        <f t="shared" si="9"/>
        <v>0</v>
      </c>
      <c r="M144" s="319">
        <f>VLOOKUP(A144,[4]Sheet1!$B:$D,2,FALSE)</f>
        <v>17610</v>
      </c>
      <c r="N144" s="319">
        <f>VLOOKUP(A144,[4]Sheet1!$B:$D,3,FALSE)</f>
        <v>0</v>
      </c>
      <c r="P144" s="320">
        <f t="shared" si="10"/>
        <v>0</v>
      </c>
      <c r="Q144" s="320">
        <f t="shared" si="11"/>
        <v>0</v>
      </c>
    </row>
    <row r="145" spans="1:17" x14ac:dyDescent="0.2">
      <c r="A145" s="310" t="s">
        <v>141</v>
      </c>
      <c r="B145" s="299">
        <v>3762864.45</v>
      </c>
      <c r="C145" s="299">
        <v>0</v>
      </c>
      <c r="D145" s="295"/>
      <c r="E145" s="299">
        <v>0</v>
      </c>
      <c r="F145" s="299">
        <v>0</v>
      </c>
      <c r="G145" s="295"/>
      <c r="H145" s="300">
        <f t="shared" si="8"/>
        <v>3762864.45</v>
      </c>
      <c r="I145" s="299">
        <f t="shared" si="9"/>
        <v>0</v>
      </c>
      <c r="M145" s="319">
        <f>VLOOKUP(A145,[4]Sheet1!$B:$D,2,FALSE)</f>
        <v>3762864.45</v>
      </c>
      <c r="N145" s="319">
        <f>VLOOKUP(A145,[4]Sheet1!$B:$D,3,FALSE)</f>
        <v>0</v>
      </c>
      <c r="P145" s="320">
        <f t="shared" si="10"/>
        <v>0</v>
      </c>
      <c r="Q145" s="320">
        <f t="shared" si="11"/>
        <v>0</v>
      </c>
    </row>
    <row r="146" spans="1:17" x14ac:dyDescent="0.2">
      <c r="A146" s="310" t="s">
        <v>142</v>
      </c>
      <c r="B146" s="299">
        <v>0</v>
      </c>
      <c r="C146" s="299">
        <v>2302521.27</v>
      </c>
      <c r="D146" s="295"/>
      <c r="E146" s="299">
        <v>0</v>
      </c>
      <c r="F146" s="299">
        <v>0</v>
      </c>
      <c r="G146" s="295"/>
      <c r="H146" s="299">
        <f t="shared" si="8"/>
        <v>0</v>
      </c>
      <c r="I146" s="300">
        <f t="shared" si="9"/>
        <v>2302521.27</v>
      </c>
      <c r="M146" s="319">
        <f>VLOOKUP(A146,[4]Sheet1!$B:$D,2,FALSE)</f>
        <v>0</v>
      </c>
      <c r="N146" s="319">
        <f>VLOOKUP(A146,[4]Sheet1!$B:$D,3,FALSE)</f>
        <v>2302521.27</v>
      </c>
      <c r="P146" s="320">
        <f t="shared" si="10"/>
        <v>0</v>
      </c>
      <c r="Q146" s="320">
        <f t="shared" si="11"/>
        <v>0</v>
      </c>
    </row>
    <row r="147" spans="1:17" x14ac:dyDescent="0.2">
      <c r="A147" s="310" t="s">
        <v>143</v>
      </c>
      <c r="B147" s="299">
        <v>6968568.1600000001</v>
      </c>
      <c r="C147" s="299">
        <v>0</v>
      </c>
      <c r="D147" s="295"/>
      <c r="E147" s="299">
        <v>0</v>
      </c>
      <c r="F147" s="299">
        <v>0</v>
      </c>
      <c r="G147" s="295"/>
      <c r="H147" s="300">
        <f t="shared" si="8"/>
        <v>6968568.1600000001</v>
      </c>
      <c r="I147" s="299">
        <f t="shared" si="9"/>
        <v>0</v>
      </c>
      <c r="M147" s="319">
        <f>VLOOKUP(A147,[4]Sheet1!$B:$D,2,FALSE)</f>
        <v>6968568.1600000001</v>
      </c>
      <c r="N147" s="319">
        <f>VLOOKUP(A147,[4]Sheet1!$B:$D,3,FALSE)</f>
        <v>0</v>
      </c>
      <c r="P147" s="320">
        <f t="shared" si="10"/>
        <v>0</v>
      </c>
      <c r="Q147" s="320">
        <f t="shared" si="11"/>
        <v>0</v>
      </c>
    </row>
    <row r="148" spans="1:17" x14ac:dyDescent="0.2">
      <c r="A148" s="310" t="s">
        <v>144</v>
      </c>
      <c r="B148" s="299">
        <v>1245339.33</v>
      </c>
      <c r="C148" s="299">
        <v>0</v>
      </c>
      <c r="D148" s="295"/>
      <c r="E148" s="299">
        <v>0</v>
      </c>
      <c r="F148" s="299">
        <v>0</v>
      </c>
      <c r="G148" s="295"/>
      <c r="H148" s="300">
        <f t="shared" si="8"/>
        <v>1245339.33</v>
      </c>
      <c r="I148" s="299">
        <f t="shared" si="9"/>
        <v>0</v>
      </c>
      <c r="M148" s="319">
        <f>VLOOKUP(A148,[4]Sheet1!$B:$D,2,FALSE)</f>
        <v>1245339.33</v>
      </c>
      <c r="N148" s="319">
        <f>VLOOKUP(A148,[4]Sheet1!$B:$D,3,FALSE)</f>
        <v>0</v>
      </c>
      <c r="P148" s="320">
        <f t="shared" si="10"/>
        <v>0</v>
      </c>
      <c r="Q148" s="320">
        <f t="shared" si="11"/>
        <v>0</v>
      </c>
    </row>
    <row r="149" spans="1:17" x14ac:dyDescent="0.2">
      <c r="A149" s="310" t="s">
        <v>283</v>
      </c>
      <c r="B149" s="299">
        <v>762532.92</v>
      </c>
      <c r="C149" s="299">
        <v>0</v>
      </c>
      <c r="D149" s="295"/>
      <c r="E149" s="299">
        <v>0</v>
      </c>
      <c r="F149" s="299">
        <v>0</v>
      </c>
      <c r="G149" s="295"/>
      <c r="H149" s="300">
        <f t="shared" si="8"/>
        <v>762532.92</v>
      </c>
      <c r="I149" s="299">
        <f t="shared" si="9"/>
        <v>0</v>
      </c>
      <c r="M149" s="319">
        <f>VLOOKUP(A149,[4]Sheet1!$B:$D,2,FALSE)</f>
        <v>762532.92</v>
      </c>
      <c r="N149" s="319">
        <f>VLOOKUP(A149,[4]Sheet1!$B:$D,3,FALSE)</f>
        <v>0</v>
      </c>
      <c r="P149" s="320">
        <f t="shared" si="10"/>
        <v>0</v>
      </c>
      <c r="Q149" s="320">
        <f t="shared" si="11"/>
        <v>0</v>
      </c>
    </row>
    <row r="150" spans="1:17" x14ac:dyDescent="0.2">
      <c r="A150" s="310" t="s">
        <v>145</v>
      </c>
      <c r="B150" s="299">
        <v>0</v>
      </c>
      <c r="C150" s="299">
        <v>6924817.9000000004</v>
      </c>
      <c r="D150" s="295"/>
      <c r="E150" s="299">
        <v>0</v>
      </c>
      <c r="F150" s="299">
        <v>0</v>
      </c>
      <c r="G150" s="295"/>
      <c r="H150" s="299">
        <f t="shared" si="8"/>
        <v>0</v>
      </c>
      <c r="I150" s="300">
        <f t="shared" si="9"/>
        <v>6924817.9000000004</v>
      </c>
      <c r="M150" s="319">
        <f>VLOOKUP(A150,[4]Sheet1!$B:$D,2,FALSE)</f>
        <v>0</v>
      </c>
      <c r="N150" s="319">
        <f>VLOOKUP(A150,[4]Sheet1!$B:$D,3,FALSE)</f>
        <v>6924817.9000000004</v>
      </c>
      <c r="P150" s="320">
        <f t="shared" si="10"/>
        <v>0</v>
      </c>
      <c r="Q150" s="320">
        <f t="shared" si="11"/>
        <v>0</v>
      </c>
    </row>
    <row r="151" spans="1:17" x14ac:dyDescent="0.2">
      <c r="A151" s="310" t="s">
        <v>284</v>
      </c>
      <c r="B151" s="299">
        <v>3643695.18</v>
      </c>
      <c r="C151" s="299">
        <v>0</v>
      </c>
      <c r="D151" s="295"/>
      <c r="E151" s="299">
        <v>0</v>
      </c>
      <c r="F151" s="299">
        <v>0</v>
      </c>
      <c r="G151" s="295"/>
      <c r="H151" s="300">
        <f t="shared" si="8"/>
        <v>3643695.18</v>
      </c>
      <c r="I151" s="299">
        <f t="shared" si="9"/>
        <v>0</v>
      </c>
      <c r="M151" s="319">
        <f>VLOOKUP(A151,[4]Sheet1!$B:$D,2,FALSE)</f>
        <v>3643695.18</v>
      </c>
      <c r="N151" s="319">
        <f>VLOOKUP(A151,[4]Sheet1!$B:$D,3,FALSE)</f>
        <v>0</v>
      </c>
      <c r="P151" s="320">
        <f t="shared" si="10"/>
        <v>0</v>
      </c>
      <c r="Q151" s="320">
        <f t="shared" si="11"/>
        <v>0</v>
      </c>
    </row>
    <row r="152" spans="1:17" x14ac:dyDescent="0.2">
      <c r="A152" s="310" t="s">
        <v>359</v>
      </c>
      <c r="B152" s="299">
        <v>88872.5</v>
      </c>
      <c r="C152" s="299">
        <v>0</v>
      </c>
      <c r="D152" s="295"/>
      <c r="E152" s="299">
        <v>0</v>
      </c>
      <c r="F152" s="299">
        <v>0</v>
      </c>
      <c r="G152" s="295"/>
      <c r="H152" s="300">
        <f t="shared" si="8"/>
        <v>88872.5</v>
      </c>
      <c r="I152" s="299">
        <f t="shared" si="9"/>
        <v>0</v>
      </c>
      <c r="M152" s="319">
        <f>VLOOKUP(A152,[4]Sheet1!$B:$D,2,FALSE)</f>
        <v>88872.5</v>
      </c>
      <c r="N152" s="319">
        <f>VLOOKUP(A152,[4]Sheet1!$B:$D,3,FALSE)</f>
        <v>0</v>
      </c>
      <c r="P152" s="320">
        <f t="shared" si="10"/>
        <v>0</v>
      </c>
      <c r="Q152" s="320">
        <f t="shared" si="11"/>
        <v>0</v>
      </c>
    </row>
    <row r="153" spans="1:17" x14ac:dyDescent="0.2">
      <c r="A153" s="310" t="s">
        <v>285</v>
      </c>
      <c r="B153" s="299">
        <v>0</v>
      </c>
      <c r="C153" s="299">
        <v>2097787.63</v>
      </c>
      <c r="D153" s="295"/>
      <c r="E153" s="299">
        <v>0</v>
      </c>
      <c r="F153" s="299">
        <v>0</v>
      </c>
      <c r="G153" s="295"/>
      <c r="H153" s="299">
        <f t="shared" si="8"/>
        <v>0</v>
      </c>
      <c r="I153" s="300">
        <f t="shared" si="9"/>
        <v>2097787.63</v>
      </c>
      <c r="M153" s="319">
        <f>VLOOKUP(A153,[4]Sheet1!$B:$D,2,FALSE)</f>
        <v>0</v>
      </c>
      <c r="N153" s="319">
        <f>VLOOKUP(A153,[4]Sheet1!$B:$D,3,FALSE)</f>
        <v>2097787.63</v>
      </c>
      <c r="P153" s="320">
        <f t="shared" si="10"/>
        <v>0</v>
      </c>
      <c r="Q153" s="320">
        <f t="shared" si="11"/>
        <v>0</v>
      </c>
    </row>
    <row r="154" spans="1:17" x14ac:dyDescent="0.2">
      <c r="A154" s="310" t="s">
        <v>286</v>
      </c>
      <c r="B154" s="299">
        <v>10491381.93</v>
      </c>
      <c r="C154" s="299">
        <v>0</v>
      </c>
      <c r="D154" s="295"/>
      <c r="E154" s="299">
        <v>0</v>
      </c>
      <c r="F154" s="299">
        <v>0</v>
      </c>
      <c r="G154" s="295"/>
      <c r="H154" s="300">
        <f t="shared" si="8"/>
        <v>10491381.93</v>
      </c>
      <c r="I154" s="299">
        <f t="shared" si="9"/>
        <v>0</v>
      </c>
      <c r="M154" s="319">
        <f>VLOOKUP(A154,[4]Sheet1!$B:$D,2,FALSE)</f>
        <v>10491381.93</v>
      </c>
      <c r="N154" s="319">
        <f>VLOOKUP(A154,[4]Sheet1!$B:$D,3,FALSE)</f>
        <v>0</v>
      </c>
      <c r="P154" s="320">
        <f t="shared" si="10"/>
        <v>0</v>
      </c>
      <c r="Q154" s="320">
        <f t="shared" si="11"/>
        <v>0</v>
      </c>
    </row>
    <row r="155" spans="1:17" x14ac:dyDescent="0.2">
      <c r="A155" s="310" t="s">
        <v>287</v>
      </c>
      <c r="B155" s="299">
        <v>159575</v>
      </c>
      <c r="C155" s="299">
        <v>0</v>
      </c>
      <c r="D155" s="295"/>
      <c r="E155" s="299">
        <v>0</v>
      </c>
      <c r="F155" s="299">
        <v>0</v>
      </c>
      <c r="G155" s="295"/>
      <c r="H155" s="300">
        <f t="shared" si="8"/>
        <v>159575</v>
      </c>
      <c r="I155" s="299">
        <f t="shared" si="9"/>
        <v>0</v>
      </c>
      <c r="M155" s="319">
        <f>VLOOKUP(A155,[4]Sheet1!$B:$D,2,FALSE)</f>
        <v>159575</v>
      </c>
      <c r="N155" s="319">
        <f>VLOOKUP(A155,[4]Sheet1!$B:$D,3,FALSE)</f>
        <v>0</v>
      </c>
      <c r="P155" s="320">
        <f t="shared" si="10"/>
        <v>0</v>
      </c>
      <c r="Q155" s="320">
        <f t="shared" si="11"/>
        <v>0</v>
      </c>
    </row>
    <row r="156" spans="1:17" x14ac:dyDescent="0.2">
      <c r="A156" s="310" t="s">
        <v>288</v>
      </c>
      <c r="B156" s="299">
        <v>0</v>
      </c>
      <c r="C156" s="299">
        <v>6742559.6399999997</v>
      </c>
      <c r="D156" s="295"/>
      <c r="E156" s="299">
        <v>0</v>
      </c>
      <c r="F156" s="299">
        <v>0</v>
      </c>
      <c r="G156" s="295"/>
      <c r="H156" s="299">
        <f t="shared" si="8"/>
        <v>0</v>
      </c>
      <c r="I156" s="300">
        <f t="shared" si="9"/>
        <v>6742559.6399999997</v>
      </c>
      <c r="M156" s="319">
        <f>VLOOKUP(A156,[4]Sheet1!$B:$D,2,FALSE)</f>
        <v>0</v>
      </c>
      <c r="N156" s="319">
        <f>VLOOKUP(A156,[4]Sheet1!$B:$D,3,FALSE)</f>
        <v>6742559.6399999997</v>
      </c>
      <c r="P156" s="320">
        <f t="shared" si="10"/>
        <v>0</v>
      </c>
      <c r="Q156" s="320">
        <f t="shared" si="11"/>
        <v>0</v>
      </c>
    </row>
    <row r="157" spans="1:17" x14ac:dyDescent="0.2">
      <c r="A157" s="310" t="s">
        <v>360</v>
      </c>
      <c r="B157" s="299">
        <v>233100</v>
      </c>
      <c r="C157" s="299">
        <v>0</v>
      </c>
      <c r="D157" s="295"/>
      <c r="E157" s="299">
        <v>0</v>
      </c>
      <c r="F157" s="299">
        <v>0</v>
      </c>
      <c r="G157" s="295"/>
      <c r="H157" s="300">
        <f t="shared" si="8"/>
        <v>233100</v>
      </c>
      <c r="I157" s="299">
        <f t="shared" si="9"/>
        <v>0</v>
      </c>
      <c r="M157" s="319">
        <f>VLOOKUP(A157,[4]Sheet1!$B:$D,2,FALSE)</f>
        <v>233100</v>
      </c>
      <c r="N157" s="319">
        <f>VLOOKUP(A157,[4]Sheet1!$B:$D,3,FALSE)</f>
        <v>0</v>
      </c>
      <c r="P157" s="320">
        <f t="shared" si="10"/>
        <v>0</v>
      </c>
      <c r="Q157" s="320">
        <f t="shared" si="11"/>
        <v>0</v>
      </c>
    </row>
    <row r="158" spans="1:17" x14ac:dyDescent="0.2">
      <c r="A158" s="310" t="s">
        <v>361</v>
      </c>
      <c r="B158" s="299">
        <v>774735</v>
      </c>
      <c r="C158" s="299">
        <v>0</v>
      </c>
      <c r="D158" s="295"/>
      <c r="E158" s="299">
        <v>0</v>
      </c>
      <c r="F158" s="299">
        <v>0</v>
      </c>
      <c r="G158" s="295"/>
      <c r="H158" s="300">
        <f t="shared" si="8"/>
        <v>774735</v>
      </c>
      <c r="I158" s="299">
        <f t="shared" si="9"/>
        <v>0</v>
      </c>
      <c r="M158" s="319">
        <f>VLOOKUP(A158,[4]Sheet1!$B:$D,2,FALSE)</f>
        <v>774735</v>
      </c>
      <c r="N158" s="319">
        <f>VLOOKUP(A158,[4]Sheet1!$B:$D,3,FALSE)</f>
        <v>0</v>
      </c>
      <c r="P158" s="320">
        <f t="shared" si="10"/>
        <v>0</v>
      </c>
      <c r="Q158" s="320">
        <f t="shared" si="11"/>
        <v>0</v>
      </c>
    </row>
    <row r="159" spans="1:17" x14ac:dyDescent="0.2">
      <c r="A159" s="310" t="s">
        <v>362</v>
      </c>
      <c r="B159" s="299">
        <v>0</v>
      </c>
      <c r="C159" s="299">
        <v>0</v>
      </c>
      <c r="D159" s="295"/>
      <c r="E159" s="299">
        <v>0</v>
      </c>
      <c r="F159" s="299">
        <v>0</v>
      </c>
      <c r="G159" s="295"/>
      <c r="H159" s="299">
        <f t="shared" si="8"/>
        <v>0</v>
      </c>
      <c r="I159" s="299">
        <f t="shared" si="9"/>
        <v>0</v>
      </c>
      <c r="M159" s="319">
        <f>VLOOKUP(A159,[4]Sheet1!$B:$D,2,FALSE)</f>
        <v>0</v>
      </c>
      <c r="N159" s="319">
        <f>VLOOKUP(A159,[4]Sheet1!$B:$D,3,FALSE)</f>
        <v>0</v>
      </c>
      <c r="P159" s="320">
        <f t="shared" si="10"/>
        <v>0</v>
      </c>
      <c r="Q159" s="320">
        <f t="shared" si="11"/>
        <v>0</v>
      </c>
    </row>
    <row r="160" spans="1:17" x14ac:dyDescent="0.2">
      <c r="A160" s="310" t="s">
        <v>363</v>
      </c>
      <c r="B160" s="299">
        <v>5709278.1699999999</v>
      </c>
      <c r="C160" s="299">
        <v>0</v>
      </c>
      <c r="D160" s="295"/>
      <c r="E160" s="299">
        <v>0</v>
      </c>
      <c r="F160" s="299">
        <v>0</v>
      </c>
      <c r="G160" s="295"/>
      <c r="H160" s="300">
        <f t="shared" si="8"/>
        <v>5709278.1699999999</v>
      </c>
      <c r="I160" s="299">
        <f t="shared" si="9"/>
        <v>0</v>
      </c>
      <c r="M160" s="319">
        <f>VLOOKUP(A160,[4]Sheet1!$B:$D,2,FALSE)</f>
        <v>5709278.1699999999</v>
      </c>
      <c r="N160" s="319">
        <f>VLOOKUP(A160,[4]Sheet1!$B:$D,3,FALSE)</f>
        <v>0</v>
      </c>
      <c r="P160" s="320">
        <f t="shared" si="10"/>
        <v>0</v>
      </c>
      <c r="Q160" s="320">
        <f t="shared" si="11"/>
        <v>0</v>
      </c>
    </row>
    <row r="161" spans="1:17" x14ac:dyDescent="0.2">
      <c r="A161" s="310" t="s">
        <v>364</v>
      </c>
      <c r="B161" s="299">
        <v>1324113.5900000001</v>
      </c>
      <c r="C161" s="299">
        <v>0</v>
      </c>
      <c r="D161" s="295"/>
      <c r="E161" s="299">
        <v>0</v>
      </c>
      <c r="F161" s="299">
        <v>0</v>
      </c>
      <c r="G161" s="295"/>
      <c r="H161" s="300">
        <f t="shared" si="8"/>
        <v>1324113.5900000001</v>
      </c>
      <c r="I161" s="299">
        <f t="shared" si="9"/>
        <v>0</v>
      </c>
      <c r="M161" s="319">
        <f>VLOOKUP(A161,[4]Sheet1!$B:$D,2,FALSE)</f>
        <v>1324113.5900000001</v>
      </c>
      <c r="N161" s="319">
        <f>VLOOKUP(A161,[4]Sheet1!$B:$D,3,FALSE)</f>
        <v>0</v>
      </c>
      <c r="P161" s="320">
        <f t="shared" si="10"/>
        <v>0</v>
      </c>
      <c r="Q161" s="320">
        <f t="shared" si="11"/>
        <v>0</v>
      </c>
    </row>
    <row r="162" spans="1:17" x14ac:dyDescent="0.2">
      <c r="A162" s="310" t="s">
        <v>365</v>
      </c>
      <c r="B162" s="299">
        <v>706531.5</v>
      </c>
      <c r="C162" s="299">
        <v>0</v>
      </c>
      <c r="D162" s="295"/>
      <c r="E162" s="299">
        <v>0</v>
      </c>
      <c r="F162" s="299">
        <v>0</v>
      </c>
      <c r="G162" s="295"/>
      <c r="H162" s="300">
        <f t="shared" si="8"/>
        <v>706531.5</v>
      </c>
      <c r="I162" s="299">
        <f t="shared" si="9"/>
        <v>0</v>
      </c>
      <c r="M162" s="319">
        <f>VLOOKUP(A162,[4]Sheet1!$B:$D,2,FALSE)</f>
        <v>706531.5</v>
      </c>
      <c r="N162" s="319">
        <f>VLOOKUP(A162,[4]Sheet1!$B:$D,3,FALSE)</f>
        <v>0</v>
      </c>
      <c r="P162" s="320">
        <f t="shared" si="10"/>
        <v>0</v>
      </c>
      <c r="Q162" s="320">
        <f t="shared" si="11"/>
        <v>0</v>
      </c>
    </row>
    <row r="163" spans="1:17" x14ac:dyDescent="0.2">
      <c r="A163" s="310" t="s">
        <v>537</v>
      </c>
      <c r="B163" s="299">
        <v>2389341</v>
      </c>
      <c r="C163" s="299">
        <v>0</v>
      </c>
      <c r="D163" s="295"/>
      <c r="E163" s="299">
        <v>0</v>
      </c>
      <c r="F163" s="299">
        <v>0</v>
      </c>
      <c r="G163" s="295"/>
      <c r="H163" s="300">
        <f t="shared" si="8"/>
        <v>2389341</v>
      </c>
      <c r="I163" s="299">
        <f t="shared" si="9"/>
        <v>0</v>
      </c>
      <c r="M163" s="319">
        <f>VLOOKUP(A163,[4]Sheet1!$B:$D,2,FALSE)</f>
        <v>2389341</v>
      </c>
      <c r="N163" s="319">
        <f>VLOOKUP(A163,[4]Sheet1!$B:$D,3,FALSE)</f>
        <v>0</v>
      </c>
      <c r="P163" s="320">
        <f t="shared" si="10"/>
        <v>0</v>
      </c>
      <c r="Q163" s="320">
        <f t="shared" si="11"/>
        <v>0</v>
      </c>
    </row>
    <row r="164" spans="1:17" x14ac:dyDescent="0.2">
      <c r="A164" s="310" t="s">
        <v>538</v>
      </c>
      <c r="B164" s="299">
        <v>726683</v>
      </c>
      <c r="C164" s="299">
        <v>0</v>
      </c>
      <c r="D164" s="295"/>
      <c r="E164" s="299">
        <v>0</v>
      </c>
      <c r="F164" s="299">
        <v>0</v>
      </c>
      <c r="G164" s="295"/>
      <c r="H164" s="300">
        <f>B164</f>
        <v>726683</v>
      </c>
      <c r="I164" s="299">
        <f t="shared" si="9"/>
        <v>0</v>
      </c>
      <c r="M164" s="319">
        <f>VLOOKUP(A164,[4]Sheet1!$B:$D,2,FALSE)</f>
        <v>726683</v>
      </c>
      <c r="N164" s="319">
        <f>VLOOKUP(A164,[4]Sheet1!$B:$D,3,FALSE)</f>
        <v>0</v>
      </c>
      <c r="P164" s="320">
        <f t="shared" si="10"/>
        <v>0</v>
      </c>
      <c r="Q164" s="320">
        <f t="shared" si="11"/>
        <v>0</v>
      </c>
    </row>
    <row r="165" spans="1:17" x14ac:dyDescent="0.2">
      <c r="A165" s="310" t="s">
        <v>539</v>
      </c>
      <c r="B165" s="299">
        <v>1749730.19</v>
      </c>
      <c r="C165" s="299">
        <v>0</v>
      </c>
      <c r="D165" s="295"/>
      <c r="E165" s="299">
        <v>0</v>
      </c>
      <c r="F165" s="299">
        <v>0</v>
      </c>
      <c r="G165" s="295"/>
      <c r="H165" s="300">
        <f t="shared" si="8"/>
        <v>1749730.19</v>
      </c>
      <c r="I165" s="299">
        <f t="shared" si="9"/>
        <v>0</v>
      </c>
      <c r="M165" s="319">
        <f>VLOOKUP(A165,[4]Sheet1!$B:$D,2,FALSE)</f>
        <v>1749730.19</v>
      </c>
      <c r="N165" s="319">
        <f>VLOOKUP(A165,[4]Sheet1!$B:$D,3,FALSE)</f>
        <v>0</v>
      </c>
      <c r="P165" s="320">
        <f t="shared" si="10"/>
        <v>0</v>
      </c>
      <c r="Q165" s="320">
        <f t="shared" si="11"/>
        <v>0</v>
      </c>
    </row>
    <row r="166" spans="1:17" x14ac:dyDescent="0.2">
      <c r="A166" s="310" t="s">
        <v>366</v>
      </c>
      <c r="B166" s="299">
        <v>0</v>
      </c>
      <c r="C166" s="299">
        <v>0</v>
      </c>
      <c r="D166" s="295"/>
      <c r="E166" s="299">
        <v>0</v>
      </c>
      <c r="F166" s="299">
        <v>0</v>
      </c>
      <c r="G166" s="295"/>
      <c r="H166" s="299">
        <f t="shared" si="8"/>
        <v>0</v>
      </c>
      <c r="I166" s="299">
        <f t="shared" si="9"/>
        <v>0</v>
      </c>
      <c r="M166" s="319">
        <f>VLOOKUP(A166,[4]Sheet1!$B:$D,2,FALSE)</f>
        <v>0</v>
      </c>
      <c r="N166" s="319">
        <f>VLOOKUP(A166,[4]Sheet1!$B:$D,3,FALSE)</f>
        <v>0</v>
      </c>
      <c r="P166" s="320">
        <f t="shared" si="10"/>
        <v>0</v>
      </c>
      <c r="Q166" s="320">
        <f t="shared" si="11"/>
        <v>0</v>
      </c>
    </row>
    <row r="167" spans="1:17" x14ac:dyDescent="0.2">
      <c r="A167" s="310" t="s">
        <v>146</v>
      </c>
      <c r="B167" s="299">
        <v>2000000</v>
      </c>
      <c r="C167" s="299">
        <v>0</v>
      </c>
      <c r="D167" s="295"/>
      <c r="E167" s="299">
        <v>0</v>
      </c>
      <c r="F167" s="299">
        <v>0</v>
      </c>
      <c r="G167" s="295"/>
      <c r="H167" s="300">
        <f t="shared" si="8"/>
        <v>2000000</v>
      </c>
      <c r="I167" s="299">
        <f t="shared" si="9"/>
        <v>0</v>
      </c>
      <c r="M167" s="319">
        <f>VLOOKUP(A167,[4]Sheet1!$B:$D,2,FALSE)</f>
        <v>2000000</v>
      </c>
      <c r="N167" s="319">
        <f>VLOOKUP(A167,[4]Sheet1!$B:$D,3,FALSE)</f>
        <v>0</v>
      </c>
      <c r="P167" s="320">
        <f t="shared" si="10"/>
        <v>0</v>
      </c>
      <c r="Q167" s="320">
        <f t="shared" si="11"/>
        <v>0</v>
      </c>
    </row>
    <row r="168" spans="1:17" x14ac:dyDescent="0.2">
      <c r="A168" s="310" t="s">
        <v>772</v>
      </c>
      <c r="B168" s="299">
        <v>0</v>
      </c>
      <c r="C168" s="299">
        <v>2000000</v>
      </c>
      <c r="D168" s="295"/>
      <c r="E168" s="299">
        <v>0</v>
      </c>
      <c r="F168" s="299">
        <v>0</v>
      </c>
      <c r="G168" s="295"/>
      <c r="H168" s="305">
        <f>B168</f>
        <v>0</v>
      </c>
      <c r="I168" s="300">
        <f>C168</f>
        <v>2000000</v>
      </c>
      <c r="M168" s="319">
        <f>VLOOKUP(A168,[4]Sheet1!$B:$D,2,FALSE)</f>
        <v>0</v>
      </c>
      <c r="N168" s="319">
        <f>VLOOKUP(A168,[4]Sheet1!$B:$D,3,FALSE)</f>
        <v>2000000</v>
      </c>
      <c r="P168" s="320">
        <f t="shared" si="10"/>
        <v>0</v>
      </c>
      <c r="Q168" s="320">
        <f t="shared" si="11"/>
        <v>0</v>
      </c>
    </row>
    <row r="169" spans="1:17" x14ac:dyDescent="0.2">
      <c r="A169" s="310" t="s">
        <v>147</v>
      </c>
      <c r="B169" s="299">
        <v>0</v>
      </c>
      <c r="C169" s="299">
        <v>0</v>
      </c>
      <c r="D169" s="295"/>
      <c r="E169" s="299">
        <v>0</v>
      </c>
      <c r="F169" s="299">
        <v>0</v>
      </c>
      <c r="G169" s="295"/>
      <c r="H169" s="299">
        <f t="shared" si="8"/>
        <v>0</v>
      </c>
      <c r="I169" s="299">
        <f t="shared" si="9"/>
        <v>0</v>
      </c>
      <c r="M169" s="319">
        <f>VLOOKUP(A169,[4]Sheet1!$B:$D,2,FALSE)</f>
        <v>0</v>
      </c>
      <c r="N169" s="319">
        <f>VLOOKUP(A169,[4]Sheet1!$B:$D,3,FALSE)</f>
        <v>0</v>
      </c>
      <c r="P169" s="320">
        <f t="shared" si="10"/>
        <v>0</v>
      </c>
      <c r="Q169" s="320">
        <f t="shared" si="11"/>
        <v>0</v>
      </c>
    </row>
    <row r="170" spans="1:17" x14ac:dyDescent="0.2">
      <c r="A170" s="310" t="s">
        <v>148</v>
      </c>
      <c r="B170" s="299">
        <v>0</v>
      </c>
      <c r="C170" s="299">
        <v>42990353.740000002</v>
      </c>
      <c r="D170" s="295"/>
      <c r="E170" s="299">
        <v>959415</v>
      </c>
      <c r="F170" s="299">
        <v>0</v>
      </c>
      <c r="G170" s="295"/>
      <c r="H170" s="299">
        <f t="shared" si="8"/>
        <v>0</v>
      </c>
      <c r="I170" s="300">
        <f>C170-E170</f>
        <v>42030938.740000002</v>
      </c>
      <c r="M170" s="319">
        <f>VLOOKUP(A170,[4]Sheet1!$B:$D,2,FALSE)</f>
        <v>0</v>
      </c>
      <c r="N170" s="319">
        <f>VLOOKUP(A170,[4]Sheet1!$B:$D,3,FALSE)</f>
        <v>42990353.740000002</v>
      </c>
      <c r="P170" s="320">
        <f t="shared" si="10"/>
        <v>0</v>
      </c>
      <c r="Q170" s="320">
        <f t="shared" si="11"/>
        <v>-959415</v>
      </c>
    </row>
    <row r="171" spans="1:17" x14ac:dyDescent="0.2">
      <c r="A171" s="310" t="s">
        <v>673</v>
      </c>
      <c r="B171" s="299">
        <v>0</v>
      </c>
      <c r="C171" s="299">
        <v>29000</v>
      </c>
      <c r="D171" s="295"/>
      <c r="E171" s="299">
        <v>24384.9</v>
      </c>
      <c r="F171" s="299">
        <v>0</v>
      </c>
      <c r="G171" s="295"/>
      <c r="H171" s="299">
        <f t="shared" si="8"/>
        <v>0</v>
      </c>
      <c r="I171" s="300">
        <f>C171-E171</f>
        <v>4615.0999999999985</v>
      </c>
      <c r="M171" s="319">
        <f>VLOOKUP(A171,[4]Sheet1!$B:$D,2,FALSE)</f>
        <v>0</v>
      </c>
      <c r="N171" s="319">
        <f>VLOOKUP(A171,[4]Sheet1!$B:$D,3,FALSE)</f>
        <v>29000</v>
      </c>
      <c r="P171" s="320">
        <f t="shared" si="10"/>
        <v>0</v>
      </c>
      <c r="Q171" s="320">
        <f t="shared" si="11"/>
        <v>-24384.9</v>
      </c>
    </row>
    <row r="172" spans="1:17" x14ac:dyDescent="0.2">
      <c r="A172" s="310" t="s">
        <v>367</v>
      </c>
      <c r="B172" s="299">
        <v>0</v>
      </c>
      <c r="C172" s="299">
        <v>336099.34</v>
      </c>
      <c r="D172" s="295"/>
      <c r="E172" s="299">
        <v>0</v>
      </c>
      <c r="F172" s="299">
        <v>0</v>
      </c>
      <c r="G172" s="295"/>
      <c r="H172" s="299">
        <f t="shared" si="8"/>
        <v>0</v>
      </c>
      <c r="I172" s="300">
        <f t="shared" si="9"/>
        <v>336099.34</v>
      </c>
      <c r="M172" s="319">
        <f>VLOOKUP(A172,[4]Sheet1!$B:$D,2,FALSE)</f>
        <v>0</v>
      </c>
      <c r="N172" s="319">
        <f>VLOOKUP(A172,[4]Sheet1!$B:$D,3,FALSE)</f>
        <v>336099.34</v>
      </c>
      <c r="P172" s="320">
        <f t="shared" si="10"/>
        <v>0</v>
      </c>
      <c r="Q172" s="320">
        <f t="shared" si="11"/>
        <v>0</v>
      </c>
    </row>
    <row r="173" spans="1:17" x14ac:dyDescent="0.2">
      <c r="A173" s="310" t="s">
        <v>368</v>
      </c>
      <c r="B173" s="299">
        <v>0</v>
      </c>
      <c r="C173" s="299">
        <v>250652.26</v>
      </c>
      <c r="D173" s="295"/>
      <c r="E173" s="299">
        <v>0</v>
      </c>
      <c r="F173" s="299">
        <v>0</v>
      </c>
      <c r="G173" s="295"/>
      <c r="H173" s="299">
        <f t="shared" si="8"/>
        <v>0</v>
      </c>
      <c r="I173" s="300">
        <f t="shared" si="9"/>
        <v>250652.26</v>
      </c>
      <c r="M173" s="319">
        <f>VLOOKUP(A173,[4]Sheet1!$B:$D,2,FALSE)</f>
        <v>0</v>
      </c>
      <c r="N173" s="319">
        <f>VLOOKUP(A173,[4]Sheet1!$B:$D,3,FALSE)</f>
        <v>250652.26</v>
      </c>
      <c r="P173" s="320">
        <f t="shared" si="10"/>
        <v>0</v>
      </c>
      <c r="Q173" s="320">
        <f t="shared" si="11"/>
        <v>0</v>
      </c>
    </row>
    <row r="174" spans="1:17" x14ac:dyDescent="0.2">
      <c r="A174" s="312" t="s">
        <v>677</v>
      </c>
      <c r="B174" s="305">
        <v>0</v>
      </c>
      <c r="C174" s="305">
        <v>600160.6</v>
      </c>
      <c r="D174" s="305"/>
      <c r="E174" s="305">
        <v>0</v>
      </c>
      <c r="F174" s="305">
        <v>0</v>
      </c>
      <c r="G174" s="305"/>
      <c r="H174" s="305">
        <f>B174</f>
        <v>0</v>
      </c>
      <c r="I174" s="300">
        <f>C174</f>
        <v>600160.6</v>
      </c>
      <c r="M174" s="319">
        <f>VLOOKUP(A174,[4]Sheet1!$B:$D,2,FALSE)</f>
        <v>0</v>
      </c>
      <c r="N174" s="319">
        <f>VLOOKUP(A174,[4]Sheet1!$B:$D,3,FALSE)</f>
        <v>600160.6</v>
      </c>
      <c r="P174" s="320">
        <f t="shared" si="10"/>
        <v>0</v>
      </c>
      <c r="Q174" s="320">
        <f t="shared" si="11"/>
        <v>0</v>
      </c>
    </row>
    <row r="175" spans="1:17" x14ac:dyDescent="0.2">
      <c r="A175" s="312" t="s">
        <v>679</v>
      </c>
      <c r="B175" s="305">
        <v>0</v>
      </c>
      <c r="C175" s="305">
        <v>767469.57</v>
      </c>
      <c r="D175" s="305"/>
      <c r="E175" s="305">
        <v>0</v>
      </c>
      <c r="F175" s="305">
        <v>0</v>
      </c>
      <c r="G175" s="305"/>
      <c r="H175" s="305">
        <f>B175</f>
        <v>0</v>
      </c>
      <c r="I175" s="300">
        <f>C175</f>
        <v>767469.57</v>
      </c>
      <c r="M175" s="319">
        <f>VLOOKUP(A175,[4]Sheet1!$B:$D,2,FALSE)</f>
        <v>0</v>
      </c>
      <c r="N175" s="319">
        <f>VLOOKUP(A175,[4]Sheet1!$B:$D,3,FALSE)</f>
        <v>767469.57</v>
      </c>
      <c r="P175" s="320">
        <f t="shared" si="10"/>
        <v>0</v>
      </c>
      <c r="Q175" s="320">
        <f t="shared" si="11"/>
        <v>0</v>
      </c>
    </row>
    <row r="176" spans="1:17" x14ac:dyDescent="0.2">
      <c r="A176" s="312" t="s">
        <v>674</v>
      </c>
      <c r="B176" s="305">
        <v>0</v>
      </c>
      <c r="C176" s="305">
        <v>36231311.909999996</v>
      </c>
      <c r="D176" s="305"/>
      <c r="E176" s="299">
        <v>1137155.5</v>
      </c>
      <c r="F176" s="299">
        <v>0</v>
      </c>
      <c r="G176" s="295"/>
      <c r="H176" s="313">
        <f>B176</f>
        <v>0</v>
      </c>
      <c r="I176" s="300">
        <f>C176-E176</f>
        <v>35094156.409999996</v>
      </c>
      <c r="M176" s="319">
        <f>VLOOKUP(A176,[4]Sheet1!$B:$D,2,FALSE)</f>
        <v>0</v>
      </c>
      <c r="N176" s="319">
        <f>VLOOKUP(A176,[4]Sheet1!$B:$D,3,FALSE)</f>
        <v>32089874.969999999</v>
      </c>
      <c r="P176" s="320">
        <f t="shared" si="10"/>
        <v>0</v>
      </c>
      <c r="Q176" s="320">
        <f t="shared" si="11"/>
        <v>3004281.4399999976</v>
      </c>
    </row>
    <row r="177" spans="1:17" x14ac:dyDescent="0.2">
      <c r="A177" s="312" t="s">
        <v>164</v>
      </c>
      <c r="B177" s="305">
        <v>0</v>
      </c>
      <c r="C177" s="305">
        <v>403248.83</v>
      </c>
      <c r="D177" s="305"/>
      <c r="E177" s="299">
        <f>403248.83+0.17</f>
        <v>403249</v>
      </c>
      <c r="F177" s="299">
        <v>0</v>
      </c>
      <c r="G177" s="295"/>
      <c r="H177" s="313">
        <f>B177</f>
        <v>0</v>
      </c>
      <c r="I177" s="300">
        <f>C177-E177</f>
        <v>-0.16999999998370185</v>
      </c>
      <c r="M177" s="319">
        <f>VLOOKUP(A177,[4]Sheet1!$B:$D,2,FALSE)</f>
        <v>0.17</v>
      </c>
      <c r="N177" s="319">
        <f>VLOOKUP(A177,[4]Sheet1!$B:$D,3,FALSE)</f>
        <v>0</v>
      </c>
      <c r="P177" s="320">
        <f t="shared" si="10"/>
        <v>-0.17</v>
      </c>
      <c r="Q177" s="320">
        <f t="shared" si="11"/>
        <v>-0.16999999998370185</v>
      </c>
    </row>
    <row r="178" spans="1:17" x14ac:dyDescent="0.2">
      <c r="A178" s="312" t="s">
        <v>165</v>
      </c>
      <c r="B178" s="305">
        <v>0</v>
      </c>
      <c r="C178" s="305">
        <v>4615719.8600000003</v>
      </c>
      <c r="D178" s="305"/>
      <c r="E178" s="299">
        <v>0</v>
      </c>
      <c r="F178" s="299">
        <v>460596.23</v>
      </c>
      <c r="G178" s="295"/>
      <c r="H178" s="313">
        <f>B178</f>
        <v>0</v>
      </c>
      <c r="I178" s="300">
        <f>C178+F178</f>
        <v>5076316.09</v>
      </c>
      <c r="M178" s="319">
        <f>VLOOKUP(A178,[4]Sheet1!$B:$D,2,FALSE)</f>
        <v>0</v>
      </c>
      <c r="N178" s="319">
        <f>VLOOKUP(A178,[4]Sheet1!$B:$D,3,FALSE)</f>
        <v>5076316.09</v>
      </c>
      <c r="P178" s="320">
        <f t="shared" si="10"/>
        <v>0</v>
      </c>
      <c r="Q178" s="320">
        <f t="shared" si="11"/>
        <v>0</v>
      </c>
    </row>
    <row r="179" spans="1:17" x14ac:dyDescent="0.2">
      <c r="A179" s="312" t="s">
        <v>540</v>
      </c>
      <c r="B179" s="305">
        <v>0</v>
      </c>
      <c r="C179" s="305">
        <v>8046368.6900000004</v>
      </c>
      <c r="D179" s="305"/>
      <c r="E179" s="299">
        <v>0</v>
      </c>
      <c r="F179" s="299"/>
      <c r="G179" s="295"/>
      <c r="H179" s="313">
        <f>B179</f>
        <v>0</v>
      </c>
      <c r="I179" s="300">
        <f>C179+F179</f>
        <v>8046368.6900000004</v>
      </c>
      <c r="M179" s="319">
        <f>VLOOKUP(A179,[4]Sheet1!$B:$D,2,FALSE)</f>
        <v>0</v>
      </c>
      <c r="N179" s="319">
        <f>VLOOKUP(A179,[4]Sheet1!$B:$D,3,FALSE)</f>
        <v>8046368.6900000004</v>
      </c>
      <c r="P179" s="320">
        <f t="shared" si="10"/>
        <v>0</v>
      </c>
      <c r="Q179" s="320">
        <f t="shared" si="11"/>
        <v>0</v>
      </c>
    </row>
    <row r="180" spans="1:17" x14ac:dyDescent="0.2">
      <c r="A180" s="312"/>
      <c r="B180" s="305"/>
      <c r="C180" s="305"/>
      <c r="D180" s="305"/>
      <c r="E180" s="299"/>
      <c r="F180" s="299"/>
      <c r="G180" s="295"/>
      <c r="H180" s="313"/>
      <c r="I180" s="300"/>
      <c r="P180" s="320">
        <f t="shared" si="10"/>
        <v>0</v>
      </c>
      <c r="Q180" s="320">
        <f t="shared" si="11"/>
        <v>0</v>
      </c>
    </row>
    <row r="181" spans="1:17" x14ac:dyDescent="0.2">
      <c r="A181" s="314" t="s">
        <v>543</v>
      </c>
      <c r="B181" s="295">
        <v>0</v>
      </c>
      <c r="C181" s="295">
        <v>14092681.15</v>
      </c>
      <c r="D181" s="295"/>
      <c r="E181" s="299">
        <v>0</v>
      </c>
      <c r="F181" s="299">
        <v>83645.850000000006</v>
      </c>
      <c r="G181" s="295"/>
      <c r="H181" s="313">
        <f>B181</f>
        <v>0</v>
      </c>
      <c r="I181" s="300">
        <f>C181+F181</f>
        <v>14176327</v>
      </c>
      <c r="M181" s="319">
        <f>VLOOKUP(A181,[4]Sheet1!$B:$D,2,FALSE)</f>
        <v>0</v>
      </c>
      <c r="N181" s="319">
        <f>VLOOKUP(A181,[4]Sheet1!$B:$D,3,FALSE)</f>
        <v>14176327</v>
      </c>
      <c r="P181" s="320">
        <f t="shared" si="10"/>
        <v>0</v>
      </c>
      <c r="Q181" s="320">
        <f t="shared" si="11"/>
        <v>0</v>
      </c>
    </row>
    <row r="182" spans="1:17" x14ac:dyDescent="0.2">
      <c r="A182" s="314" t="s">
        <v>675</v>
      </c>
      <c r="B182" s="295">
        <v>0</v>
      </c>
      <c r="C182" s="295">
        <v>7295724</v>
      </c>
      <c r="D182" s="295"/>
      <c r="E182" s="299">
        <v>0</v>
      </c>
      <c r="F182" s="299">
        <v>0</v>
      </c>
      <c r="G182" s="295"/>
      <c r="H182" s="313">
        <f t="shared" si="8"/>
        <v>0</v>
      </c>
      <c r="I182" s="300">
        <f t="shared" si="9"/>
        <v>7295724</v>
      </c>
      <c r="M182" s="319">
        <f>VLOOKUP(A182,[4]Sheet1!$B:$D,2,FALSE)</f>
        <v>0</v>
      </c>
      <c r="N182" s="319">
        <f>VLOOKUP(A182,[4]Sheet1!$B:$D,3,FALSE)</f>
        <v>7295724</v>
      </c>
      <c r="P182" s="320">
        <f t="shared" si="10"/>
        <v>0</v>
      </c>
      <c r="Q182" s="320">
        <f t="shared" si="11"/>
        <v>0</v>
      </c>
    </row>
    <row r="183" spans="1:17" x14ac:dyDescent="0.2">
      <c r="A183" s="312"/>
      <c r="B183" s="305"/>
      <c r="C183" s="305"/>
      <c r="D183" s="305"/>
      <c r="E183" s="305"/>
      <c r="F183" s="305"/>
      <c r="G183" s="305"/>
      <c r="H183" s="305"/>
      <c r="I183" s="305"/>
      <c r="P183" s="320">
        <f t="shared" si="10"/>
        <v>0</v>
      </c>
      <c r="Q183" s="320">
        <f t="shared" si="11"/>
        <v>0</v>
      </c>
    </row>
    <row r="184" spans="1:17" x14ac:dyDescent="0.2">
      <c r="A184" s="314" t="s">
        <v>544</v>
      </c>
      <c r="B184" s="295">
        <v>0</v>
      </c>
      <c r="C184" s="295">
        <v>6303680</v>
      </c>
      <c r="D184" s="295"/>
      <c r="E184" s="299">
        <v>0</v>
      </c>
      <c r="F184" s="299">
        <v>2862627.6</v>
      </c>
      <c r="G184" s="295"/>
      <c r="H184" s="313">
        <f>B184</f>
        <v>0</v>
      </c>
      <c r="I184" s="300">
        <f>C184+F184</f>
        <v>9166307.5999999996</v>
      </c>
      <c r="M184" s="319">
        <f>VLOOKUP(A184,[4]Sheet1!$B:$D,2,FALSE)</f>
        <v>0</v>
      </c>
      <c r="N184" s="319">
        <f>VLOOKUP(A184,[4]Sheet1!$B:$D,3,FALSE)</f>
        <v>9166307.5999999996</v>
      </c>
      <c r="P184" s="320">
        <f t="shared" si="10"/>
        <v>0</v>
      </c>
      <c r="Q184" s="320">
        <f t="shared" si="11"/>
        <v>0</v>
      </c>
    </row>
    <row r="185" spans="1:17" x14ac:dyDescent="0.2">
      <c r="A185" s="314" t="s">
        <v>774</v>
      </c>
      <c r="B185" s="295"/>
      <c r="C185" s="295"/>
      <c r="D185" s="295"/>
      <c r="E185" s="299"/>
      <c r="F185" s="299">
        <f>E188</f>
        <v>5446320</v>
      </c>
      <c r="G185" s="295"/>
      <c r="H185" s="313"/>
      <c r="I185" s="300">
        <f>F185</f>
        <v>5446320</v>
      </c>
      <c r="P185" s="320">
        <f t="shared" si="10"/>
        <v>0</v>
      </c>
      <c r="Q185" s="320">
        <f t="shared" si="11"/>
        <v>5446320</v>
      </c>
    </row>
    <row r="186" spans="1:17" x14ac:dyDescent="0.2">
      <c r="A186" s="312"/>
      <c r="B186" s="305"/>
      <c r="C186" s="305"/>
      <c r="D186" s="305"/>
      <c r="E186" s="305"/>
      <c r="F186" s="305"/>
      <c r="G186" s="305"/>
      <c r="H186" s="305"/>
      <c r="I186" s="305"/>
      <c r="P186" s="320">
        <f t="shared" si="10"/>
        <v>0</v>
      </c>
      <c r="Q186" s="320">
        <f t="shared" si="11"/>
        <v>0</v>
      </c>
    </row>
    <row r="187" spans="1:17" x14ac:dyDescent="0.2">
      <c r="A187" s="314" t="s">
        <v>686</v>
      </c>
      <c r="B187" s="295">
        <v>0</v>
      </c>
      <c r="C187" s="295">
        <v>0</v>
      </c>
      <c r="D187" s="295"/>
      <c r="E187" s="299">
        <v>0</v>
      </c>
      <c r="F187" s="299">
        <v>633343.4</v>
      </c>
      <c r="G187" s="295"/>
      <c r="H187" s="313">
        <f>B187</f>
        <v>0</v>
      </c>
      <c r="I187" s="300">
        <f>C187+F187</f>
        <v>633343.4</v>
      </c>
      <c r="M187" s="319">
        <f>VLOOKUP(A187,[4]Sheet1!$B:$D,2,FALSE)</f>
        <v>0</v>
      </c>
      <c r="N187" s="319">
        <f>VLOOKUP(A187,[4]Sheet1!$B:$D,3,FALSE)</f>
        <v>633343.4</v>
      </c>
      <c r="P187" s="320">
        <f t="shared" si="10"/>
        <v>0</v>
      </c>
      <c r="Q187" s="320">
        <f t="shared" si="11"/>
        <v>0</v>
      </c>
    </row>
    <row r="188" spans="1:17" x14ac:dyDescent="0.2">
      <c r="A188" s="314" t="s">
        <v>849</v>
      </c>
      <c r="B188" s="295">
        <v>0</v>
      </c>
      <c r="C188" s="295">
        <v>9624995.5999999996</v>
      </c>
      <c r="D188" s="295"/>
      <c r="E188" s="299">
        <f>5446320</f>
        <v>5446320</v>
      </c>
      <c r="F188" s="299">
        <v>0</v>
      </c>
      <c r="G188" s="295"/>
      <c r="H188" s="313">
        <f t="shared" si="8"/>
        <v>0</v>
      </c>
      <c r="I188" s="300">
        <f>C188-E188</f>
        <v>4178675.5999999996</v>
      </c>
      <c r="M188" s="319">
        <f>VLOOKUP(A188,[4]Sheet1!$B:$D,2,FALSE)</f>
        <v>0</v>
      </c>
      <c r="N188" s="319">
        <f>VLOOKUP(A188,[4]Sheet1!$B:$D,3,FALSE)</f>
        <v>9624995.5999999996</v>
      </c>
      <c r="P188" s="320">
        <f t="shared" si="10"/>
        <v>0</v>
      </c>
      <c r="Q188" s="320">
        <f t="shared" si="11"/>
        <v>-5446320</v>
      </c>
    </row>
    <row r="189" spans="1:17" x14ac:dyDescent="0.2">
      <c r="A189" s="312"/>
      <c r="B189" s="305"/>
      <c r="C189" s="305"/>
      <c r="D189" s="305"/>
      <c r="E189" s="305"/>
      <c r="F189" s="305"/>
      <c r="G189" s="305"/>
      <c r="H189" s="305"/>
      <c r="I189" s="305"/>
      <c r="P189" s="320">
        <f t="shared" si="10"/>
        <v>0</v>
      </c>
      <c r="Q189" s="320">
        <f t="shared" si="11"/>
        <v>0</v>
      </c>
    </row>
    <row r="190" spans="1:17" x14ac:dyDescent="0.2">
      <c r="A190" s="314" t="s">
        <v>688</v>
      </c>
      <c r="B190" s="295">
        <v>0</v>
      </c>
      <c r="C190" s="295">
        <v>3502525</v>
      </c>
      <c r="D190" s="295"/>
      <c r="E190" s="299">
        <v>43232</v>
      </c>
      <c r="F190" s="299">
        <v>0</v>
      </c>
      <c r="G190" s="295"/>
      <c r="H190" s="313">
        <f>B190</f>
        <v>0</v>
      </c>
      <c r="I190" s="300">
        <f>C190-E190</f>
        <v>3459293</v>
      </c>
      <c r="M190" s="319">
        <f>VLOOKUP(A190,[4]Sheet1!$B:$D,2,FALSE)</f>
        <v>0</v>
      </c>
      <c r="N190" s="319">
        <f>VLOOKUP(A190,[4]Sheet1!$B:$D,3,FALSE)</f>
        <v>3459293</v>
      </c>
      <c r="P190" s="320">
        <f t="shared" si="10"/>
        <v>0</v>
      </c>
      <c r="Q190" s="320">
        <f t="shared" si="11"/>
        <v>0</v>
      </c>
    </row>
    <row r="191" spans="1:17" x14ac:dyDescent="0.2">
      <c r="A191" s="314" t="s">
        <v>676</v>
      </c>
      <c r="B191" s="295">
        <v>0</v>
      </c>
      <c r="C191" s="295">
        <v>1427400</v>
      </c>
      <c r="D191" s="295"/>
      <c r="E191" s="299">
        <v>0</v>
      </c>
      <c r="F191" s="299">
        <v>0</v>
      </c>
      <c r="G191" s="295"/>
      <c r="H191" s="313">
        <f t="shared" si="8"/>
        <v>0</v>
      </c>
      <c r="I191" s="300">
        <f t="shared" si="9"/>
        <v>1427400</v>
      </c>
      <c r="M191" s="319">
        <f>VLOOKUP(A191,[4]Sheet1!$B:$D,2,FALSE)</f>
        <v>0</v>
      </c>
      <c r="N191" s="319">
        <f>VLOOKUP(A191,[4]Sheet1!$B:$D,3,FALSE)</f>
        <v>1427400</v>
      </c>
      <c r="P191" s="320">
        <f t="shared" si="10"/>
        <v>0</v>
      </c>
      <c r="Q191" s="320">
        <f t="shared" si="11"/>
        <v>0</v>
      </c>
    </row>
    <row r="192" spans="1:17" x14ac:dyDescent="0.2">
      <c r="A192" s="312"/>
      <c r="B192" s="305"/>
      <c r="C192" s="305"/>
      <c r="D192" s="305"/>
      <c r="E192" s="305"/>
      <c r="F192" s="305"/>
      <c r="G192" s="305"/>
      <c r="H192" s="305"/>
      <c r="I192" s="305"/>
      <c r="P192" s="320">
        <f t="shared" si="10"/>
        <v>0</v>
      </c>
      <c r="Q192" s="320">
        <f t="shared" si="11"/>
        <v>0</v>
      </c>
    </row>
    <row r="193" spans="1:17" x14ac:dyDescent="0.2">
      <c r="A193" s="314" t="s">
        <v>678</v>
      </c>
      <c r="B193" s="295">
        <v>0</v>
      </c>
      <c r="C193" s="295">
        <v>8452056</v>
      </c>
      <c r="D193" s="295"/>
      <c r="E193" s="299">
        <v>0</v>
      </c>
      <c r="F193" s="299">
        <v>0</v>
      </c>
      <c r="G193" s="295"/>
      <c r="H193" s="313">
        <f t="shared" si="8"/>
        <v>0</v>
      </c>
      <c r="I193" s="300">
        <f t="shared" si="9"/>
        <v>8452056</v>
      </c>
      <c r="M193" s="319">
        <f>VLOOKUP(A193,[4]Sheet1!$B:$D,2,FALSE)</f>
        <v>0</v>
      </c>
      <c r="N193" s="319">
        <f>VLOOKUP(A193,[4]Sheet1!$B:$D,3,FALSE)</f>
        <v>8452056</v>
      </c>
      <c r="P193" s="320">
        <f t="shared" si="10"/>
        <v>0</v>
      </c>
      <c r="Q193" s="320">
        <f t="shared" si="11"/>
        <v>0</v>
      </c>
    </row>
    <row r="194" spans="1:17" x14ac:dyDescent="0.2">
      <c r="A194" s="314" t="s">
        <v>545</v>
      </c>
      <c r="B194" s="295">
        <v>0</v>
      </c>
      <c r="C194" s="295">
        <v>9464610.7799999993</v>
      </c>
      <c r="D194" s="295"/>
      <c r="E194" s="299">
        <v>0</v>
      </c>
      <c r="F194" s="299">
        <v>0</v>
      </c>
      <c r="G194" s="295"/>
      <c r="H194" s="313">
        <f>B194</f>
        <v>0</v>
      </c>
      <c r="I194" s="300">
        <f>C194</f>
        <v>9464610.7799999993</v>
      </c>
      <c r="M194" s="319">
        <f>VLOOKUP(A194,[4]Sheet1!$B:$D,2,FALSE)</f>
        <v>0</v>
      </c>
      <c r="N194" s="319">
        <f>VLOOKUP(A194,[4]Sheet1!$B:$D,3,FALSE)</f>
        <v>9464610.7799999993</v>
      </c>
      <c r="P194" s="320">
        <f t="shared" si="10"/>
        <v>0</v>
      </c>
      <c r="Q194" s="320">
        <f t="shared" si="11"/>
        <v>0</v>
      </c>
    </row>
    <row r="195" spans="1:17" x14ac:dyDescent="0.2">
      <c r="A195" s="312"/>
      <c r="B195" s="305"/>
      <c r="C195" s="305"/>
      <c r="D195" s="305"/>
      <c r="E195" s="305"/>
      <c r="F195" s="305"/>
      <c r="G195" s="305"/>
      <c r="H195" s="305"/>
      <c r="I195" s="305"/>
      <c r="P195" s="320">
        <f t="shared" si="10"/>
        <v>0</v>
      </c>
      <c r="Q195" s="320">
        <f t="shared" si="11"/>
        <v>0</v>
      </c>
    </row>
    <row r="196" spans="1:17" x14ac:dyDescent="0.2">
      <c r="A196" s="314" t="s">
        <v>687</v>
      </c>
      <c r="B196" s="295">
        <v>0</v>
      </c>
      <c r="C196" s="295">
        <v>2000000</v>
      </c>
      <c r="D196" s="295"/>
      <c r="E196" s="299">
        <v>0</v>
      </c>
      <c r="F196" s="299">
        <v>0</v>
      </c>
      <c r="G196" s="295"/>
      <c r="H196" s="313">
        <f t="shared" ref="H196:H213" si="12">B196</f>
        <v>0</v>
      </c>
      <c r="I196" s="300">
        <f t="shared" ref="I196:I213" si="13">C196</f>
        <v>2000000</v>
      </c>
      <c r="M196" s="319">
        <f>VLOOKUP(A196,[4]Sheet1!$B:$D,2,FALSE)</f>
        <v>0</v>
      </c>
      <c r="N196" s="319">
        <f>VLOOKUP(A196,[4]Sheet1!$B:$D,3,FALSE)</f>
        <v>2000000</v>
      </c>
      <c r="P196" s="320">
        <f t="shared" si="10"/>
        <v>0</v>
      </c>
      <c r="Q196" s="320">
        <f t="shared" si="11"/>
        <v>0</v>
      </c>
    </row>
    <row r="197" spans="1:17" x14ac:dyDescent="0.2">
      <c r="A197" s="312" t="s">
        <v>161</v>
      </c>
      <c r="B197" s="305">
        <v>0</v>
      </c>
      <c r="C197" s="305">
        <v>0</v>
      </c>
      <c r="D197" s="305"/>
      <c r="E197" s="305">
        <v>0</v>
      </c>
      <c r="F197" s="299">
        <v>0</v>
      </c>
      <c r="G197" s="295"/>
      <c r="H197" s="313">
        <f t="shared" si="12"/>
        <v>0</v>
      </c>
      <c r="I197" s="313">
        <f t="shared" si="13"/>
        <v>0</v>
      </c>
      <c r="M197" s="319">
        <f>VLOOKUP(A197,[4]Sheet1!$B:$D,2,FALSE)</f>
        <v>0</v>
      </c>
      <c r="N197" s="319">
        <f>VLOOKUP(A197,[4]Sheet1!$B:$D,3,FALSE)</f>
        <v>0</v>
      </c>
      <c r="P197" s="320">
        <f t="shared" si="10"/>
        <v>0</v>
      </c>
      <c r="Q197" s="320">
        <f t="shared" si="11"/>
        <v>0</v>
      </c>
    </row>
    <row r="198" spans="1:17" x14ac:dyDescent="0.2">
      <c r="A198" s="312" t="s">
        <v>162</v>
      </c>
      <c r="B198" s="305">
        <v>0</v>
      </c>
      <c r="C198" s="305">
        <v>0</v>
      </c>
      <c r="D198" s="305"/>
      <c r="E198" s="305">
        <v>0</v>
      </c>
      <c r="F198" s="299">
        <v>0</v>
      </c>
      <c r="G198" s="295"/>
      <c r="H198" s="313">
        <f t="shared" si="12"/>
        <v>0</v>
      </c>
      <c r="I198" s="313">
        <f t="shared" si="13"/>
        <v>0</v>
      </c>
      <c r="M198" s="319">
        <f>VLOOKUP(A198,[4]Sheet1!$B:$D,2,FALSE)</f>
        <v>0</v>
      </c>
      <c r="N198" s="319">
        <f>VLOOKUP(A198,[4]Sheet1!$B:$D,3,FALSE)</f>
        <v>0</v>
      </c>
      <c r="P198" s="320">
        <f t="shared" ref="P198:P261" si="14">H198-M198</f>
        <v>0</v>
      </c>
      <c r="Q198" s="320">
        <f t="shared" ref="Q198:Q261" si="15">I198-N198</f>
        <v>0</v>
      </c>
    </row>
    <row r="199" spans="1:17" x14ac:dyDescent="0.2">
      <c r="A199" s="312" t="s">
        <v>163</v>
      </c>
      <c r="B199" s="305">
        <v>0</v>
      </c>
      <c r="C199" s="305">
        <v>0</v>
      </c>
      <c r="D199" s="305"/>
      <c r="E199" s="305">
        <v>0</v>
      </c>
      <c r="F199" s="299">
        <v>0</v>
      </c>
      <c r="G199" s="295"/>
      <c r="H199" s="313">
        <f t="shared" si="12"/>
        <v>0</v>
      </c>
      <c r="I199" s="313">
        <f t="shared" si="13"/>
        <v>0</v>
      </c>
      <c r="M199" s="319">
        <f>VLOOKUP(A199,[4]Sheet1!$B:$D,2,FALSE)</f>
        <v>0</v>
      </c>
      <c r="N199" s="319">
        <f>VLOOKUP(A199,[4]Sheet1!$B:$D,3,FALSE)</f>
        <v>0</v>
      </c>
      <c r="P199" s="320">
        <f t="shared" si="14"/>
        <v>0</v>
      </c>
      <c r="Q199" s="320">
        <f t="shared" si="15"/>
        <v>0</v>
      </c>
    </row>
    <row r="200" spans="1:17" x14ac:dyDescent="0.2">
      <c r="A200" s="312" t="s">
        <v>369</v>
      </c>
      <c r="B200" s="305">
        <v>0</v>
      </c>
      <c r="C200" s="305">
        <v>0</v>
      </c>
      <c r="D200" s="305"/>
      <c r="E200" s="305">
        <v>0</v>
      </c>
      <c r="F200" s="299">
        <v>0</v>
      </c>
      <c r="G200" s="295"/>
      <c r="H200" s="313">
        <f t="shared" si="12"/>
        <v>0</v>
      </c>
      <c r="I200" s="313">
        <f t="shared" si="13"/>
        <v>0</v>
      </c>
      <c r="M200" s="319">
        <f>VLOOKUP(A200,[4]Sheet1!$B:$D,2,FALSE)</f>
        <v>0</v>
      </c>
      <c r="N200" s="319">
        <f>VLOOKUP(A200,[4]Sheet1!$B:$D,3,FALSE)</f>
        <v>0</v>
      </c>
      <c r="P200" s="320">
        <f t="shared" si="14"/>
        <v>0</v>
      </c>
      <c r="Q200" s="320">
        <f t="shared" si="15"/>
        <v>0</v>
      </c>
    </row>
    <row r="201" spans="1:17" x14ac:dyDescent="0.2">
      <c r="A201" s="312" t="s">
        <v>682</v>
      </c>
      <c r="B201" s="305">
        <v>0</v>
      </c>
      <c r="C201" s="305">
        <v>0</v>
      </c>
      <c r="D201" s="305"/>
      <c r="E201" s="305">
        <v>0</v>
      </c>
      <c r="F201" s="299">
        <v>0</v>
      </c>
      <c r="G201" s="295"/>
      <c r="H201" s="313">
        <f t="shared" si="12"/>
        <v>0</v>
      </c>
      <c r="I201" s="313">
        <f t="shared" si="13"/>
        <v>0</v>
      </c>
      <c r="M201" s="319">
        <f>VLOOKUP(A201,[4]Sheet1!$B:$D,2,FALSE)</f>
        <v>0</v>
      </c>
      <c r="N201" s="319">
        <f>VLOOKUP(A201,[4]Sheet1!$B:$D,3,FALSE)</f>
        <v>0</v>
      </c>
      <c r="P201" s="320">
        <f t="shared" si="14"/>
        <v>0</v>
      </c>
      <c r="Q201" s="320">
        <f t="shared" si="15"/>
        <v>0</v>
      </c>
    </row>
    <row r="202" spans="1:17" x14ac:dyDescent="0.2">
      <c r="A202" s="312" t="s">
        <v>683</v>
      </c>
      <c r="B202" s="305">
        <v>0</v>
      </c>
      <c r="C202" s="305">
        <v>0</v>
      </c>
      <c r="D202" s="305"/>
      <c r="E202" s="305">
        <v>0</v>
      </c>
      <c r="F202" s="299">
        <v>0</v>
      </c>
      <c r="G202" s="295"/>
      <c r="H202" s="313">
        <f t="shared" si="12"/>
        <v>0</v>
      </c>
      <c r="I202" s="313">
        <f t="shared" si="13"/>
        <v>0</v>
      </c>
      <c r="M202" s="319">
        <f>VLOOKUP(A202,[4]Sheet1!$B:$D,2,FALSE)</f>
        <v>0</v>
      </c>
      <c r="N202" s="319">
        <f>VLOOKUP(A202,[4]Sheet1!$B:$D,3,FALSE)</f>
        <v>0</v>
      </c>
      <c r="P202" s="320">
        <f t="shared" si="14"/>
        <v>0</v>
      </c>
      <c r="Q202" s="320">
        <f t="shared" si="15"/>
        <v>0</v>
      </c>
    </row>
    <row r="203" spans="1:17" x14ac:dyDescent="0.2">
      <c r="A203" s="312" t="s">
        <v>170</v>
      </c>
      <c r="B203" s="305">
        <v>0</v>
      </c>
      <c r="C203" s="305">
        <v>0</v>
      </c>
      <c r="D203" s="305"/>
      <c r="E203" s="305">
        <v>0</v>
      </c>
      <c r="F203" s="299">
        <v>0</v>
      </c>
      <c r="G203" s="295"/>
      <c r="H203" s="313">
        <f t="shared" si="12"/>
        <v>0</v>
      </c>
      <c r="I203" s="313">
        <f t="shared" si="13"/>
        <v>0</v>
      </c>
      <c r="M203" s="319">
        <f>VLOOKUP(A203,[4]Sheet1!$B:$D,2,FALSE)</f>
        <v>0</v>
      </c>
      <c r="N203" s="319">
        <f>VLOOKUP(A203,[4]Sheet1!$B:$D,3,FALSE)</f>
        <v>0</v>
      </c>
      <c r="P203" s="320">
        <f t="shared" si="14"/>
        <v>0</v>
      </c>
      <c r="Q203" s="320">
        <f t="shared" si="15"/>
        <v>0</v>
      </c>
    </row>
    <row r="204" spans="1:17" x14ac:dyDescent="0.2">
      <c r="A204" s="312" t="s">
        <v>171</v>
      </c>
      <c r="B204" s="305">
        <v>0</v>
      </c>
      <c r="C204" s="305">
        <v>0</v>
      </c>
      <c r="D204" s="305"/>
      <c r="E204" s="305">
        <v>0</v>
      </c>
      <c r="F204" s="299">
        <v>0</v>
      </c>
      <c r="G204" s="295"/>
      <c r="H204" s="313">
        <f t="shared" si="12"/>
        <v>0</v>
      </c>
      <c r="I204" s="313">
        <f t="shared" si="13"/>
        <v>0</v>
      </c>
      <c r="M204" s="319">
        <f>VLOOKUP(A204,[4]Sheet1!$B:$D,2,FALSE)</f>
        <v>0</v>
      </c>
      <c r="N204" s="319">
        <f>VLOOKUP(A204,[4]Sheet1!$B:$D,3,FALSE)</f>
        <v>0</v>
      </c>
      <c r="P204" s="320">
        <f t="shared" si="14"/>
        <v>0</v>
      </c>
      <c r="Q204" s="320">
        <f t="shared" si="15"/>
        <v>0</v>
      </c>
    </row>
    <row r="205" spans="1:17" x14ac:dyDescent="0.2">
      <c r="A205" s="312" t="s">
        <v>172</v>
      </c>
      <c r="B205" s="305">
        <v>0</v>
      </c>
      <c r="C205" s="305">
        <v>0</v>
      </c>
      <c r="D205" s="305"/>
      <c r="E205" s="305">
        <v>0</v>
      </c>
      <c r="F205" s="299">
        <v>0</v>
      </c>
      <c r="G205" s="295"/>
      <c r="H205" s="313">
        <f t="shared" si="12"/>
        <v>0</v>
      </c>
      <c r="I205" s="313">
        <f t="shared" si="13"/>
        <v>0</v>
      </c>
      <c r="M205" s="319">
        <f>VLOOKUP(A205,[4]Sheet1!$B:$D,2,FALSE)</f>
        <v>0</v>
      </c>
      <c r="N205" s="319">
        <f>VLOOKUP(A205,[4]Sheet1!$B:$D,3,FALSE)</f>
        <v>0</v>
      </c>
      <c r="P205" s="320">
        <f t="shared" si="14"/>
        <v>0</v>
      </c>
      <c r="Q205" s="320">
        <f t="shared" si="15"/>
        <v>0</v>
      </c>
    </row>
    <row r="206" spans="1:17" x14ac:dyDescent="0.2">
      <c r="A206" s="312" t="s">
        <v>173</v>
      </c>
      <c r="B206" s="305">
        <v>0</v>
      </c>
      <c r="C206" s="305">
        <v>0</v>
      </c>
      <c r="D206" s="305"/>
      <c r="E206" s="305">
        <v>0</v>
      </c>
      <c r="F206" s="299">
        <v>0</v>
      </c>
      <c r="G206" s="295"/>
      <c r="H206" s="313">
        <f t="shared" si="12"/>
        <v>0</v>
      </c>
      <c r="I206" s="313">
        <f t="shared" si="13"/>
        <v>0</v>
      </c>
      <c r="M206" s="319">
        <f>VLOOKUP(A206,[4]Sheet1!$B:$D,2,FALSE)</f>
        <v>0</v>
      </c>
      <c r="N206" s="319">
        <f>VLOOKUP(A206,[4]Sheet1!$B:$D,3,FALSE)</f>
        <v>0</v>
      </c>
      <c r="P206" s="320">
        <f t="shared" si="14"/>
        <v>0</v>
      </c>
      <c r="Q206" s="320">
        <f t="shared" si="15"/>
        <v>0</v>
      </c>
    </row>
    <row r="207" spans="1:17" x14ac:dyDescent="0.2">
      <c r="A207" s="312" t="s">
        <v>174</v>
      </c>
      <c r="B207" s="305">
        <v>0</v>
      </c>
      <c r="C207" s="305">
        <v>0</v>
      </c>
      <c r="D207" s="305"/>
      <c r="E207" s="305">
        <v>0</v>
      </c>
      <c r="F207" s="299">
        <v>0</v>
      </c>
      <c r="G207" s="295"/>
      <c r="H207" s="313">
        <f t="shared" si="12"/>
        <v>0</v>
      </c>
      <c r="I207" s="313">
        <f t="shared" si="13"/>
        <v>0</v>
      </c>
      <c r="M207" s="319">
        <f>VLOOKUP(A207,[4]Sheet1!$B:$D,2,FALSE)</f>
        <v>0</v>
      </c>
      <c r="N207" s="319">
        <f>VLOOKUP(A207,[4]Sheet1!$B:$D,3,FALSE)</f>
        <v>0</v>
      </c>
      <c r="P207" s="320">
        <f t="shared" si="14"/>
        <v>0</v>
      </c>
      <c r="Q207" s="320">
        <f t="shared" si="15"/>
        <v>0</v>
      </c>
    </row>
    <row r="208" spans="1:17" x14ac:dyDescent="0.2">
      <c r="A208" s="312" t="s">
        <v>289</v>
      </c>
      <c r="B208" s="305">
        <v>0</v>
      </c>
      <c r="C208" s="305">
        <v>0</v>
      </c>
      <c r="D208" s="305"/>
      <c r="E208" s="305">
        <v>0</v>
      </c>
      <c r="F208" s="299">
        <v>0</v>
      </c>
      <c r="G208" s="295"/>
      <c r="H208" s="313">
        <f t="shared" si="12"/>
        <v>0</v>
      </c>
      <c r="I208" s="313">
        <f t="shared" si="13"/>
        <v>0</v>
      </c>
      <c r="M208" s="319">
        <f>VLOOKUP(A208,[4]Sheet1!$B:$D,2,FALSE)</f>
        <v>0</v>
      </c>
      <c r="N208" s="319">
        <f>VLOOKUP(A208,[4]Sheet1!$B:$D,3,FALSE)</f>
        <v>0</v>
      </c>
      <c r="P208" s="320">
        <f t="shared" si="14"/>
        <v>0</v>
      </c>
      <c r="Q208" s="320">
        <f t="shared" si="15"/>
        <v>0</v>
      </c>
    </row>
    <row r="209" spans="1:17" x14ac:dyDescent="0.2">
      <c r="A209" s="312" t="s">
        <v>290</v>
      </c>
      <c r="B209" s="305">
        <v>0</v>
      </c>
      <c r="C209" s="305">
        <v>0</v>
      </c>
      <c r="D209" s="305"/>
      <c r="E209" s="305">
        <v>0</v>
      </c>
      <c r="F209" s="299">
        <v>0</v>
      </c>
      <c r="G209" s="295"/>
      <c r="H209" s="313">
        <f t="shared" si="12"/>
        <v>0</v>
      </c>
      <c r="I209" s="313">
        <f t="shared" si="13"/>
        <v>0</v>
      </c>
      <c r="M209" s="319">
        <f>VLOOKUP(A209,[4]Sheet1!$B:$D,2,FALSE)</f>
        <v>0</v>
      </c>
      <c r="N209" s="319">
        <f>VLOOKUP(A209,[4]Sheet1!$B:$D,3,FALSE)</f>
        <v>0</v>
      </c>
      <c r="P209" s="320">
        <f t="shared" si="14"/>
        <v>0</v>
      </c>
      <c r="Q209" s="320">
        <f t="shared" si="15"/>
        <v>0</v>
      </c>
    </row>
    <row r="210" spans="1:17" x14ac:dyDescent="0.2">
      <c r="A210" s="312" t="s">
        <v>370</v>
      </c>
      <c r="B210" s="305">
        <v>0</v>
      </c>
      <c r="C210" s="305">
        <v>0</v>
      </c>
      <c r="D210" s="305"/>
      <c r="E210" s="305">
        <v>0</v>
      </c>
      <c r="F210" s="299">
        <v>0</v>
      </c>
      <c r="G210" s="295"/>
      <c r="H210" s="313">
        <f t="shared" si="12"/>
        <v>0</v>
      </c>
      <c r="I210" s="313">
        <f t="shared" si="13"/>
        <v>0</v>
      </c>
      <c r="M210" s="319">
        <f>VLOOKUP(A210,[4]Sheet1!$B:$D,2,FALSE)</f>
        <v>0</v>
      </c>
      <c r="N210" s="319">
        <f>VLOOKUP(A210,[4]Sheet1!$B:$D,3,FALSE)</f>
        <v>0</v>
      </c>
      <c r="P210" s="320">
        <f t="shared" si="14"/>
        <v>0</v>
      </c>
      <c r="Q210" s="320">
        <f t="shared" si="15"/>
        <v>0</v>
      </c>
    </row>
    <row r="211" spans="1:17" x14ac:dyDescent="0.2">
      <c r="A211" s="312" t="s">
        <v>371</v>
      </c>
      <c r="B211" s="305">
        <v>0</v>
      </c>
      <c r="C211" s="305">
        <v>0</v>
      </c>
      <c r="D211" s="305"/>
      <c r="E211" s="305">
        <v>0</v>
      </c>
      <c r="F211" s="299">
        <v>0</v>
      </c>
      <c r="G211" s="295"/>
      <c r="H211" s="313">
        <f t="shared" si="12"/>
        <v>0</v>
      </c>
      <c r="I211" s="313">
        <f t="shared" si="13"/>
        <v>0</v>
      </c>
      <c r="M211" s="319">
        <f>VLOOKUP(A211,[4]Sheet1!$B:$D,2,FALSE)</f>
        <v>0</v>
      </c>
      <c r="N211" s="319">
        <f>VLOOKUP(A211,[4]Sheet1!$B:$D,3,FALSE)</f>
        <v>0</v>
      </c>
      <c r="P211" s="320">
        <f t="shared" si="14"/>
        <v>0</v>
      </c>
      <c r="Q211" s="320">
        <f t="shared" si="15"/>
        <v>0</v>
      </c>
    </row>
    <row r="212" spans="1:17" x14ac:dyDescent="0.2">
      <c r="A212" s="312" t="s">
        <v>372</v>
      </c>
      <c r="B212" s="305">
        <v>0</v>
      </c>
      <c r="C212" s="305">
        <v>0</v>
      </c>
      <c r="D212" s="305"/>
      <c r="E212" s="305">
        <v>0</v>
      </c>
      <c r="F212" s="299">
        <v>0</v>
      </c>
      <c r="G212" s="295"/>
      <c r="H212" s="313">
        <f t="shared" si="12"/>
        <v>0</v>
      </c>
      <c r="I212" s="313">
        <f t="shared" si="13"/>
        <v>0</v>
      </c>
      <c r="M212" s="319">
        <f>VLOOKUP(A212,[4]Sheet1!$B:$D,2,FALSE)</f>
        <v>0</v>
      </c>
      <c r="N212" s="319">
        <f>VLOOKUP(A212,[4]Sheet1!$B:$D,3,FALSE)</f>
        <v>0</v>
      </c>
      <c r="P212" s="320">
        <f t="shared" si="14"/>
        <v>0</v>
      </c>
      <c r="Q212" s="320">
        <f t="shared" si="15"/>
        <v>0</v>
      </c>
    </row>
    <row r="213" spans="1:17" x14ac:dyDescent="0.2">
      <c r="A213" s="312" t="s">
        <v>373</v>
      </c>
      <c r="B213" s="305">
        <v>0</v>
      </c>
      <c r="C213" s="305">
        <v>0</v>
      </c>
      <c r="D213" s="305"/>
      <c r="E213" s="305">
        <v>0</v>
      </c>
      <c r="F213" s="299">
        <v>0</v>
      </c>
      <c r="G213" s="295"/>
      <c r="H213" s="313">
        <f t="shared" si="12"/>
        <v>0</v>
      </c>
      <c r="I213" s="313">
        <f t="shared" si="13"/>
        <v>0</v>
      </c>
      <c r="M213" s="319">
        <f>VLOOKUP(A213,[4]Sheet1!$B:$D,2,FALSE)</f>
        <v>0</v>
      </c>
      <c r="N213" s="319">
        <f>VLOOKUP(A213,[4]Sheet1!$B:$D,3,FALSE)</f>
        <v>0</v>
      </c>
      <c r="P213" s="320">
        <f t="shared" si="14"/>
        <v>0</v>
      </c>
      <c r="Q213" s="320">
        <f t="shared" si="15"/>
        <v>0</v>
      </c>
    </row>
    <row r="214" spans="1:17" x14ac:dyDescent="0.2">
      <c r="A214" s="310" t="s">
        <v>149</v>
      </c>
      <c r="B214" s="299">
        <v>0</v>
      </c>
      <c r="C214" s="299">
        <v>12197097.789999999</v>
      </c>
      <c r="D214" s="295"/>
      <c r="E214" s="299">
        <v>0</v>
      </c>
      <c r="F214" s="299">
        <v>0</v>
      </c>
      <c r="G214" s="295"/>
      <c r="H214" s="299">
        <f t="shared" si="8"/>
        <v>0</v>
      </c>
      <c r="I214" s="300">
        <f t="shared" si="9"/>
        <v>12197097.789999999</v>
      </c>
      <c r="M214" s="319">
        <f>VLOOKUP(A214,[4]Sheet1!$B:$D,2,FALSE)</f>
        <v>0</v>
      </c>
      <c r="N214" s="319">
        <f>VLOOKUP(A214,[4]Sheet1!$B:$D,3,FALSE)</f>
        <v>12197097.789999999</v>
      </c>
      <c r="P214" s="320">
        <f t="shared" si="14"/>
        <v>0</v>
      </c>
      <c r="Q214" s="320">
        <f t="shared" si="15"/>
        <v>0</v>
      </c>
    </row>
    <row r="215" spans="1:17" x14ac:dyDescent="0.2">
      <c r="A215" s="310" t="s">
        <v>150</v>
      </c>
      <c r="B215" s="299">
        <v>0</v>
      </c>
      <c r="C215" s="299">
        <v>124038</v>
      </c>
      <c r="D215" s="295"/>
      <c r="E215" s="299">
        <v>0</v>
      </c>
      <c r="F215" s="299">
        <v>0</v>
      </c>
      <c r="G215" s="295"/>
      <c r="H215" s="299">
        <f t="shared" si="8"/>
        <v>0</v>
      </c>
      <c r="I215" s="300">
        <f t="shared" si="9"/>
        <v>124038</v>
      </c>
      <c r="M215" s="319">
        <f>VLOOKUP(A215,[4]Sheet1!$B:$D,2,FALSE)</f>
        <v>0</v>
      </c>
      <c r="N215" s="319">
        <f>VLOOKUP(A215,[4]Sheet1!$B:$D,3,FALSE)</f>
        <v>124038</v>
      </c>
      <c r="P215" s="320">
        <f t="shared" si="14"/>
        <v>0</v>
      </c>
      <c r="Q215" s="320">
        <f t="shared" si="15"/>
        <v>0</v>
      </c>
    </row>
    <row r="216" spans="1:17" x14ac:dyDescent="0.2">
      <c r="A216" s="310" t="s">
        <v>151</v>
      </c>
      <c r="B216" s="299">
        <v>0</v>
      </c>
      <c r="C216" s="299">
        <v>0</v>
      </c>
      <c r="D216" s="295"/>
      <c r="E216" s="299">
        <v>0</v>
      </c>
      <c r="F216" s="299">
        <v>0</v>
      </c>
      <c r="G216" s="295"/>
      <c r="H216" s="299">
        <f t="shared" si="8"/>
        <v>0</v>
      </c>
      <c r="I216" s="299">
        <f t="shared" si="9"/>
        <v>0</v>
      </c>
      <c r="M216" s="319">
        <f>VLOOKUP(A216,[4]Sheet1!$B:$D,2,FALSE)</f>
        <v>0</v>
      </c>
      <c r="N216" s="319">
        <f>VLOOKUP(A216,[4]Sheet1!$B:$D,3,FALSE)</f>
        <v>0</v>
      </c>
      <c r="P216" s="320">
        <f t="shared" si="14"/>
        <v>0</v>
      </c>
      <c r="Q216" s="320">
        <f t="shared" si="15"/>
        <v>0</v>
      </c>
    </row>
    <row r="217" spans="1:17" x14ac:dyDescent="0.2">
      <c r="A217" s="310" t="s">
        <v>152</v>
      </c>
      <c r="B217" s="299">
        <v>0</v>
      </c>
      <c r="C217" s="299">
        <v>22623.38</v>
      </c>
      <c r="D217" s="295"/>
      <c r="E217" s="299">
        <v>0</v>
      </c>
      <c r="F217" s="299">
        <v>0</v>
      </c>
      <c r="G217" s="295"/>
      <c r="H217" s="299">
        <f t="shared" si="8"/>
        <v>0</v>
      </c>
      <c r="I217" s="300">
        <f t="shared" si="9"/>
        <v>22623.38</v>
      </c>
      <c r="M217" s="319">
        <f>VLOOKUP(A217,[4]Sheet1!$B:$D,2,FALSE)</f>
        <v>0</v>
      </c>
      <c r="N217" s="319">
        <f>VLOOKUP(A217,[4]Sheet1!$B:$D,3,FALSE)</f>
        <v>22623.38</v>
      </c>
      <c r="P217" s="320">
        <f t="shared" si="14"/>
        <v>0</v>
      </c>
      <c r="Q217" s="320">
        <f t="shared" si="15"/>
        <v>0</v>
      </c>
    </row>
    <row r="218" spans="1:17" x14ac:dyDescent="0.2">
      <c r="A218" s="310" t="s">
        <v>153</v>
      </c>
      <c r="B218" s="299">
        <v>70068.289999999994</v>
      </c>
      <c r="C218" s="299">
        <v>0</v>
      </c>
      <c r="D218" s="295"/>
      <c r="E218" s="299">
        <v>0</v>
      </c>
      <c r="F218" s="299">
        <v>0</v>
      </c>
      <c r="G218" s="295"/>
      <c r="H218" s="300">
        <f t="shared" si="8"/>
        <v>70068.289999999994</v>
      </c>
      <c r="I218" s="299">
        <f t="shared" si="9"/>
        <v>0</v>
      </c>
      <c r="M218" s="319">
        <f>VLOOKUP(A218,[4]Sheet1!$B:$D,2,FALSE)</f>
        <v>70068.289999999994</v>
      </c>
      <c r="N218" s="319">
        <f>VLOOKUP(A218,[4]Sheet1!$B:$D,3,FALSE)</f>
        <v>0</v>
      </c>
      <c r="P218" s="320">
        <f t="shared" si="14"/>
        <v>0</v>
      </c>
      <c r="Q218" s="320">
        <f t="shared" si="15"/>
        <v>0</v>
      </c>
    </row>
    <row r="219" spans="1:17" x14ac:dyDescent="0.2">
      <c r="A219" s="310" t="s">
        <v>154</v>
      </c>
      <c r="B219" s="299">
        <v>0</v>
      </c>
      <c r="C219" s="299">
        <v>2676639.5</v>
      </c>
      <c r="D219" s="295"/>
      <c r="E219" s="299">
        <v>0</v>
      </c>
      <c r="F219" s="299">
        <v>0</v>
      </c>
      <c r="G219" s="295"/>
      <c r="H219" s="299">
        <f t="shared" si="8"/>
        <v>0</v>
      </c>
      <c r="I219" s="300">
        <f>C219</f>
        <v>2676639.5</v>
      </c>
      <c r="M219" s="319">
        <f>VLOOKUP(A219,[4]Sheet1!$B:$D,2,FALSE)</f>
        <v>0</v>
      </c>
      <c r="N219" s="319">
        <f>VLOOKUP(A219,[4]Sheet1!$B:$D,3,FALSE)</f>
        <v>2676639.5</v>
      </c>
      <c r="P219" s="320">
        <f t="shared" si="14"/>
        <v>0</v>
      </c>
      <c r="Q219" s="320">
        <f t="shared" si="15"/>
        <v>0</v>
      </c>
    </row>
    <row r="220" spans="1:17" x14ac:dyDescent="0.2">
      <c r="A220" s="310" t="s">
        <v>155</v>
      </c>
      <c r="B220" s="299">
        <v>0</v>
      </c>
      <c r="C220" s="299">
        <v>0</v>
      </c>
      <c r="D220" s="295"/>
      <c r="E220" s="299">
        <v>0</v>
      </c>
      <c r="F220" s="299">
        <v>0</v>
      </c>
      <c r="G220" s="295"/>
      <c r="H220" s="299">
        <f t="shared" si="8"/>
        <v>0</v>
      </c>
      <c r="I220" s="299">
        <f t="shared" si="9"/>
        <v>0</v>
      </c>
      <c r="M220" s="319">
        <f>VLOOKUP(A220,[4]Sheet1!$B:$D,2,FALSE)</f>
        <v>0</v>
      </c>
      <c r="N220" s="319">
        <f>VLOOKUP(A220,[4]Sheet1!$B:$D,3,FALSE)</f>
        <v>0</v>
      </c>
      <c r="P220" s="320">
        <f t="shared" si="14"/>
        <v>0</v>
      </c>
      <c r="Q220" s="320">
        <f t="shared" si="15"/>
        <v>0</v>
      </c>
    </row>
    <row r="221" spans="1:17" x14ac:dyDescent="0.2">
      <c r="A221" s="310" t="s">
        <v>156</v>
      </c>
      <c r="B221" s="299">
        <v>0</v>
      </c>
      <c r="C221" s="299">
        <v>0</v>
      </c>
      <c r="D221" s="295"/>
      <c r="E221" s="299">
        <v>0</v>
      </c>
      <c r="F221" s="299">
        <v>0</v>
      </c>
      <c r="G221" s="295"/>
      <c r="H221" s="299">
        <f t="shared" si="8"/>
        <v>0</v>
      </c>
      <c r="I221" s="299">
        <f t="shared" si="9"/>
        <v>0</v>
      </c>
      <c r="M221" s="319">
        <f>VLOOKUP(A221,[4]Sheet1!$B:$D,2,FALSE)</f>
        <v>0</v>
      </c>
      <c r="N221" s="319">
        <f>VLOOKUP(A221,[4]Sheet1!$B:$D,3,FALSE)</f>
        <v>0</v>
      </c>
      <c r="P221" s="320">
        <f t="shared" si="14"/>
        <v>0</v>
      </c>
      <c r="Q221" s="320">
        <f t="shared" si="15"/>
        <v>0</v>
      </c>
    </row>
    <row r="222" spans="1:17" x14ac:dyDescent="0.2">
      <c r="A222" s="310" t="s">
        <v>157</v>
      </c>
      <c r="B222" s="299">
        <v>0</v>
      </c>
      <c r="C222" s="299">
        <v>367634.82</v>
      </c>
      <c r="D222" s="295"/>
      <c r="E222" s="299">
        <v>0</v>
      </c>
      <c r="F222" s="299">
        <v>0</v>
      </c>
      <c r="G222" s="295"/>
      <c r="H222" s="299">
        <f t="shared" si="8"/>
        <v>0</v>
      </c>
      <c r="I222" s="300">
        <f t="shared" si="9"/>
        <v>367634.82</v>
      </c>
      <c r="M222" s="319">
        <f>VLOOKUP(A222,[4]Sheet1!$B:$D,2,FALSE)</f>
        <v>0</v>
      </c>
      <c r="N222" s="319">
        <f>VLOOKUP(A222,[4]Sheet1!$B:$D,3,FALSE)</f>
        <v>367634.82</v>
      </c>
      <c r="P222" s="320">
        <f t="shared" si="14"/>
        <v>0</v>
      </c>
      <c r="Q222" s="320">
        <f t="shared" si="15"/>
        <v>0</v>
      </c>
    </row>
    <row r="223" spans="1:17" x14ac:dyDescent="0.2">
      <c r="A223" s="310" t="s">
        <v>158</v>
      </c>
      <c r="B223" s="299">
        <v>0</v>
      </c>
      <c r="C223" s="299">
        <v>157590.96</v>
      </c>
      <c r="D223" s="295"/>
      <c r="E223" s="299">
        <v>0</v>
      </c>
      <c r="F223" s="299">
        <v>0</v>
      </c>
      <c r="G223" s="295"/>
      <c r="H223" s="299">
        <f t="shared" si="8"/>
        <v>0</v>
      </c>
      <c r="I223" s="300">
        <f t="shared" si="9"/>
        <v>157590.96</v>
      </c>
      <c r="M223" s="319">
        <f>VLOOKUP(A223,[4]Sheet1!$B:$D,2,FALSE)</f>
        <v>0</v>
      </c>
      <c r="N223" s="319">
        <f>VLOOKUP(A223,[4]Sheet1!$B:$D,3,FALSE)</f>
        <v>157590.96</v>
      </c>
      <c r="P223" s="320">
        <f t="shared" si="14"/>
        <v>0</v>
      </c>
      <c r="Q223" s="320">
        <f t="shared" si="15"/>
        <v>0</v>
      </c>
    </row>
    <row r="224" spans="1:17" x14ac:dyDescent="0.2">
      <c r="A224" s="310" t="s">
        <v>159</v>
      </c>
      <c r="B224" s="299">
        <v>0</v>
      </c>
      <c r="C224" s="299">
        <v>0</v>
      </c>
      <c r="D224" s="295"/>
      <c r="E224" s="299">
        <v>0</v>
      </c>
      <c r="F224" s="299">
        <v>0</v>
      </c>
      <c r="G224" s="295"/>
      <c r="H224" s="299">
        <f t="shared" si="8"/>
        <v>0</v>
      </c>
      <c r="I224" s="299">
        <f t="shared" si="9"/>
        <v>0</v>
      </c>
      <c r="M224" s="319">
        <f>VLOOKUP(A224,[4]Sheet1!$B:$D,2,FALSE)</f>
        <v>0</v>
      </c>
      <c r="N224" s="319">
        <f>VLOOKUP(A224,[4]Sheet1!$B:$D,3,FALSE)</f>
        <v>0</v>
      </c>
      <c r="P224" s="320">
        <f t="shared" si="14"/>
        <v>0</v>
      </c>
      <c r="Q224" s="320">
        <f t="shared" si="15"/>
        <v>0</v>
      </c>
    </row>
    <row r="225" spans="1:17" x14ac:dyDescent="0.2">
      <c r="A225" s="310" t="s">
        <v>160</v>
      </c>
      <c r="B225" s="299">
        <v>0</v>
      </c>
      <c r="C225" s="299">
        <v>0</v>
      </c>
      <c r="D225" s="295"/>
      <c r="E225" s="299">
        <v>0</v>
      </c>
      <c r="F225" s="299">
        <v>0</v>
      </c>
      <c r="G225" s="295"/>
      <c r="H225" s="299">
        <f t="shared" si="8"/>
        <v>0</v>
      </c>
      <c r="I225" s="299">
        <f t="shared" si="9"/>
        <v>0</v>
      </c>
      <c r="M225" s="319">
        <f>VLOOKUP(A225,[4]Sheet1!$B:$D,2,FALSE)</f>
        <v>0</v>
      </c>
      <c r="N225" s="319">
        <f>VLOOKUP(A225,[4]Sheet1!$B:$D,3,FALSE)</f>
        <v>0</v>
      </c>
      <c r="P225" s="320">
        <f t="shared" si="14"/>
        <v>0</v>
      </c>
      <c r="Q225" s="320">
        <f t="shared" si="15"/>
        <v>0</v>
      </c>
    </row>
    <row r="226" spans="1:17" x14ac:dyDescent="0.2">
      <c r="A226" s="310" t="s">
        <v>680</v>
      </c>
      <c r="B226" s="299">
        <v>0</v>
      </c>
      <c r="C226" s="299">
        <v>1127808</v>
      </c>
      <c r="D226" s="295"/>
      <c r="E226" s="299">
        <v>1127808</v>
      </c>
      <c r="F226" s="299">
        <v>0</v>
      </c>
      <c r="G226" s="295"/>
      <c r="H226" s="299">
        <f t="shared" si="8"/>
        <v>0</v>
      </c>
      <c r="I226" s="300">
        <f>C226-E226</f>
        <v>0</v>
      </c>
      <c r="P226" s="320">
        <f t="shared" si="14"/>
        <v>0</v>
      </c>
      <c r="Q226" s="320">
        <f t="shared" si="15"/>
        <v>0</v>
      </c>
    </row>
    <row r="227" spans="1:17" x14ac:dyDescent="0.2">
      <c r="A227" s="310" t="s">
        <v>681</v>
      </c>
      <c r="B227" s="299">
        <v>0</v>
      </c>
      <c r="C227" s="299">
        <v>2129113.5099999998</v>
      </c>
      <c r="D227" s="295"/>
      <c r="E227" s="299">
        <v>0</v>
      </c>
      <c r="F227" s="299">
        <v>0</v>
      </c>
      <c r="G227" s="295"/>
      <c r="H227" s="299">
        <f t="shared" si="8"/>
        <v>0</v>
      </c>
      <c r="I227" s="300">
        <f t="shared" si="9"/>
        <v>2129113.5099999998</v>
      </c>
      <c r="M227" s="319">
        <f>VLOOKUP(A227,[4]Sheet1!$B:$D,2,FALSE)</f>
        <v>0</v>
      </c>
      <c r="N227" s="319">
        <f>VLOOKUP(A227,[4]Sheet1!$B:$D,3,FALSE)</f>
        <v>2129113.5099999998</v>
      </c>
      <c r="P227" s="320">
        <f t="shared" si="14"/>
        <v>0</v>
      </c>
      <c r="Q227" s="320">
        <f t="shared" si="15"/>
        <v>0</v>
      </c>
    </row>
    <row r="228" spans="1:17" x14ac:dyDescent="0.2">
      <c r="A228" s="310" t="s">
        <v>166</v>
      </c>
      <c r="B228" s="299">
        <v>0</v>
      </c>
      <c r="C228" s="299">
        <v>51379</v>
      </c>
      <c r="D228" s="295"/>
      <c r="E228" s="299">
        <v>0</v>
      </c>
      <c r="F228" s="299">
        <v>0</v>
      </c>
      <c r="G228" s="295"/>
      <c r="H228" s="299">
        <f t="shared" ref="H228:H270" si="16">B228</f>
        <v>0</v>
      </c>
      <c r="I228" s="300">
        <f t="shared" ref="I228:I270" si="17">C228</f>
        <v>51379</v>
      </c>
      <c r="M228" s="319">
        <f>VLOOKUP(A228,[4]Sheet1!$B:$D,2,FALSE)</f>
        <v>0</v>
      </c>
      <c r="N228" s="319">
        <f>VLOOKUP(A228,[4]Sheet1!$B:$D,3,FALSE)</f>
        <v>51379</v>
      </c>
      <c r="P228" s="320">
        <f t="shared" si="14"/>
        <v>0</v>
      </c>
      <c r="Q228" s="320">
        <f t="shared" si="15"/>
        <v>0</v>
      </c>
    </row>
    <row r="229" spans="1:17" x14ac:dyDescent="0.2">
      <c r="A229" s="310" t="s">
        <v>541</v>
      </c>
      <c r="B229" s="299">
        <v>0</v>
      </c>
      <c r="C229" s="299">
        <v>885000</v>
      </c>
      <c r="D229" s="295"/>
      <c r="E229" s="299">
        <v>0</v>
      </c>
      <c r="F229" s="299">
        <v>0</v>
      </c>
      <c r="G229" s="295"/>
      <c r="H229" s="299">
        <f t="shared" si="16"/>
        <v>0</v>
      </c>
      <c r="I229" s="300">
        <f t="shared" si="17"/>
        <v>885000</v>
      </c>
      <c r="M229" s="319">
        <f>VLOOKUP(A229,[4]Sheet1!$B:$D,2,FALSE)</f>
        <v>0</v>
      </c>
      <c r="N229" s="319">
        <f>VLOOKUP(A229,[4]Sheet1!$B:$D,3,FALSE)</f>
        <v>885000</v>
      </c>
      <c r="P229" s="320">
        <f t="shared" si="14"/>
        <v>0</v>
      </c>
      <c r="Q229" s="320">
        <f t="shared" si="15"/>
        <v>0</v>
      </c>
    </row>
    <row r="230" spans="1:17" x14ac:dyDescent="0.2">
      <c r="A230" s="310" t="s">
        <v>542</v>
      </c>
      <c r="B230" s="299">
        <v>0</v>
      </c>
      <c r="C230" s="299">
        <v>4458000</v>
      </c>
      <c r="D230" s="295"/>
      <c r="E230" s="299">
        <v>0</v>
      </c>
      <c r="F230" s="299">
        <v>0</v>
      </c>
      <c r="G230" s="295"/>
      <c r="H230" s="299">
        <f t="shared" si="16"/>
        <v>0</v>
      </c>
      <c r="I230" s="300">
        <f t="shared" si="17"/>
        <v>4458000</v>
      </c>
      <c r="M230" s="319">
        <f>VLOOKUP(A230,[4]Sheet1!$B:$D,2,FALSE)</f>
        <v>0</v>
      </c>
      <c r="N230" s="319">
        <f>VLOOKUP(A230,[4]Sheet1!$B:$D,3,FALSE)</f>
        <v>4458000</v>
      </c>
      <c r="P230" s="320">
        <f t="shared" si="14"/>
        <v>0</v>
      </c>
      <c r="Q230" s="320">
        <f t="shared" si="15"/>
        <v>0</v>
      </c>
    </row>
    <row r="231" spans="1:17" x14ac:dyDescent="0.2">
      <c r="A231" s="310" t="s">
        <v>637</v>
      </c>
      <c r="B231" s="299">
        <v>0</v>
      </c>
      <c r="C231" s="299">
        <v>10745324.65</v>
      </c>
      <c r="D231" s="295"/>
      <c r="E231" s="299">
        <v>0</v>
      </c>
      <c r="F231" s="299">
        <v>0</v>
      </c>
      <c r="G231" s="295"/>
      <c r="H231" s="299">
        <f t="shared" si="16"/>
        <v>0</v>
      </c>
      <c r="I231" s="300">
        <f t="shared" si="17"/>
        <v>10745324.65</v>
      </c>
      <c r="M231" s="319">
        <f>VLOOKUP(A231,[4]Sheet1!$B:$D,2,FALSE)</f>
        <v>0</v>
      </c>
      <c r="N231" s="319">
        <f>VLOOKUP(A231,[4]Sheet1!$B:$D,3,FALSE)</f>
        <v>10745324.65</v>
      </c>
      <c r="P231" s="320">
        <f t="shared" si="14"/>
        <v>0</v>
      </c>
      <c r="Q231" s="320">
        <f t="shared" si="15"/>
        <v>0</v>
      </c>
    </row>
    <row r="232" spans="1:17" x14ac:dyDescent="0.2">
      <c r="A232" s="310" t="s">
        <v>167</v>
      </c>
      <c r="B232" s="299">
        <v>11786646.91</v>
      </c>
      <c r="C232" s="299">
        <v>0</v>
      </c>
      <c r="D232" s="295"/>
      <c r="E232" s="299">
        <v>0</v>
      </c>
      <c r="F232" s="299">
        <v>0</v>
      </c>
      <c r="G232" s="295"/>
      <c r="H232" s="300">
        <f>B232+E232</f>
        <v>11786646.91</v>
      </c>
      <c r="I232" s="299">
        <f t="shared" si="17"/>
        <v>0</v>
      </c>
      <c r="M232" s="319">
        <f>VLOOKUP(A232,[4]Sheet1!$B:$D,2,FALSE)</f>
        <v>11786646.91</v>
      </c>
      <c r="N232" s="319">
        <f>VLOOKUP(A232,[4]Sheet1!$B:$D,3,FALSE)</f>
        <v>0</v>
      </c>
      <c r="P232" s="320">
        <f t="shared" si="14"/>
        <v>0</v>
      </c>
      <c r="Q232" s="320">
        <f t="shared" si="15"/>
        <v>0</v>
      </c>
    </row>
    <row r="233" spans="1:17" x14ac:dyDescent="0.2">
      <c r="A233" s="310" t="s">
        <v>168</v>
      </c>
      <c r="B233" s="299">
        <v>0</v>
      </c>
      <c r="C233" s="299">
        <v>1280297.82</v>
      </c>
      <c r="D233" s="295"/>
      <c r="E233" s="299">
        <v>0</v>
      </c>
      <c r="F233" s="299">
        <v>0</v>
      </c>
      <c r="G233" s="295"/>
      <c r="H233" s="299">
        <f t="shared" si="16"/>
        <v>0</v>
      </c>
      <c r="I233" s="300">
        <f t="shared" si="17"/>
        <v>1280297.82</v>
      </c>
      <c r="M233" s="319">
        <f>VLOOKUP(A233,[4]Sheet1!$B:$D,2,FALSE)</f>
        <v>0</v>
      </c>
      <c r="N233" s="319">
        <f>VLOOKUP(A233,[4]Sheet1!$B:$D,3,FALSE)</f>
        <v>1280297.82</v>
      </c>
      <c r="P233" s="320">
        <f t="shared" si="14"/>
        <v>0</v>
      </c>
      <c r="Q233" s="320">
        <f t="shared" si="15"/>
        <v>0</v>
      </c>
    </row>
    <row r="234" spans="1:17" x14ac:dyDescent="0.2">
      <c r="A234" s="310" t="s">
        <v>638</v>
      </c>
      <c r="B234" s="299">
        <v>0</v>
      </c>
      <c r="C234" s="299">
        <v>11180732.300000001</v>
      </c>
      <c r="D234" s="295"/>
      <c r="E234" s="299">
        <v>0</v>
      </c>
      <c r="F234" s="299">
        <v>0</v>
      </c>
      <c r="G234" s="295"/>
      <c r="H234" s="305">
        <f t="shared" si="16"/>
        <v>0</v>
      </c>
      <c r="I234" s="300">
        <f t="shared" si="17"/>
        <v>11180732.300000001</v>
      </c>
      <c r="M234" s="319">
        <f>VLOOKUP(A234,[4]Sheet1!$B:$D,2,FALSE)</f>
        <v>0</v>
      </c>
      <c r="N234" s="319">
        <f>VLOOKUP(A234,[4]Sheet1!$B:$D,3,FALSE)</f>
        <v>11180732.300000001</v>
      </c>
      <c r="P234" s="320">
        <f t="shared" si="14"/>
        <v>0</v>
      </c>
      <c r="Q234" s="320">
        <f t="shared" si="15"/>
        <v>0</v>
      </c>
    </row>
    <row r="235" spans="1:17" x14ac:dyDescent="0.2">
      <c r="A235" s="310" t="s">
        <v>169</v>
      </c>
      <c r="B235" s="299">
        <v>0</v>
      </c>
      <c r="C235" s="299">
        <v>0</v>
      </c>
      <c r="D235" s="295"/>
      <c r="E235" s="299">
        <v>0</v>
      </c>
      <c r="F235" s="299">
        <v>0</v>
      </c>
      <c r="G235" s="295"/>
      <c r="H235" s="299">
        <f t="shared" si="16"/>
        <v>0</v>
      </c>
      <c r="I235" s="299">
        <f t="shared" si="17"/>
        <v>0</v>
      </c>
      <c r="M235" s="319">
        <f>VLOOKUP(A235,[4]Sheet1!$B:$D,2,FALSE)</f>
        <v>0</v>
      </c>
      <c r="N235" s="319">
        <f>VLOOKUP(A235,[4]Sheet1!$B:$D,3,FALSE)</f>
        <v>0</v>
      </c>
      <c r="P235" s="320">
        <f t="shared" si="14"/>
        <v>0</v>
      </c>
      <c r="Q235" s="320">
        <f t="shared" si="15"/>
        <v>0</v>
      </c>
    </row>
    <row r="236" spans="1:17" x14ac:dyDescent="0.2">
      <c r="A236" s="310" t="s">
        <v>522</v>
      </c>
      <c r="B236" s="299">
        <v>0</v>
      </c>
      <c r="C236" s="299">
        <v>10000</v>
      </c>
      <c r="D236" s="295"/>
      <c r="E236" s="299">
        <v>0</v>
      </c>
      <c r="F236" s="299">
        <v>0</v>
      </c>
      <c r="G236" s="295"/>
      <c r="H236" s="299">
        <f t="shared" si="16"/>
        <v>0</v>
      </c>
      <c r="I236" s="300">
        <f t="shared" si="17"/>
        <v>10000</v>
      </c>
      <c r="M236" s="319">
        <f>VLOOKUP(A236,[4]Sheet1!$B:$D,2,FALSE)</f>
        <v>0</v>
      </c>
      <c r="N236" s="319">
        <f>VLOOKUP(A236,[4]Sheet1!$B:$D,3,FALSE)</f>
        <v>10000</v>
      </c>
      <c r="P236" s="320">
        <f t="shared" si="14"/>
        <v>0</v>
      </c>
      <c r="Q236" s="320">
        <f t="shared" si="15"/>
        <v>0</v>
      </c>
    </row>
    <row r="237" spans="1:17" x14ac:dyDescent="0.2">
      <c r="A237" s="310" t="s">
        <v>684</v>
      </c>
      <c r="B237" s="299">
        <v>0</v>
      </c>
      <c r="C237" s="299">
        <v>973331.92</v>
      </c>
      <c r="D237" s="295"/>
      <c r="E237" s="299">
        <v>0</v>
      </c>
      <c r="F237" s="299">
        <v>0</v>
      </c>
      <c r="G237" s="295"/>
      <c r="H237" s="299">
        <f t="shared" si="16"/>
        <v>0</v>
      </c>
      <c r="I237" s="300">
        <f t="shared" si="17"/>
        <v>973331.92</v>
      </c>
      <c r="M237" s="319">
        <f>VLOOKUP(A237,[4]Sheet1!$B:$D,2,FALSE)</f>
        <v>0</v>
      </c>
      <c r="N237" s="319">
        <f>VLOOKUP(A237,[4]Sheet1!$B:$D,3,FALSE)</f>
        <v>973331.92</v>
      </c>
      <c r="P237" s="320">
        <f t="shared" si="14"/>
        <v>0</v>
      </c>
      <c r="Q237" s="320">
        <f t="shared" si="15"/>
        <v>0</v>
      </c>
    </row>
    <row r="238" spans="1:17" x14ac:dyDescent="0.2">
      <c r="A238" s="310" t="s">
        <v>685</v>
      </c>
      <c r="B238" s="299">
        <v>0</v>
      </c>
      <c r="C238" s="299">
        <v>683991.07</v>
      </c>
      <c r="D238" s="295"/>
      <c r="E238" s="299">
        <v>0</v>
      </c>
      <c r="F238" s="299">
        <v>0</v>
      </c>
      <c r="G238" s="295"/>
      <c r="H238" s="299">
        <f t="shared" si="16"/>
        <v>0</v>
      </c>
      <c r="I238" s="300">
        <f t="shared" si="17"/>
        <v>683991.07</v>
      </c>
      <c r="M238" s="319">
        <f>VLOOKUP(A238,[4]Sheet1!$B:$D,2,FALSE)</f>
        <v>0</v>
      </c>
      <c r="N238" s="319">
        <f>VLOOKUP(A238,[4]Sheet1!$B:$D,3,FALSE)</f>
        <v>683991.07</v>
      </c>
      <c r="P238" s="320">
        <f t="shared" si="14"/>
        <v>0</v>
      </c>
      <c r="Q238" s="320">
        <f t="shared" si="15"/>
        <v>0</v>
      </c>
    </row>
    <row r="239" spans="1:17" x14ac:dyDescent="0.2">
      <c r="A239" s="294" t="s">
        <v>175</v>
      </c>
      <c r="B239" s="299">
        <v>0</v>
      </c>
      <c r="C239" s="299">
        <v>0</v>
      </c>
      <c r="D239" s="295"/>
      <c r="E239" s="299">
        <v>0</v>
      </c>
      <c r="F239" s="299">
        <v>0</v>
      </c>
      <c r="G239" s="295"/>
      <c r="H239" s="299">
        <f t="shared" si="16"/>
        <v>0</v>
      </c>
      <c r="I239" s="299">
        <f t="shared" si="17"/>
        <v>0</v>
      </c>
      <c r="M239" s="319">
        <f>VLOOKUP(A239,[4]Sheet1!$B:$D,2,FALSE)</f>
        <v>0</v>
      </c>
      <c r="N239" s="319">
        <f>VLOOKUP(A239,[4]Sheet1!$B:$D,3,FALSE)</f>
        <v>0</v>
      </c>
      <c r="P239" s="320">
        <f t="shared" si="14"/>
        <v>0</v>
      </c>
      <c r="Q239" s="320">
        <f t="shared" si="15"/>
        <v>0</v>
      </c>
    </row>
    <row r="240" spans="1:17" x14ac:dyDescent="0.2">
      <c r="A240" s="294" t="s">
        <v>176</v>
      </c>
      <c r="B240" s="299">
        <v>0</v>
      </c>
      <c r="C240" s="299">
        <v>2000020</v>
      </c>
      <c r="D240" s="295"/>
      <c r="E240" s="299">
        <v>0</v>
      </c>
      <c r="F240" s="299">
        <v>0</v>
      </c>
      <c r="G240" s="295"/>
      <c r="H240" s="299">
        <f t="shared" si="16"/>
        <v>0</v>
      </c>
      <c r="I240" s="315">
        <f t="shared" si="17"/>
        <v>2000020</v>
      </c>
      <c r="M240" s="319">
        <f>VLOOKUP(A240,[4]Sheet1!$B:$D,2,FALSE)</f>
        <v>0</v>
      </c>
      <c r="N240" s="319">
        <f>VLOOKUP(A240,[4]Sheet1!$B:$D,3,FALSE)</f>
        <v>2000020</v>
      </c>
      <c r="P240" s="320">
        <f t="shared" si="14"/>
        <v>0</v>
      </c>
      <c r="Q240" s="320">
        <f t="shared" si="15"/>
        <v>0</v>
      </c>
    </row>
    <row r="241" spans="1:17" x14ac:dyDescent="0.2">
      <c r="A241" s="294" t="s">
        <v>689</v>
      </c>
      <c r="B241" s="299">
        <v>33046</v>
      </c>
      <c r="C241" s="299">
        <v>0</v>
      </c>
      <c r="D241" s="295"/>
      <c r="E241" s="299">
        <v>0</v>
      </c>
      <c r="F241" s="299">
        <v>0</v>
      </c>
      <c r="G241" s="295"/>
      <c r="H241" s="315">
        <f t="shared" si="16"/>
        <v>33046</v>
      </c>
      <c r="I241" s="299">
        <f t="shared" si="17"/>
        <v>0</v>
      </c>
      <c r="M241" s="319">
        <f>VLOOKUP(A241,[4]Sheet1!$B:$D,2,FALSE)</f>
        <v>33046</v>
      </c>
      <c r="N241" s="319">
        <f>VLOOKUP(A241,[4]Sheet1!$B:$D,3,FALSE)</f>
        <v>0</v>
      </c>
      <c r="P241" s="320">
        <f t="shared" si="14"/>
        <v>0</v>
      </c>
      <c r="Q241" s="320">
        <f t="shared" si="15"/>
        <v>0</v>
      </c>
    </row>
    <row r="242" spans="1:17" x14ac:dyDescent="0.2">
      <c r="A242" s="294" t="s">
        <v>690</v>
      </c>
      <c r="B242" s="299">
        <v>137510.44</v>
      </c>
      <c r="C242" s="299">
        <v>0</v>
      </c>
      <c r="D242" s="295"/>
      <c r="E242" s="299">
        <v>0</v>
      </c>
      <c r="F242" s="299">
        <v>0</v>
      </c>
      <c r="G242" s="295"/>
      <c r="H242" s="315">
        <f t="shared" si="16"/>
        <v>137510.44</v>
      </c>
      <c r="I242" s="299">
        <f t="shared" si="17"/>
        <v>0</v>
      </c>
      <c r="M242" s="319">
        <f>VLOOKUP(A242,[4]Sheet1!$B:$D,2,FALSE)</f>
        <v>137510.44</v>
      </c>
      <c r="N242" s="319">
        <f>VLOOKUP(A242,[4]Sheet1!$B:$D,3,FALSE)</f>
        <v>0</v>
      </c>
      <c r="P242" s="320">
        <f t="shared" si="14"/>
        <v>0</v>
      </c>
      <c r="Q242" s="320">
        <f t="shared" si="15"/>
        <v>0</v>
      </c>
    </row>
    <row r="243" spans="1:17" x14ac:dyDescent="0.2">
      <c r="A243" s="294" t="s">
        <v>177</v>
      </c>
      <c r="B243" s="299">
        <v>0</v>
      </c>
      <c r="C243" s="299">
        <v>24639053.23</v>
      </c>
      <c r="D243" s="295"/>
      <c r="E243" s="299">
        <v>0</v>
      </c>
      <c r="F243" s="299">
        <v>0</v>
      </c>
      <c r="G243" s="295"/>
      <c r="H243" s="299">
        <f t="shared" si="16"/>
        <v>0</v>
      </c>
      <c r="I243" s="315">
        <f t="shared" si="17"/>
        <v>24639053.23</v>
      </c>
      <c r="M243" s="319">
        <f>VLOOKUP(A243,[4]Sheet1!$B:$D,2,FALSE)</f>
        <v>0</v>
      </c>
      <c r="N243" s="319">
        <f>VLOOKUP(A243,[4]Sheet1!$B:$D,3,FALSE)</f>
        <v>24639053.23</v>
      </c>
      <c r="P243" s="320">
        <f t="shared" si="14"/>
        <v>0</v>
      </c>
      <c r="Q243" s="320">
        <f t="shared" si="15"/>
        <v>0</v>
      </c>
    </row>
    <row r="244" spans="1:17" x14ac:dyDescent="0.2">
      <c r="A244" s="294" t="s">
        <v>178</v>
      </c>
      <c r="B244" s="299">
        <v>0</v>
      </c>
      <c r="C244" s="299">
        <v>116334450.05</v>
      </c>
      <c r="D244" s="295"/>
      <c r="E244" s="299">
        <v>0</v>
      </c>
      <c r="F244" s="299">
        <v>24384.9</v>
      </c>
      <c r="G244" s="295"/>
      <c r="H244" s="299">
        <f t="shared" si="16"/>
        <v>0</v>
      </c>
      <c r="I244" s="315">
        <f>C244+F244</f>
        <v>116358834.95</v>
      </c>
      <c r="J244" s="319" t="e">
        <f>FP!#REF!</f>
        <v>#REF!</v>
      </c>
      <c r="K244" s="320" t="e">
        <f>I244-J244</f>
        <v>#REF!</v>
      </c>
      <c r="L244" s="321" t="s">
        <v>787</v>
      </c>
      <c r="M244" s="319">
        <f>VLOOKUP(A244,[4]Sheet1!$B:$D,2,FALSE)</f>
        <v>0</v>
      </c>
      <c r="N244" s="319">
        <f>VLOOKUP(A244,[4]Sheet1!$B:$D,3,FALSE)</f>
        <v>116334450.05</v>
      </c>
      <c r="P244" s="320">
        <f t="shared" si="14"/>
        <v>0</v>
      </c>
      <c r="Q244" s="320">
        <f t="shared" si="15"/>
        <v>24384.90000000596</v>
      </c>
    </row>
    <row r="245" spans="1:17" x14ac:dyDescent="0.2">
      <c r="A245" s="294" t="s">
        <v>691</v>
      </c>
      <c r="B245" s="299">
        <v>0</v>
      </c>
      <c r="C245" s="299">
        <v>667616.4</v>
      </c>
      <c r="D245" s="295"/>
      <c r="E245" s="299">
        <v>0</v>
      </c>
      <c r="F245" s="299">
        <v>0</v>
      </c>
      <c r="G245" s="295"/>
      <c r="H245" s="299">
        <f t="shared" si="16"/>
        <v>0</v>
      </c>
      <c r="I245" s="300">
        <f t="shared" si="17"/>
        <v>667616.4</v>
      </c>
      <c r="M245" s="319">
        <f>VLOOKUP(A245,[4]Sheet1!$B:$D,2,FALSE)</f>
        <v>0</v>
      </c>
      <c r="N245" s="319">
        <f>VLOOKUP(A245,[4]Sheet1!$B:$D,3,FALSE)</f>
        <v>667616.4</v>
      </c>
      <c r="P245" s="320">
        <f t="shared" si="14"/>
        <v>0</v>
      </c>
      <c r="Q245" s="320">
        <f t="shared" si="15"/>
        <v>0</v>
      </c>
    </row>
    <row r="246" spans="1:17" x14ac:dyDescent="0.2">
      <c r="A246" s="294" t="s">
        <v>179</v>
      </c>
      <c r="B246" s="299">
        <v>0</v>
      </c>
      <c r="C246" s="299">
        <v>78368293.040000007</v>
      </c>
      <c r="D246" s="295"/>
      <c r="E246" s="299">
        <v>0</v>
      </c>
      <c r="F246" s="299">
        <v>0</v>
      </c>
      <c r="G246" s="295"/>
      <c r="H246" s="299">
        <f t="shared" si="16"/>
        <v>0</v>
      </c>
      <c r="I246" s="300">
        <f>C246+F246</f>
        <v>78368293.040000007</v>
      </c>
      <c r="M246" s="319">
        <f>VLOOKUP(A246,[4]Sheet1!$B:$D,2,FALSE)</f>
        <v>0</v>
      </c>
      <c r="N246" s="319">
        <f>VLOOKUP(A246,[4]Sheet1!$B:$D,3,FALSE)</f>
        <v>78368293.040000007</v>
      </c>
      <c r="P246" s="320">
        <f t="shared" si="14"/>
        <v>0</v>
      </c>
      <c r="Q246" s="320">
        <f t="shared" si="15"/>
        <v>0</v>
      </c>
    </row>
    <row r="247" spans="1:17" x14ac:dyDescent="0.2">
      <c r="A247" s="294" t="s">
        <v>180</v>
      </c>
      <c r="B247" s="299">
        <v>0</v>
      </c>
      <c r="C247" s="299">
        <v>16769294.289999999</v>
      </c>
      <c r="D247" s="295"/>
      <c r="E247" s="299">
        <v>0</v>
      </c>
      <c r="F247" s="299">
        <v>0</v>
      </c>
      <c r="G247" s="295"/>
      <c r="H247" s="299">
        <f t="shared" si="16"/>
        <v>0</v>
      </c>
      <c r="I247" s="300">
        <f t="shared" si="17"/>
        <v>16769294.289999999</v>
      </c>
      <c r="M247" s="319">
        <f>VLOOKUP(A247,[4]Sheet1!$B:$D,2,FALSE)</f>
        <v>0</v>
      </c>
      <c r="N247" s="319">
        <f>VLOOKUP(A247,[4]Sheet1!$B:$D,3,FALSE)</f>
        <v>16769294.289999999</v>
      </c>
      <c r="P247" s="320">
        <f t="shared" si="14"/>
        <v>0</v>
      </c>
      <c r="Q247" s="320">
        <f t="shared" si="15"/>
        <v>0</v>
      </c>
    </row>
    <row r="248" spans="1:17" x14ac:dyDescent="0.2">
      <c r="A248" s="294" t="s">
        <v>291</v>
      </c>
      <c r="B248" s="299">
        <v>0</v>
      </c>
      <c r="C248" s="299">
        <v>8694222.7599999998</v>
      </c>
      <c r="D248" s="295"/>
      <c r="E248" s="299">
        <v>0</v>
      </c>
      <c r="F248" s="299">
        <v>0</v>
      </c>
      <c r="G248" s="295"/>
      <c r="H248" s="299">
        <f t="shared" si="16"/>
        <v>0</v>
      </c>
      <c r="I248" s="300">
        <f t="shared" si="17"/>
        <v>8694222.7599999998</v>
      </c>
      <c r="M248" s="319">
        <f>VLOOKUP(A248,[4]Sheet1!$B:$D,2,FALSE)</f>
        <v>0</v>
      </c>
      <c r="N248" s="319">
        <f>VLOOKUP(A248,[4]Sheet1!$B:$D,3,FALSE)</f>
        <v>8694222.7599999998</v>
      </c>
      <c r="P248" s="320">
        <f t="shared" si="14"/>
        <v>0</v>
      </c>
      <c r="Q248" s="320">
        <f t="shared" si="15"/>
        <v>0</v>
      </c>
    </row>
    <row r="249" spans="1:17" x14ac:dyDescent="0.2">
      <c r="A249" s="294" t="s">
        <v>181</v>
      </c>
      <c r="B249" s="299">
        <v>0</v>
      </c>
      <c r="C249" s="299">
        <v>4770557.88</v>
      </c>
      <c r="D249" s="295"/>
      <c r="E249" s="299">
        <v>0</v>
      </c>
      <c r="F249" s="299">
        <v>0</v>
      </c>
      <c r="G249" s="295"/>
      <c r="H249" s="299">
        <f t="shared" si="16"/>
        <v>0</v>
      </c>
      <c r="I249" s="300">
        <f t="shared" si="17"/>
        <v>4770557.88</v>
      </c>
      <c r="M249" s="319">
        <f>VLOOKUP(A249,[4]Sheet1!$B:$D,2,FALSE)</f>
        <v>0</v>
      </c>
      <c r="N249" s="319">
        <f>VLOOKUP(A249,[4]Sheet1!$B:$D,3,FALSE)</f>
        <v>4770557.88</v>
      </c>
      <c r="P249" s="320">
        <f t="shared" si="14"/>
        <v>0</v>
      </c>
      <c r="Q249" s="320">
        <f t="shared" si="15"/>
        <v>0</v>
      </c>
    </row>
    <row r="250" spans="1:17" x14ac:dyDescent="0.2">
      <c r="A250" s="294" t="s">
        <v>182</v>
      </c>
      <c r="B250" s="299">
        <v>0</v>
      </c>
      <c r="C250" s="299">
        <v>52665004.060000002</v>
      </c>
      <c r="D250" s="295"/>
      <c r="E250" s="299">
        <v>0</v>
      </c>
      <c r="F250" s="299">
        <v>0</v>
      </c>
      <c r="G250" s="295"/>
      <c r="H250" s="299">
        <f t="shared" si="16"/>
        <v>0</v>
      </c>
      <c r="I250" s="300">
        <f t="shared" si="17"/>
        <v>52665004.060000002</v>
      </c>
      <c r="M250" s="319">
        <f>VLOOKUP(A250,[4]Sheet1!$B:$D,2,FALSE)</f>
        <v>0</v>
      </c>
      <c r="N250" s="319">
        <f>VLOOKUP(A250,[4]Sheet1!$B:$D,3,FALSE)</f>
        <v>52665004.060000002</v>
      </c>
      <c r="P250" s="320">
        <f t="shared" si="14"/>
        <v>0</v>
      </c>
      <c r="Q250" s="320">
        <f t="shared" si="15"/>
        <v>0</v>
      </c>
    </row>
    <row r="251" spans="1:17" x14ac:dyDescent="0.2">
      <c r="A251" s="294" t="s">
        <v>183</v>
      </c>
      <c r="B251" s="299">
        <v>0</v>
      </c>
      <c r="C251" s="299">
        <v>7404728.9100000001</v>
      </c>
      <c r="D251" s="295"/>
      <c r="E251" s="299">
        <v>0</v>
      </c>
      <c r="F251" s="299">
        <v>0</v>
      </c>
      <c r="G251" s="295"/>
      <c r="H251" s="299">
        <f t="shared" si="16"/>
        <v>0</v>
      </c>
      <c r="I251" s="300">
        <f t="shared" si="17"/>
        <v>7404728.9100000001</v>
      </c>
      <c r="M251" s="319">
        <f>VLOOKUP(A251,[4]Sheet1!$B:$D,2,FALSE)</f>
        <v>0</v>
      </c>
      <c r="N251" s="319">
        <f>VLOOKUP(A251,[4]Sheet1!$B:$D,3,FALSE)</f>
        <v>7404728.9100000001</v>
      </c>
      <c r="P251" s="320">
        <f t="shared" si="14"/>
        <v>0</v>
      </c>
      <c r="Q251" s="320">
        <f t="shared" si="15"/>
        <v>0</v>
      </c>
    </row>
    <row r="252" spans="1:17" x14ac:dyDescent="0.2">
      <c r="A252" s="294" t="s">
        <v>374</v>
      </c>
      <c r="B252" s="299">
        <v>0</v>
      </c>
      <c r="C252" s="299">
        <v>65665</v>
      </c>
      <c r="D252" s="295"/>
      <c r="E252" s="299">
        <v>0</v>
      </c>
      <c r="F252" s="299">
        <v>0</v>
      </c>
      <c r="G252" s="295"/>
      <c r="H252" s="299">
        <f t="shared" si="16"/>
        <v>0</v>
      </c>
      <c r="I252" s="300">
        <f t="shared" si="17"/>
        <v>65665</v>
      </c>
      <c r="M252" s="319">
        <f>VLOOKUP(A252,[4]Sheet1!$B:$D,2,FALSE)</f>
        <v>0</v>
      </c>
      <c r="N252" s="319">
        <f>VLOOKUP(A252,[4]Sheet1!$B:$D,3,FALSE)</f>
        <v>65665</v>
      </c>
      <c r="P252" s="320">
        <f t="shared" si="14"/>
        <v>0</v>
      </c>
      <c r="Q252" s="320">
        <f t="shared" si="15"/>
        <v>0</v>
      </c>
    </row>
    <row r="253" spans="1:17" x14ac:dyDescent="0.2">
      <c r="A253" s="294" t="s">
        <v>375</v>
      </c>
      <c r="B253" s="299">
        <v>0</v>
      </c>
      <c r="C253" s="299">
        <v>126080</v>
      </c>
      <c r="D253" s="295"/>
      <c r="E253" s="299">
        <v>0</v>
      </c>
      <c r="F253" s="299">
        <v>0</v>
      </c>
      <c r="G253" s="295"/>
      <c r="H253" s="299">
        <f t="shared" si="16"/>
        <v>0</v>
      </c>
      <c r="I253" s="300">
        <f t="shared" si="17"/>
        <v>126080</v>
      </c>
      <c r="M253" s="319">
        <f>VLOOKUP(A253,[4]Sheet1!$B:$D,2,FALSE)</f>
        <v>0</v>
      </c>
      <c r="N253" s="319">
        <f>VLOOKUP(A253,[4]Sheet1!$B:$D,3,FALSE)</f>
        <v>126080</v>
      </c>
      <c r="P253" s="320">
        <f t="shared" si="14"/>
        <v>0</v>
      </c>
      <c r="Q253" s="320">
        <f t="shared" si="15"/>
        <v>0</v>
      </c>
    </row>
    <row r="254" spans="1:17" x14ac:dyDescent="0.2">
      <c r="A254" s="294" t="s">
        <v>376</v>
      </c>
      <c r="B254" s="299">
        <v>32955.71</v>
      </c>
      <c r="C254" s="299">
        <v>0</v>
      </c>
      <c r="D254" s="295"/>
      <c r="E254" s="299">
        <v>0</v>
      </c>
      <c r="F254" s="299">
        <v>0</v>
      </c>
      <c r="G254" s="295"/>
      <c r="H254" s="300">
        <f t="shared" si="16"/>
        <v>32955.71</v>
      </c>
      <c r="I254" s="299">
        <f t="shared" si="17"/>
        <v>0</v>
      </c>
      <c r="M254" s="319">
        <f>VLOOKUP(A254,[4]Sheet1!$B:$D,2,FALSE)</f>
        <v>32955.71</v>
      </c>
      <c r="N254" s="319">
        <f>VLOOKUP(A254,[4]Sheet1!$B:$D,3,FALSE)</f>
        <v>0</v>
      </c>
      <c r="P254" s="320">
        <f t="shared" si="14"/>
        <v>0</v>
      </c>
      <c r="Q254" s="320">
        <f t="shared" si="15"/>
        <v>0</v>
      </c>
    </row>
    <row r="255" spans="1:17" x14ac:dyDescent="0.2">
      <c r="A255" s="294" t="s">
        <v>378</v>
      </c>
      <c r="B255" s="299">
        <v>99518.399999999994</v>
      </c>
      <c r="C255" s="299">
        <v>0</v>
      </c>
      <c r="D255" s="295"/>
      <c r="E255" s="299">
        <v>0</v>
      </c>
      <c r="F255" s="299">
        <v>0</v>
      </c>
      <c r="G255" s="295"/>
      <c r="H255" s="300">
        <f t="shared" si="16"/>
        <v>99518.399999999994</v>
      </c>
      <c r="I255" s="299">
        <f t="shared" si="17"/>
        <v>0</v>
      </c>
      <c r="M255" s="319">
        <f>VLOOKUP(A255,[4]Sheet1!$B:$D,2,FALSE)</f>
        <v>99518.399999999994</v>
      </c>
      <c r="N255" s="319">
        <f>VLOOKUP(A255,[4]Sheet1!$B:$D,3,FALSE)</f>
        <v>0</v>
      </c>
      <c r="P255" s="320">
        <f t="shared" si="14"/>
        <v>0</v>
      </c>
      <c r="Q255" s="320">
        <f t="shared" si="15"/>
        <v>0</v>
      </c>
    </row>
    <row r="256" spans="1:17" x14ac:dyDescent="0.2">
      <c r="A256" s="294" t="s">
        <v>379</v>
      </c>
      <c r="B256" s="299">
        <v>56390</v>
      </c>
      <c r="C256" s="299">
        <v>0</v>
      </c>
      <c r="D256" s="295"/>
      <c r="E256" s="299">
        <v>0</v>
      </c>
      <c r="F256" s="299">
        <v>0</v>
      </c>
      <c r="G256" s="295"/>
      <c r="H256" s="300">
        <f t="shared" si="16"/>
        <v>56390</v>
      </c>
      <c r="I256" s="299">
        <f t="shared" si="17"/>
        <v>0</v>
      </c>
      <c r="M256" s="319">
        <f>VLOOKUP(A256,[4]Sheet1!$B:$D,2,FALSE)</f>
        <v>56390</v>
      </c>
      <c r="N256" s="319">
        <f>VLOOKUP(A256,[4]Sheet1!$B:$D,3,FALSE)</f>
        <v>0</v>
      </c>
      <c r="P256" s="320">
        <f t="shared" si="14"/>
        <v>0</v>
      </c>
      <c r="Q256" s="320">
        <f t="shared" si="15"/>
        <v>0</v>
      </c>
    </row>
    <row r="257" spans="1:17" x14ac:dyDescent="0.2">
      <c r="A257" s="294" t="s">
        <v>380</v>
      </c>
      <c r="B257" s="299">
        <v>2500</v>
      </c>
      <c r="C257" s="299">
        <v>0</v>
      </c>
      <c r="D257" s="295"/>
      <c r="E257" s="299">
        <v>0</v>
      </c>
      <c r="F257" s="299">
        <v>0</v>
      </c>
      <c r="G257" s="295"/>
      <c r="H257" s="300">
        <f t="shared" si="16"/>
        <v>2500</v>
      </c>
      <c r="I257" s="299">
        <f t="shared" si="17"/>
        <v>0</v>
      </c>
      <c r="M257" s="319">
        <f>VLOOKUP(A257,[4]Sheet1!$B:$D,2,FALSE)</f>
        <v>2500</v>
      </c>
      <c r="N257" s="319">
        <f>VLOOKUP(A257,[4]Sheet1!$B:$D,3,FALSE)</f>
        <v>0</v>
      </c>
      <c r="P257" s="320">
        <f t="shared" si="14"/>
        <v>0</v>
      </c>
      <c r="Q257" s="320">
        <f t="shared" si="15"/>
        <v>0</v>
      </c>
    </row>
    <row r="258" spans="1:17" x14ac:dyDescent="0.2">
      <c r="A258" s="294" t="s">
        <v>381</v>
      </c>
      <c r="B258" s="299">
        <v>66570</v>
      </c>
      <c r="C258" s="299">
        <v>0</v>
      </c>
      <c r="D258" s="295"/>
      <c r="E258" s="299">
        <v>0</v>
      </c>
      <c r="F258" s="299">
        <v>0</v>
      </c>
      <c r="G258" s="295"/>
      <c r="H258" s="300">
        <f t="shared" si="16"/>
        <v>66570</v>
      </c>
      <c r="I258" s="299">
        <f t="shared" si="17"/>
        <v>0</v>
      </c>
      <c r="M258" s="319">
        <f>VLOOKUP(A258,[4]Sheet1!$B:$D,2,FALSE)</f>
        <v>66570</v>
      </c>
      <c r="N258" s="319">
        <f>VLOOKUP(A258,[4]Sheet1!$B:$D,3,FALSE)</f>
        <v>0</v>
      </c>
      <c r="P258" s="320">
        <f t="shared" si="14"/>
        <v>0</v>
      </c>
      <c r="Q258" s="320">
        <f t="shared" si="15"/>
        <v>0</v>
      </c>
    </row>
    <row r="259" spans="1:17" x14ac:dyDescent="0.2">
      <c r="A259" s="294" t="s">
        <v>382</v>
      </c>
      <c r="B259" s="299">
        <v>19187.36</v>
      </c>
      <c r="C259" s="299">
        <v>0</v>
      </c>
      <c r="D259" s="295"/>
      <c r="E259" s="299">
        <v>0</v>
      </c>
      <c r="F259" s="299">
        <v>0</v>
      </c>
      <c r="G259" s="295"/>
      <c r="H259" s="300">
        <f t="shared" si="16"/>
        <v>19187.36</v>
      </c>
      <c r="I259" s="299">
        <f t="shared" si="17"/>
        <v>0</v>
      </c>
      <c r="M259" s="319">
        <f>VLOOKUP(A259,[4]Sheet1!$B:$D,2,FALSE)</f>
        <v>19187.36</v>
      </c>
      <c r="N259" s="319">
        <f>VLOOKUP(A259,[4]Sheet1!$B:$D,3,FALSE)</f>
        <v>0</v>
      </c>
      <c r="P259" s="320">
        <f t="shared" si="14"/>
        <v>0</v>
      </c>
      <c r="Q259" s="320">
        <f t="shared" si="15"/>
        <v>0</v>
      </c>
    </row>
    <row r="260" spans="1:17" x14ac:dyDescent="0.2">
      <c r="A260" s="294" t="s">
        <v>383</v>
      </c>
      <c r="B260" s="299">
        <v>32410</v>
      </c>
      <c r="C260" s="299">
        <v>0</v>
      </c>
      <c r="D260" s="295"/>
      <c r="E260" s="299">
        <v>0</v>
      </c>
      <c r="F260" s="299">
        <v>0</v>
      </c>
      <c r="G260" s="295"/>
      <c r="H260" s="300">
        <f t="shared" si="16"/>
        <v>32410</v>
      </c>
      <c r="I260" s="299">
        <f t="shared" si="17"/>
        <v>0</v>
      </c>
      <c r="M260" s="319">
        <f>VLOOKUP(A260,[4]Sheet1!$B:$D,2,FALSE)</f>
        <v>32410</v>
      </c>
      <c r="N260" s="319">
        <f>VLOOKUP(A260,[4]Sheet1!$B:$D,3,FALSE)</f>
        <v>0</v>
      </c>
      <c r="P260" s="320">
        <f t="shared" si="14"/>
        <v>0</v>
      </c>
      <c r="Q260" s="320">
        <f t="shared" si="15"/>
        <v>0</v>
      </c>
    </row>
    <row r="261" spans="1:17" x14ac:dyDescent="0.2">
      <c r="A261" s="294" t="s">
        <v>384</v>
      </c>
      <c r="B261" s="299">
        <v>5010</v>
      </c>
      <c r="C261" s="299">
        <v>0</v>
      </c>
      <c r="D261" s="295"/>
      <c r="E261" s="299">
        <v>0</v>
      </c>
      <c r="F261" s="299">
        <v>0</v>
      </c>
      <c r="G261" s="295"/>
      <c r="H261" s="300">
        <f t="shared" si="16"/>
        <v>5010</v>
      </c>
      <c r="I261" s="299">
        <f t="shared" si="17"/>
        <v>0</v>
      </c>
      <c r="M261" s="319">
        <f>VLOOKUP(A261,[4]Sheet1!$B:$D,2,FALSE)</f>
        <v>5010</v>
      </c>
      <c r="N261" s="319">
        <f>VLOOKUP(A261,[4]Sheet1!$B:$D,3,FALSE)</f>
        <v>0</v>
      </c>
      <c r="P261" s="320">
        <f t="shared" si="14"/>
        <v>0</v>
      </c>
      <c r="Q261" s="320">
        <f t="shared" si="15"/>
        <v>0</v>
      </c>
    </row>
    <row r="262" spans="1:17" x14ac:dyDescent="0.2">
      <c r="A262" s="294" t="s">
        <v>387</v>
      </c>
      <c r="B262" s="299">
        <v>278000</v>
      </c>
      <c r="C262" s="299">
        <v>0</v>
      </c>
      <c r="D262" s="295"/>
      <c r="E262" s="299">
        <v>0</v>
      </c>
      <c r="F262" s="299">
        <v>0</v>
      </c>
      <c r="G262" s="295"/>
      <c r="H262" s="300">
        <f t="shared" si="16"/>
        <v>278000</v>
      </c>
      <c r="I262" s="299">
        <f t="shared" si="17"/>
        <v>0</v>
      </c>
      <c r="M262" s="319">
        <f>VLOOKUP(A262,[4]Sheet1!$B:$D,2,FALSE)</f>
        <v>278000</v>
      </c>
      <c r="N262" s="319">
        <f>VLOOKUP(A262,[4]Sheet1!$B:$D,3,FALSE)</f>
        <v>0</v>
      </c>
      <c r="P262" s="320">
        <f t="shared" ref="P262:P325" si="18">H262-M262</f>
        <v>0</v>
      </c>
      <c r="Q262" s="320">
        <f t="shared" ref="Q262:Q325" si="19">I262-N262</f>
        <v>0</v>
      </c>
    </row>
    <row r="263" spans="1:17" x14ac:dyDescent="0.2">
      <c r="A263" s="294" t="s">
        <v>692</v>
      </c>
      <c r="B263" s="299">
        <v>31517.86</v>
      </c>
      <c r="C263" s="299">
        <v>0</v>
      </c>
      <c r="D263" s="295"/>
      <c r="E263" s="299">
        <v>0</v>
      </c>
      <c r="F263" s="299">
        <v>0</v>
      </c>
      <c r="G263" s="295"/>
      <c r="H263" s="300">
        <f t="shared" si="16"/>
        <v>31517.86</v>
      </c>
      <c r="I263" s="299">
        <f t="shared" si="17"/>
        <v>0</v>
      </c>
      <c r="M263" s="319">
        <f>VLOOKUP(A263,[4]Sheet1!$B:$D,2,FALSE)</f>
        <v>31517.86</v>
      </c>
      <c r="N263" s="319">
        <f>VLOOKUP(A263,[4]Sheet1!$B:$D,3,FALSE)</f>
        <v>0</v>
      </c>
      <c r="P263" s="320">
        <f t="shared" si="18"/>
        <v>0</v>
      </c>
      <c r="Q263" s="320">
        <f t="shared" si="19"/>
        <v>0</v>
      </c>
    </row>
    <row r="264" spans="1:17" x14ac:dyDescent="0.2">
      <c r="A264" s="294" t="s">
        <v>693</v>
      </c>
      <c r="B264" s="299">
        <v>25466</v>
      </c>
      <c r="C264" s="299">
        <v>0</v>
      </c>
      <c r="D264" s="295"/>
      <c r="E264" s="299">
        <v>0</v>
      </c>
      <c r="F264" s="299">
        <v>0</v>
      </c>
      <c r="G264" s="295"/>
      <c r="H264" s="300">
        <f t="shared" si="16"/>
        <v>25466</v>
      </c>
      <c r="I264" s="299">
        <f t="shared" si="17"/>
        <v>0</v>
      </c>
      <c r="M264" s="319">
        <f>VLOOKUP(A264,[4]Sheet1!$B:$D,2,FALSE)</f>
        <v>25466</v>
      </c>
      <c r="N264" s="319">
        <f>VLOOKUP(A264,[4]Sheet1!$B:$D,3,FALSE)</f>
        <v>0</v>
      </c>
      <c r="P264" s="320">
        <f t="shared" si="18"/>
        <v>0</v>
      </c>
      <c r="Q264" s="320">
        <f t="shared" si="19"/>
        <v>0</v>
      </c>
    </row>
    <row r="265" spans="1:17" x14ac:dyDescent="0.2">
      <c r="A265" s="294" t="s">
        <v>186</v>
      </c>
      <c r="B265" s="299">
        <v>76427.490000000005</v>
      </c>
      <c r="C265" s="299">
        <v>0</v>
      </c>
      <c r="D265" s="295"/>
      <c r="E265" s="299">
        <v>0</v>
      </c>
      <c r="F265" s="299">
        <v>0</v>
      </c>
      <c r="G265" s="295"/>
      <c r="H265" s="300">
        <f t="shared" si="16"/>
        <v>76427.490000000005</v>
      </c>
      <c r="I265" s="299">
        <f t="shared" si="17"/>
        <v>0</v>
      </c>
      <c r="M265" s="319">
        <f>VLOOKUP(A265,[4]Sheet1!$B:$D,2,FALSE)</f>
        <v>76427.490000000005</v>
      </c>
      <c r="N265" s="319">
        <f>VLOOKUP(A265,[4]Sheet1!$B:$D,3,FALSE)</f>
        <v>0</v>
      </c>
      <c r="P265" s="320">
        <f t="shared" si="18"/>
        <v>0</v>
      </c>
      <c r="Q265" s="320">
        <f t="shared" si="19"/>
        <v>0</v>
      </c>
    </row>
    <row r="266" spans="1:17" x14ac:dyDescent="0.2">
      <c r="A266" s="294" t="s">
        <v>188</v>
      </c>
      <c r="B266" s="299">
        <v>1259919.76</v>
      </c>
      <c r="C266" s="299">
        <v>0</v>
      </c>
      <c r="D266" s="295"/>
      <c r="E266" s="299">
        <v>0</v>
      </c>
      <c r="F266" s="299">
        <v>0</v>
      </c>
      <c r="G266" s="295"/>
      <c r="H266" s="300">
        <f t="shared" ref="H266" si="20">B266</f>
        <v>1259919.76</v>
      </c>
      <c r="I266" s="299">
        <f t="shared" ref="I266" si="21">C266</f>
        <v>0</v>
      </c>
      <c r="M266" s="319">
        <f>VLOOKUP(A266,[4]Sheet1!$B:$D,2,FALSE)</f>
        <v>1259919.76</v>
      </c>
      <c r="N266" s="319">
        <f>VLOOKUP(A266,[4]Sheet1!$B:$D,3,FALSE)</f>
        <v>0</v>
      </c>
      <c r="P266" s="320">
        <f t="shared" si="18"/>
        <v>0</v>
      </c>
      <c r="Q266" s="320">
        <f t="shared" si="19"/>
        <v>0</v>
      </c>
    </row>
    <row r="267" spans="1:17" x14ac:dyDescent="0.2">
      <c r="A267" s="294" t="s">
        <v>694</v>
      </c>
      <c r="B267" s="299">
        <v>1360</v>
      </c>
      <c r="C267" s="299">
        <v>0</v>
      </c>
      <c r="D267" s="295"/>
      <c r="E267" s="299">
        <v>0</v>
      </c>
      <c r="F267" s="299">
        <v>0</v>
      </c>
      <c r="G267" s="295"/>
      <c r="H267" s="300">
        <f t="shared" si="16"/>
        <v>1360</v>
      </c>
      <c r="I267" s="299">
        <f t="shared" si="17"/>
        <v>0</v>
      </c>
      <c r="M267" s="319">
        <f>VLOOKUP(A267,[4]Sheet1!$B:$D,2,FALSE)</f>
        <v>1360</v>
      </c>
      <c r="N267" s="319">
        <f>VLOOKUP(A267,[4]Sheet1!$B:$D,3,FALSE)</f>
        <v>0</v>
      </c>
      <c r="P267" s="320">
        <f t="shared" si="18"/>
        <v>0</v>
      </c>
      <c r="Q267" s="320">
        <f t="shared" si="19"/>
        <v>0</v>
      </c>
    </row>
    <row r="268" spans="1:17" x14ac:dyDescent="0.2">
      <c r="A268" s="294" t="s">
        <v>189</v>
      </c>
      <c r="B268" s="299">
        <v>28750340.190000001</v>
      </c>
      <c r="C268" s="299">
        <v>0</v>
      </c>
      <c r="D268" s="295"/>
      <c r="E268" s="299">
        <v>0</v>
      </c>
      <c r="F268" s="299">
        <v>0</v>
      </c>
      <c r="G268" s="295"/>
      <c r="H268" s="300">
        <f t="shared" si="16"/>
        <v>28750340.190000001</v>
      </c>
      <c r="I268" s="299">
        <f t="shared" si="17"/>
        <v>0</v>
      </c>
      <c r="M268" s="319">
        <f>VLOOKUP(A268,[4]Sheet1!$B:$D,2,FALSE)</f>
        <v>28750340.190000001</v>
      </c>
      <c r="N268" s="319">
        <f>VLOOKUP(A268,[4]Sheet1!$B:$D,3,FALSE)</f>
        <v>0</v>
      </c>
      <c r="P268" s="320">
        <f t="shared" si="18"/>
        <v>0</v>
      </c>
      <c r="Q268" s="320">
        <f t="shared" si="19"/>
        <v>0</v>
      </c>
    </row>
    <row r="269" spans="1:17" x14ac:dyDescent="0.2">
      <c r="A269" s="294" t="s">
        <v>190</v>
      </c>
      <c r="B269" s="299">
        <v>3255525.96</v>
      </c>
      <c r="C269" s="299">
        <v>0</v>
      </c>
      <c r="D269" s="295"/>
      <c r="E269" s="299">
        <v>0</v>
      </c>
      <c r="F269" s="299">
        <v>0</v>
      </c>
      <c r="G269" s="295"/>
      <c r="H269" s="300">
        <f t="shared" si="16"/>
        <v>3255525.96</v>
      </c>
      <c r="I269" s="299">
        <f t="shared" si="17"/>
        <v>0</v>
      </c>
      <c r="M269" s="319">
        <f>VLOOKUP(A269,[4]Sheet1!$B:$D,2,FALSE)</f>
        <v>3255525.96</v>
      </c>
      <c r="N269" s="319">
        <f>VLOOKUP(A269,[4]Sheet1!$B:$D,3,FALSE)</f>
        <v>0</v>
      </c>
      <c r="P269" s="320">
        <f t="shared" si="18"/>
        <v>0</v>
      </c>
      <c r="Q269" s="320">
        <f t="shared" si="19"/>
        <v>0</v>
      </c>
    </row>
    <row r="270" spans="1:17" x14ac:dyDescent="0.2">
      <c r="A270" s="294" t="s">
        <v>191</v>
      </c>
      <c r="B270" s="299">
        <v>236300</v>
      </c>
      <c r="C270" s="299">
        <v>0</v>
      </c>
      <c r="D270" s="295"/>
      <c r="E270" s="299">
        <v>0</v>
      </c>
      <c r="F270" s="299">
        <v>0</v>
      </c>
      <c r="G270" s="295"/>
      <c r="H270" s="300">
        <f t="shared" si="16"/>
        <v>236300</v>
      </c>
      <c r="I270" s="299">
        <f t="shared" si="17"/>
        <v>0</v>
      </c>
      <c r="M270" s="319">
        <f>VLOOKUP(A270,[4]Sheet1!$B:$D,2,FALSE)</f>
        <v>236300</v>
      </c>
      <c r="N270" s="319">
        <f>VLOOKUP(A270,[4]Sheet1!$B:$D,3,FALSE)</f>
        <v>0</v>
      </c>
      <c r="P270" s="320">
        <f t="shared" si="18"/>
        <v>0</v>
      </c>
      <c r="Q270" s="320">
        <f t="shared" si="19"/>
        <v>0</v>
      </c>
    </row>
    <row r="271" spans="1:17" x14ac:dyDescent="0.2">
      <c r="A271" s="294" t="s">
        <v>192</v>
      </c>
      <c r="B271" s="299">
        <v>2055952.96</v>
      </c>
      <c r="C271" s="299">
        <v>0</v>
      </c>
      <c r="D271" s="295"/>
      <c r="E271" s="299">
        <v>0</v>
      </c>
      <c r="F271" s="299">
        <v>0</v>
      </c>
      <c r="G271" s="295"/>
      <c r="H271" s="300">
        <f t="shared" ref="H271:H334" si="22">B271</f>
        <v>2055952.96</v>
      </c>
      <c r="I271" s="299">
        <f t="shared" ref="I271:I334" si="23">C271</f>
        <v>0</v>
      </c>
      <c r="M271" s="319">
        <f>VLOOKUP(A271,[4]Sheet1!$B:$D,2,FALSE)</f>
        <v>2055952.96</v>
      </c>
      <c r="N271" s="319">
        <f>VLOOKUP(A271,[4]Sheet1!$B:$D,3,FALSE)</f>
        <v>0</v>
      </c>
      <c r="P271" s="320">
        <f t="shared" si="18"/>
        <v>0</v>
      </c>
      <c r="Q271" s="320">
        <f t="shared" si="19"/>
        <v>0</v>
      </c>
    </row>
    <row r="272" spans="1:17" x14ac:dyDescent="0.2">
      <c r="A272" s="294" t="s">
        <v>552</v>
      </c>
      <c r="B272" s="299">
        <v>3178113.17</v>
      </c>
      <c r="C272" s="299">
        <v>0</v>
      </c>
      <c r="D272" s="295"/>
      <c r="E272" s="299">
        <v>0</v>
      </c>
      <c r="F272" s="299">
        <v>0</v>
      </c>
      <c r="G272" s="295"/>
      <c r="H272" s="311">
        <f t="shared" si="22"/>
        <v>3178113.17</v>
      </c>
      <c r="I272" s="299">
        <f t="shared" si="23"/>
        <v>0</v>
      </c>
      <c r="M272" s="319">
        <f>VLOOKUP(A272,[4]Sheet1!$B:$D,2,FALSE)</f>
        <v>3178113.17</v>
      </c>
      <c r="N272" s="319">
        <f>VLOOKUP(A272,[4]Sheet1!$B:$D,3,FALSE)</f>
        <v>0</v>
      </c>
      <c r="P272" s="320">
        <f t="shared" si="18"/>
        <v>0</v>
      </c>
      <c r="Q272" s="320">
        <f t="shared" si="19"/>
        <v>0</v>
      </c>
    </row>
    <row r="273" spans="1:17" x14ac:dyDescent="0.2">
      <c r="A273" s="294" t="s">
        <v>193</v>
      </c>
      <c r="B273" s="299">
        <v>458415</v>
      </c>
      <c r="C273" s="299">
        <v>0</v>
      </c>
      <c r="D273" s="295"/>
      <c r="E273" s="299">
        <v>0</v>
      </c>
      <c r="F273" s="299">
        <v>0</v>
      </c>
      <c r="G273" s="295"/>
      <c r="H273" s="311">
        <f t="shared" si="22"/>
        <v>458415</v>
      </c>
      <c r="I273" s="299">
        <f t="shared" si="23"/>
        <v>0</v>
      </c>
      <c r="M273" s="319">
        <f>VLOOKUP(A273,[4]Sheet1!$B:$D,2,FALSE)</f>
        <v>458415</v>
      </c>
      <c r="N273" s="319">
        <f>VLOOKUP(A273,[4]Sheet1!$B:$D,3,FALSE)</f>
        <v>0</v>
      </c>
      <c r="P273" s="320">
        <f t="shared" si="18"/>
        <v>0</v>
      </c>
      <c r="Q273" s="320">
        <f t="shared" si="19"/>
        <v>0</v>
      </c>
    </row>
    <row r="274" spans="1:17" x14ac:dyDescent="0.2">
      <c r="A274" s="294" t="s">
        <v>553</v>
      </c>
      <c r="B274" s="299">
        <v>617999</v>
      </c>
      <c r="C274" s="299">
        <v>0</v>
      </c>
      <c r="D274" s="295"/>
      <c r="E274" s="299">
        <v>0</v>
      </c>
      <c r="F274" s="299">
        <v>0</v>
      </c>
      <c r="G274" s="295"/>
      <c r="H274" s="311">
        <f t="shared" si="22"/>
        <v>617999</v>
      </c>
      <c r="I274" s="299">
        <f t="shared" si="23"/>
        <v>0</v>
      </c>
      <c r="M274" s="319">
        <f>VLOOKUP(A274,[4]Sheet1!$B:$D,2,FALSE)</f>
        <v>617999</v>
      </c>
      <c r="N274" s="319">
        <f>VLOOKUP(A274,[4]Sheet1!$B:$D,3,FALSE)</f>
        <v>0</v>
      </c>
      <c r="P274" s="320">
        <f t="shared" si="18"/>
        <v>0</v>
      </c>
      <c r="Q274" s="320">
        <f t="shared" si="19"/>
        <v>0</v>
      </c>
    </row>
    <row r="275" spans="1:17" x14ac:dyDescent="0.2">
      <c r="A275" s="294" t="s">
        <v>554</v>
      </c>
      <c r="B275" s="299">
        <v>218915</v>
      </c>
      <c r="C275" s="299">
        <v>0</v>
      </c>
      <c r="D275" s="295"/>
      <c r="E275" s="299">
        <v>0</v>
      </c>
      <c r="F275" s="299">
        <v>0</v>
      </c>
      <c r="G275" s="295"/>
      <c r="H275" s="311">
        <f t="shared" si="22"/>
        <v>218915</v>
      </c>
      <c r="I275" s="299">
        <f t="shared" si="23"/>
        <v>0</v>
      </c>
      <c r="M275" s="319">
        <f>VLOOKUP(A275,[4]Sheet1!$B:$D,2,FALSE)</f>
        <v>218915</v>
      </c>
      <c r="N275" s="319">
        <f>VLOOKUP(A275,[4]Sheet1!$B:$D,3,FALSE)</f>
        <v>0</v>
      </c>
      <c r="P275" s="320">
        <f t="shared" si="18"/>
        <v>0</v>
      </c>
      <c r="Q275" s="320">
        <f t="shared" si="19"/>
        <v>0</v>
      </c>
    </row>
    <row r="276" spans="1:17" x14ac:dyDescent="0.2">
      <c r="A276" s="294" t="s">
        <v>555</v>
      </c>
      <c r="B276" s="299">
        <v>295697.78000000003</v>
      </c>
      <c r="C276" s="299">
        <v>0</v>
      </c>
      <c r="D276" s="295"/>
      <c r="E276" s="299">
        <v>0</v>
      </c>
      <c r="F276" s="299">
        <v>0</v>
      </c>
      <c r="G276" s="295"/>
      <c r="H276" s="311">
        <f t="shared" si="22"/>
        <v>295697.78000000003</v>
      </c>
      <c r="I276" s="299">
        <f t="shared" si="23"/>
        <v>0</v>
      </c>
      <c r="M276" s="319">
        <f>VLOOKUP(A276,[4]Sheet1!$B:$D,2,FALSE)</f>
        <v>295697.78000000003</v>
      </c>
      <c r="N276" s="319">
        <f>VLOOKUP(A276,[4]Sheet1!$B:$D,3,FALSE)</f>
        <v>0</v>
      </c>
      <c r="P276" s="320">
        <f t="shared" si="18"/>
        <v>0</v>
      </c>
      <c r="Q276" s="320">
        <f t="shared" si="19"/>
        <v>0</v>
      </c>
    </row>
    <row r="277" spans="1:17" x14ac:dyDescent="0.2">
      <c r="A277" s="294" t="s">
        <v>556</v>
      </c>
      <c r="B277" s="299">
        <v>297474.51</v>
      </c>
      <c r="C277" s="299">
        <v>0</v>
      </c>
      <c r="D277" s="295"/>
      <c r="E277" s="299">
        <v>0</v>
      </c>
      <c r="F277" s="299">
        <v>0</v>
      </c>
      <c r="G277" s="295"/>
      <c r="H277" s="311">
        <f t="shared" si="22"/>
        <v>297474.51</v>
      </c>
      <c r="I277" s="299">
        <f t="shared" si="23"/>
        <v>0</v>
      </c>
      <c r="M277" s="319">
        <f>VLOOKUP(A277,[4]Sheet1!$B:$D,2,FALSE)</f>
        <v>297474.51</v>
      </c>
      <c r="N277" s="319">
        <f>VLOOKUP(A277,[4]Sheet1!$B:$D,3,FALSE)</f>
        <v>0</v>
      </c>
      <c r="P277" s="320">
        <f t="shared" si="18"/>
        <v>0</v>
      </c>
      <c r="Q277" s="320">
        <f t="shared" si="19"/>
        <v>0</v>
      </c>
    </row>
    <row r="278" spans="1:17" x14ac:dyDescent="0.2">
      <c r="A278" s="294" t="s">
        <v>557</v>
      </c>
      <c r="B278" s="299">
        <v>82234</v>
      </c>
      <c r="C278" s="299">
        <v>0</v>
      </c>
      <c r="D278" s="295"/>
      <c r="E278" s="299">
        <v>0</v>
      </c>
      <c r="F278" s="299">
        <v>0</v>
      </c>
      <c r="G278" s="295"/>
      <c r="H278" s="311">
        <f t="shared" si="22"/>
        <v>82234</v>
      </c>
      <c r="I278" s="299">
        <f t="shared" si="23"/>
        <v>0</v>
      </c>
      <c r="M278" s="319">
        <f>VLOOKUP(A278,[4]Sheet1!$B:$D,2,FALSE)</f>
        <v>82234</v>
      </c>
      <c r="N278" s="319">
        <f>VLOOKUP(A278,[4]Sheet1!$B:$D,3,FALSE)</f>
        <v>0</v>
      </c>
      <c r="P278" s="320">
        <f t="shared" si="18"/>
        <v>0</v>
      </c>
      <c r="Q278" s="320">
        <f t="shared" si="19"/>
        <v>0</v>
      </c>
    </row>
    <row r="279" spans="1:17" x14ac:dyDescent="0.2">
      <c r="A279" s="294" t="s">
        <v>558</v>
      </c>
      <c r="B279" s="299">
        <v>855</v>
      </c>
      <c r="C279" s="299">
        <v>0</v>
      </c>
      <c r="D279" s="295"/>
      <c r="E279" s="299">
        <v>0</v>
      </c>
      <c r="F279" s="299">
        <v>0</v>
      </c>
      <c r="G279" s="295"/>
      <c r="H279" s="311">
        <f t="shared" si="22"/>
        <v>855</v>
      </c>
      <c r="I279" s="299">
        <f t="shared" si="23"/>
        <v>0</v>
      </c>
      <c r="M279" s="319">
        <f>VLOOKUP(A279,[4]Sheet1!$B:$D,2,FALSE)</f>
        <v>855</v>
      </c>
      <c r="N279" s="319">
        <f>VLOOKUP(A279,[4]Sheet1!$B:$D,3,FALSE)</f>
        <v>0</v>
      </c>
      <c r="P279" s="320">
        <f t="shared" si="18"/>
        <v>0</v>
      </c>
      <c r="Q279" s="320">
        <f t="shared" si="19"/>
        <v>0</v>
      </c>
    </row>
    <row r="280" spans="1:17" x14ac:dyDescent="0.2">
      <c r="A280" s="294" t="s">
        <v>559</v>
      </c>
      <c r="B280" s="299">
        <v>2327158.6</v>
      </c>
      <c r="C280" s="299">
        <v>0</v>
      </c>
      <c r="D280" s="295"/>
      <c r="E280" s="299">
        <v>0</v>
      </c>
      <c r="F280" s="299">
        <v>0</v>
      </c>
      <c r="G280" s="295"/>
      <c r="H280" s="311">
        <f t="shared" si="22"/>
        <v>2327158.6</v>
      </c>
      <c r="I280" s="299">
        <f t="shared" si="23"/>
        <v>0</v>
      </c>
      <c r="M280" s="319">
        <f>VLOOKUP(A280,[4]Sheet1!$B:$D,2,FALSE)</f>
        <v>2327158.6</v>
      </c>
      <c r="N280" s="319">
        <f>VLOOKUP(A280,[4]Sheet1!$B:$D,3,FALSE)</f>
        <v>0</v>
      </c>
      <c r="P280" s="320">
        <f t="shared" si="18"/>
        <v>0</v>
      </c>
      <c r="Q280" s="320">
        <f t="shared" si="19"/>
        <v>0</v>
      </c>
    </row>
    <row r="281" spans="1:17" x14ac:dyDescent="0.2">
      <c r="A281" s="294" t="s">
        <v>560</v>
      </c>
      <c r="B281" s="299">
        <v>212000</v>
      </c>
      <c r="C281" s="299">
        <v>0</v>
      </c>
      <c r="D281" s="295"/>
      <c r="E281" s="299">
        <v>0</v>
      </c>
      <c r="F281" s="299">
        <v>0</v>
      </c>
      <c r="G281" s="295"/>
      <c r="H281" s="311">
        <f t="shared" si="22"/>
        <v>212000</v>
      </c>
      <c r="I281" s="299">
        <f t="shared" si="23"/>
        <v>0</v>
      </c>
      <c r="M281" s="319">
        <f>VLOOKUP(A281,[4]Sheet1!$B:$D,2,FALSE)</f>
        <v>212000</v>
      </c>
      <c r="N281" s="319">
        <f>VLOOKUP(A281,[4]Sheet1!$B:$D,3,FALSE)</f>
        <v>0</v>
      </c>
      <c r="P281" s="320">
        <f t="shared" si="18"/>
        <v>0</v>
      </c>
      <c r="Q281" s="320">
        <f t="shared" si="19"/>
        <v>0</v>
      </c>
    </row>
    <row r="282" spans="1:17" x14ac:dyDescent="0.2">
      <c r="A282" s="294" t="s">
        <v>561</v>
      </c>
      <c r="B282" s="299">
        <v>3136200</v>
      </c>
      <c r="C282" s="299">
        <v>0</v>
      </c>
      <c r="D282" s="295"/>
      <c r="E282" s="299">
        <v>0</v>
      </c>
      <c r="F282" s="299">
        <v>0</v>
      </c>
      <c r="G282" s="295"/>
      <c r="H282" s="311">
        <f t="shared" si="22"/>
        <v>3136200</v>
      </c>
      <c r="I282" s="299">
        <f t="shared" si="23"/>
        <v>0</v>
      </c>
      <c r="M282" s="319">
        <f>VLOOKUP(A282,[4]Sheet1!$B:$D,2,FALSE)</f>
        <v>3136200</v>
      </c>
      <c r="N282" s="319">
        <f>VLOOKUP(A282,[4]Sheet1!$B:$D,3,FALSE)</f>
        <v>0</v>
      </c>
      <c r="P282" s="320">
        <f t="shared" si="18"/>
        <v>0</v>
      </c>
      <c r="Q282" s="320">
        <f t="shared" si="19"/>
        <v>0</v>
      </c>
    </row>
    <row r="283" spans="1:17" x14ac:dyDescent="0.2">
      <c r="A283" s="294" t="s">
        <v>292</v>
      </c>
      <c r="B283" s="299">
        <v>6401567.6500000004</v>
      </c>
      <c r="C283" s="299">
        <v>0</v>
      </c>
      <c r="D283" s="295"/>
      <c r="E283" s="299">
        <v>0</v>
      </c>
      <c r="F283" s="299">
        <v>0</v>
      </c>
      <c r="G283" s="295"/>
      <c r="H283" s="311">
        <f t="shared" si="22"/>
        <v>6401567.6500000004</v>
      </c>
      <c r="I283" s="299">
        <f t="shared" si="23"/>
        <v>0</v>
      </c>
      <c r="M283" s="319">
        <f>VLOOKUP(A283,[4]Sheet1!$B:$D,2,FALSE)</f>
        <v>6401567.6500000004</v>
      </c>
      <c r="N283" s="319">
        <f>VLOOKUP(A283,[4]Sheet1!$B:$D,3,FALSE)</f>
        <v>0</v>
      </c>
      <c r="P283" s="320">
        <f t="shared" si="18"/>
        <v>0</v>
      </c>
      <c r="Q283" s="320">
        <f t="shared" si="19"/>
        <v>0</v>
      </c>
    </row>
    <row r="284" spans="1:17" x14ac:dyDescent="0.2">
      <c r="A284" s="294" t="s">
        <v>389</v>
      </c>
      <c r="B284" s="299">
        <v>34907906.100000001</v>
      </c>
      <c r="C284" s="299">
        <v>0</v>
      </c>
      <c r="D284" s="295"/>
      <c r="E284" s="299">
        <v>0</v>
      </c>
      <c r="F284" s="299">
        <v>0</v>
      </c>
      <c r="G284" s="295"/>
      <c r="H284" s="300">
        <f t="shared" si="22"/>
        <v>34907906.100000001</v>
      </c>
      <c r="I284" s="299">
        <f t="shared" si="23"/>
        <v>0</v>
      </c>
      <c r="M284" s="319">
        <f>VLOOKUP(A284,[4]Sheet1!$B:$D,2,FALSE)</f>
        <v>34907906.100000001</v>
      </c>
      <c r="N284" s="319">
        <f>VLOOKUP(A284,[4]Sheet1!$B:$D,3,FALSE)</f>
        <v>0</v>
      </c>
      <c r="P284" s="320">
        <f t="shared" si="18"/>
        <v>0</v>
      </c>
      <c r="Q284" s="320">
        <f t="shared" si="19"/>
        <v>0</v>
      </c>
    </row>
    <row r="285" spans="1:17" x14ac:dyDescent="0.2">
      <c r="A285" s="294" t="s">
        <v>390</v>
      </c>
      <c r="B285" s="299">
        <v>8122648.5</v>
      </c>
      <c r="C285" s="299">
        <v>0</v>
      </c>
      <c r="D285" s="295"/>
      <c r="E285" s="299">
        <v>0</v>
      </c>
      <c r="F285" s="299">
        <v>0</v>
      </c>
      <c r="G285" s="295"/>
      <c r="H285" s="300">
        <f t="shared" si="22"/>
        <v>8122648.5</v>
      </c>
      <c r="I285" s="299">
        <f t="shared" si="23"/>
        <v>0</v>
      </c>
      <c r="M285" s="319">
        <f>VLOOKUP(A285,[4]Sheet1!$B:$D,2,FALSE)</f>
        <v>8122648.5</v>
      </c>
      <c r="N285" s="319">
        <f>VLOOKUP(A285,[4]Sheet1!$B:$D,3,FALSE)</f>
        <v>0</v>
      </c>
      <c r="P285" s="320">
        <f t="shared" si="18"/>
        <v>0</v>
      </c>
      <c r="Q285" s="320">
        <f t="shared" si="19"/>
        <v>0</v>
      </c>
    </row>
    <row r="286" spans="1:17" x14ac:dyDescent="0.2">
      <c r="A286" s="294" t="s">
        <v>695</v>
      </c>
      <c r="B286" s="299">
        <v>2128372.9500000002</v>
      </c>
      <c r="C286" s="299">
        <v>0</v>
      </c>
      <c r="D286" s="295"/>
      <c r="E286" s="299">
        <v>0</v>
      </c>
      <c r="F286" s="299">
        <v>0</v>
      </c>
      <c r="G286" s="295"/>
      <c r="H286" s="300">
        <f t="shared" si="22"/>
        <v>2128372.9500000002</v>
      </c>
      <c r="I286" s="299">
        <f t="shared" si="23"/>
        <v>0</v>
      </c>
      <c r="M286" s="319">
        <f>VLOOKUP(A286,[4]Sheet1!$B:$D,2,FALSE)</f>
        <v>2128372.9500000002</v>
      </c>
      <c r="N286" s="319">
        <f>VLOOKUP(A286,[4]Sheet1!$B:$D,3,FALSE)</f>
        <v>0</v>
      </c>
      <c r="P286" s="320">
        <f t="shared" si="18"/>
        <v>0</v>
      </c>
      <c r="Q286" s="320">
        <f t="shared" si="19"/>
        <v>0</v>
      </c>
    </row>
    <row r="287" spans="1:17" x14ac:dyDescent="0.2">
      <c r="A287" s="294" t="s">
        <v>194</v>
      </c>
      <c r="B287" s="299">
        <v>2926238.14</v>
      </c>
      <c r="C287" s="299">
        <v>0</v>
      </c>
      <c r="D287" s="295"/>
      <c r="E287" s="299">
        <v>0</v>
      </c>
      <c r="F287" s="299">
        <v>0</v>
      </c>
      <c r="G287" s="295"/>
      <c r="H287" s="300">
        <f t="shared" si="22"/>
        <v>2926238.14</v>
      </c>
      <c r="I287" s="299">
        <f t="shared" si="23"/>
        <v>0</v>
      </c>
      <c r="M287" s="319">
        <f>VLOOKUP(A287,[4]Sheet1!$B:$D,2,FALSE)</f>
        <v>2926238.14</v>
      </c>
      <c r="N287" s="319">
        <f>VLOOKUP(A287,[4]Sheet1!$B:$D,3,FALSE)</f>
        <v>0</v>
      </c>
      <c r="P287" s="320">
        <f t="shared" si="18"/>
        <v>0</v>
      </c>
      <c r="Q287" s="320">
        <f t="shared" si="19"/>
        <v>0</v>
      </c>
    </row>
    <row r="288" spans="1:17" x14ac:dyDescent="0.2">
      <c r="A288" s="294" t="s">
        <v>195</v>
      </c>
      <c r="B288" s="299">
        <v>1001504.53</v>
      </c>
      <c r="C288" s="299">
        <v>0</v>
      </c>
      <c r="D288" s="295"/>
      <c r="E288" s="299">
        <v>0</v>
      </c>
      <c r="F288" s="299">
        <v>0</v>
      </c>
      <c r="G288" s="295"/>
      <c r="H288" s="300">
        <f t="shared" si="22"/>
        <v>1001504.53</v>
      </c>
      <c r="I288" s="299">
        <f t="shared" si="23"/>
        <v>0</v>
      </c>
      <c r="M288" s="319">
        <f>VLOOKUP(A288,[4]Sheet1!$B:$D,2,FALSE)</f>
        <v>1001504.53</v>
      </c>
      <c r="N288" s="319">
        <f>VLOOKUP(A288,[4]Sheet1!$B:$D,3,FALSE)</f>
        <v>0</v>
      </c>
      <c r="P288" s="320">
        <f t="shared" si="18"/>
        <v>0</v>
      </c>
      <c r="Q288" s="320">
        <f t="shared" si="19"/>
        <v>0</v>
      </c>
    </row>
    <row r="289" spans="1:17" x14ac:dyDescent="0.2">
      <c r="A289" s="294" t="s">
        <v>696</v>
      </c>
      <c r="B289" s="299">
        <v>777234.02</v>
      </c>
      <c r="C289" s="299">
        <v>0</v>
      </c>
      <c r="D289" s="295"/>
      <c r="E289" s="299">
        <v>0</v>
      </c>
      <c r="F289" s="299">
        <v>0</v>
      </c>
      <c r="G289" s="295"/>
      <c r="H289" s="300">
        <f t="shared" si="22"/>
        <v>777234.02</v>
      </c>
      <c r="I289" s="299">
        <f t="shared" si="23"/>
        <v>0</v>
      </c>
      <c r="M289" s="319">
        <f>VLOOKUP(A289,[4]Sheet1!$B:$D,2,FALSE)</f>
        <v>777234.02</v>
      </c>
      <c r="N289" s="319">
        <f>VLOOKUP(A289,[4]Sheet1!$B:$D,3,FALSE)</f>
        <v>0</v>
      </c>
      <c r="P289" s="320">
        <f t="shared" si="18"/>
        <v>0</v>
      </c>
      <c r="Q289" s="320">
        <f t="shared" si="19"/>
        <v>0</v>
      </c>
    </row>
    <row r="290" spans="1:17" x14ac:dyDescent="0.2">
      <c r="A290" s="294" t="s">
        <v>196</v>
      </c>
      <c r="B290" s="299">
        <v>9351653.4900000002</v>
      </c>
      <c r="C290" s="299">
        <v>0</v>
      </c>
      <c r="D290" s="295"/>
      <c r="E290" s="299">
        <v>0</v>
      </c>
      <c r="F290" s="299">
        <v>0</v>
      </c>
      <c r="G290" s="295"/>
      <c r="H290" s="300">
        <f t="shared" si="22"/>
        <v>9351653.4900000002</v>
      </c>
      <c r="I290" s="299">
        <f t="shared" si="23"/>
        <v>0</v>
      </c>
      <c r="M290" s="319">
        <f>VLOOKUP(A290,[4]Sheet1!$B:$D,2,FALSE)</f>
        <v>9351653.4900000002</v>
      </c>
      <c r="N290" s="319">
        <f>VLOOKUP(A290,[4]Sheet1!$B:$D,3,FALSE)</f>
        <v>0</v>
      </c>
      <c r="P290" s="320">
        <f t="shared" si="18"/>
        <v>0</v>
      </c>
      <c r="Q290" s="320">
        <f t="shared" si="19"/>
        <v>0</v>
      </c>
    </row>
    <row r="291" spans="1:17" x14ac:dyDescent="0.2">
      <c r="A291" s="294" t="s">
        <v>197</v>
      </c>
      <c r="B291" s="299">
        <v>1128414.8799999999</v>
      </c>
      <c r="C291" s="299">
        <v>0</v>
      </c>
      <c r="D291" s="295"/>
      <c r="E291" s="299">
        <v>0</v>
      </c>
      <c r="F291" s="299">
        <v>0</v>
      </c>
      <c r="G291" s="295"/>
      <c r="H291" s="300">
        <f t="shared" si="22"/>
        <v>1128414.8799999999</v>
      </c>
      <c r="I291" s="299">
        <f t="shared" si="23"/>
        <v>0</v>
      </c>
      <c r="M291" s="319">
        <f>VLOOKUP(A291,[4]Sheet1!$B:$D,2,FALSE)</f>
        <v>1128414.8799999999</v>
      </c>
      <c r="N291" s="319">
        <f>VLOOKUP(A291,[4]Sheet1!$B:$D,3,FALSE)</f>
        <v>0</v>
      </c>
      <c r="P291" s="320">
        <f t="shared" si="18"/>
        <v>0</v>
      </c>
      <c r="Q291" s="320">
        <f t="shared" si="19"/>
        <v>0</v>
      </c>
    </row>
    <row r="292" spans="1:17" x14ac:dyDescent="0.2">
      <c r="A292" s="294" t="s">
        <v>198</v>
      </c>
      <c r="B292" s="299">
        <v>282103.71999999997</v>
      </c>
      <c r="C292" s="299">
        <v>0</v>
      </c>
      <c r="D292" s="295"/>
      <c r="E292" s="299">
        <v>0</v>
      </c>
      <c r="F292" s="299">
        <v>0</v>
      </c>
      <c r="G292" s="295"/>
      <c r="H292" s="300">
        <f t="shared" si="22"/>
        <v>282103.71999999997</v>
      </c>
      <c r="I292" s="299">
        <f t="shared" si="23"/>
        <v>0</v>
      </c>
      <c r="M292" s="319">
        <f>VLOOKUP(A292,[4]Sheet1!$B:$D,2,FALSE)</f>
        <v>282103.71999999997</v>
      </c>
      <c r="N292" s="319">
        <f>VLOOKUP(A292,[4]Sheet1!$B:$D,3,FALSE)</f>
        <v>0</v>
      </c>
      <c r="P292" s="320">
        <f t="shared" si="18"/>
        <v>0</v>
      </c>
      <c r="Q292" s="320">
        <f t="shared" si="19"/>
        <v>0</v>
      </c>
    </row>
    <row r="293" spans="1:17" x14ac:dyDescent="0.2">
      <c r="A293" s="294" t="s">
        <v>199</v>
      </c>
      <c r="B293" s="299">
        <v>3099722.83</v>
      </c>
      <c r="C293" s="299">
        <v>0</v>
      </c>
      <c r="D293" s="295"/>
      <c r="E293" s="299">
        <v>0</v>
      </c>
      <c r="F293" s="299">
        <v>0</v>
      </c>
      <c r="G293" s="295"/>
      <c r="H293" s="300">
        <f t="shared" si="22"/>
        <v>3099722.83</v>
      </c>
      <c r="I293" s="299">
        <f t="shared" si="23"/>
        <v>0</v>
      </c>
      <c r="M293" s="319">
        <f>VLOOKUP(A293,[4]Sheet1!$B:$D,2,FALSE)</f>
        <v>3099722.83</v>
      </c>
      <c r="N293" s="319">
        <f>VLOOKUP(A293,[4]Sheet1!$B:$D,3,FALSE)</f>
        <v>0</v>
      </c>
      <c r="P293" s="320">
        <f t="shared" si="18"/>
        <v>0</v>
      </c>
      <c r="Q293" s="320">
        <f t="shared" si="19"/>
        <v>0</v>
      </c>
    </row>
    <row r="294" spans="1:17" x14ac:dyDescent="0.2">
      <c r="A294" s="294" t="s">
        <v>200</v>
      </c>
      <c r="B294" s="299">
        <v>906497.87</v>
      </c>
      <c r="C294" s="299">
        <v>0</v>
      </c>
      <c r="D294" s="295"/>
      <c r="E294" s="299">
        <v>0</v>
      </c>
      <c r="F294" s="299">
        <v>0</v>
      </c>
      <c r="G294" s="295"/>
      <c r="H294" s="300">
        <f t="shared" si="22"/>
        <v>906497.87</v>
      </c>
      <c r="I294" s="299">
        <f t="shared" si="23"/>
        <v>0</v>
      </c>
      <c r="M294" s="319">
        <f>VLOOKUP(A294,[4]Sheet1!$B:$D,2,FALSE)</f>
        <v>906497.87</v>
      </c>
      <c r="N294" s="319">
        <f>VLOOKUP(A294,[4]Sheet1!$B:$D,3,FALSE)</f>
        <v>0</v>
      </c>
      <c r="P294" s="320">
        <f t="shared" si="18"/>
        <v>0</v>
      </c>
      <c r="Q294" s="320">
        <f t="shared" si="19"/>
        <v>0</v>
      </c>
    </row>
    <row r="295" spans="1:17" x14ac:dyDescent="0.2">
      <c r="A295" s="294" t="s">
        <v>201</v>
      </c>
      <c r="B295" s="299">
        <v>361657.43</v>
      </c>
      <c r="C295" s="299">
        <v>0</v>
      </c>
      <c r="D295" s="295"/>
      <c r="E295" s="299">
        <v>0</v>
      </c>
      <c r="F295" s="299">
        <v>0</v>
      </c>
      <c r="G295" s="295"/>
      <c r="H295" s="300">
        <f t="shared" si="22"/>
        <v>361657.43</v>
      </c>
      <c r="I295" s="299">
        <f t="shared" si="23"/>
        <v>0</v>
      </c>
      <c r="M295" s="319">
        <f>VLOOKUP(A295,[4]Sheet1!$B:$D,2,FALSE)</f>
        <v>361657.43</v>
      </c>
      <c r="N295" s="319">
        <f>VLOOKUP(A295,[4]Sheet1!$B:$D,3,FALSE)</f>
        <v>0</v>
      </c>
      <c r="P295" s="320">
        <f t="shared" si="18"/>
        <v>0</v>
      </c>
      <c r="Q295" s="320">
        <f t="shared" si="19"/>
        <v>0</v>
      </c>
    </row>
    <row r="296" spans="1:17" x14ac:dyDescent="0.2">
      <c r="A296" s="294" t="s">
        <v>392</v>
      </c>
      <c r="B296" s="299">
        <v>0</v>
      </c>
      <c r="C296" s="299">
        <v>0</v>
      </c>
      <c r="D296" s="295"/>
      <c r="E296" s="299">
        <v>0</v>
      </c>
      <c r="F296" s="299">
        <v>0</v>
      </c>
      <c r="G296" s="295"/>
      <c r="H296" s="299">
        <f t="shared" si="22"/>
        <v>0</v>
      </c>
      <c r="I296" s="299">
        <f t="shared" si="23"/>
        <v>0</v>
      </c>
      <c r="M296" s="319">
        <f>VLOOKUP(A296,[4]Sheet1!$B:$D,2,FALSE)</f>
        <v>0</v>
      </c>
      <c r="N296" s="319">
        <f>VLOOKUP(A296,[4]Sheet1!$B:$D,3,FALSE)</f>
        <v>0</v>
      </c>
      <c r="P296" s="320">
        <f t="shared" si="18"/>
        <v>0</v>
      </c>
      <c r="Q296" s="320">
        <f t="shared" si="19"/>
        <v>0</v>
      </c>
    </row>
    <row r="297" spans="1:17" x14ac:dyDescent="0.2">
      <c r="A297" s="294" t="s">
        <v>203</v>
      </c>
      <c r="B297" s="299">
        <v>7750</v>
      </c>
      <c r="C297" s="299">
        <v>0</v>
      </c>
      <c r="D297" s="295"/>
      <c r="E297" s="299">
        <v>0</v>
      </c>
      <c r="F297" s="299">
        <v>0</v>
      </c>
      <c r="G297" s="295"/>
      <c r="H297" s="300">
        <f t="shared" si="22"/>
        <v>7750</v>
      </c>
      <c r="I297" s="299">
        <f t="shared" si="23"/>
        <v>0</v>
      </c>
      <c r="M297" s="319">
        <f>VLOOKUP(A297,[4]Sheet1!$B:$D,2,FALSE)</f>
        <v>7750</v>
      </c>
      <c r="N297" s="319">
        <f>VLOOKUP(A297,[4]Sheet1!$B:$D,3,FALSE)</f>
        <v>0</v>
      </c>
      <c r="P297" s="320">
        <f t="shared" si="18"/>
        <v>0</v>
      </c>
      <c r="Q297" s="320">
        <f t="shared" si="19"/>
        <v>0</v>
      </c>
    </row>
    <row r="298" spans="1:17" x14ac:dyDescent="0.2">
      <c r="A298" s="294" t="s">
        <v>697</v>
      </c>
      <c r="B298" s="299">
        <v>5390</v>
      </c>
      <c r="C298" s="299">
        <v>0</v>
      </c>
      <c r="D298" s="295"/>
      <c r="E298" s="299">
        <v>0</v>
      </c>
      <c r="F298" s="299">
        <v>0</v>
      </c>
      <c r="G298" s="295"/>
      <c r="H298" s="300">
        <f t="shared" si="22"/>
        <v>5390</v>
      </c>
      <c r="I298" s="299">
        <f t="shared" si="23"/>
        <v>0</v>
      </c>
      <c r="M298" s="319">
        <f>VLOOKUP(A298,[4]Sheet1!$B:$D,2,FALSE)</f>
        <v>5390</v>
      </c>
      <c r="N298" s="319">
        <f>VLOOKUP(A298,[4]Sheet1!$B:$D,3,FALSE)</f>
        <v>0</v>
      </c>
      <c r="P298" s="320">
        <f t="shared" si="18"/>
        <v>0</v>
      </c>
      <c r="Q298" s="320">
        <f t="shared" si="19"/>
        <v>0</v>
      </c>
    </row>
    <row r="299" spans="1:17" x14ac:dyDescent="0.2">
      <c r="A299" s="294" t="s">
        <v>698</v>
      </c>
      <c r="B299" s="299">
        <v>1420</v>
      </c>
      <c r="C299" s="299">
        <v>0</v>
      </c>
      <c r="D299" s="295"/>
      <c r="E299" s="299">
        <v>0</v>
      </c>
      <c r="F299" s="299">
        <v>0</v>
      </c>
      <c r="G299" s="295"/>
      <c r="H299" s="300">
        <f t="shared" si="22"/>
        <v>1420</v>
      </c>
      <c r="I299" s="299">
        <f t="shared" si="23"/>
        <v>0</v>
      </c>
      <c r="M299" s="319">
        <f>VLOOKUP(A299,[4]Sheet1!$B:$D,2,FALSE)</f>
        <v>1420</v>
      </c>
      <c r="N299" s="319">
        <f>VLOOKUP(A299,[4]Sheet1!$B:$D,3,FALSE)</f>
        <v>0</v>
      </c>
      <c r="P299" s="320">
        <f t="shared" si="18"/>
        <v>0</v>
      </c>
      <c r="Q299" s="320">
        <f t="shared" si="19"/>
        <v>0</v>
      </c>
    </row>
    <row r="300" spans="1:17" x14ac:dyDescent="0.2">
      <c r="A300" s="294" t="s">
        <v>699</v>
      </c>
      <c r="B300" s="299">
        <v>10980</v>
      </c>
      <c r="C300" s="299">
        <v>0</v>
      </c>
      <c r="D300" s="295"/>
      <c r="E300" s="299">
        <v>0</v>
      </c>
      <c r="F300" s="299">
        <v>0</v>
      </c>
      <c r="G300" s="295"/>
      <c r="H300" s="300">
        <f t="shared" si="22"/>
        <v>10980</v>
      </c>
      <c r="I300" s="299">
        <f t="shared" si="23"/>
        <v>0</v>
      </c>
      <c r="M300" s="319">
        <f>VLOOKUP(A300,[4]Sheet1!$B:$D,2,FALSE)</f>
        <v>10980</v>
      </c>
      <c r="N300" s="319">
        <f>VLOOKUP(A300,[4]Sheet1!$B:$D,3,FALSE)</f>
        <v>0</v>
      </c>
      <c r="P300" s="320">
        <f t="shared" si="18"/>
        <v>0</v>
      </c>
      <c r="Q300" s="320">
        <f t="shared" si="19"/>
        <v>0</v>
      </c>
    </row>
    <row r="301" spans="1:17" x14ac:dyDescent="0.2">
      <c r="A301" s="294" t="s">
        <v>700</v>
      </c>
      <c r="B301" s="299">
        <v>1000</v>
      </c>
      <c r="C301" s="299">
        <v>0</v>
      </c>
      <c r="D301" s="295"/>
      <c r="E301" s="299">
        <v>0</v>
      </c>
      <c r="F301" s="299">
        <v>0</v>
      </c>
      <c r="G301" s="295"/>
      <c r="H301" s="300">
        <f t="shared" si="22"/>
        <v>1000</v>
      </c>
      <c r="I301" s="299">
        <f t="shared" si="23"/>
        <v>0</v>
      </c>
      <c r="M301" s="319">
        <f>VLOOKUP(A301,[4]Sheet1!$B:$D,2,FALSE)</f>
        <v>1000</v>
      </c>
      <c r="N301" s="319">
        <f>VLOOKUP(A301,[4]Sheet1!$B:$D,3,FALSE)</f>
        <v>0</v>
      </c>
      <c r="P301" s="320">
        <f t="shared" si="18"/>
        <v>0</v>
      </c>
      <c r="Q301" s="320">
        <f t="shared" si="19"/>
        <v>0</v>
      </c>
    </row>
    <row r="302" spans="1:17" x14ac:dyDescent="0.2">
      <c r="A302" s="294" t="s">
        <v>393</v>
      </c>
      <c r="B302" s="299">
        <v>164823.9</v>
      </c>
      <c r="C302" s="299">
        <v>0</v>
      </c>
      <c r="D302" s="295"/>
      <c r="E302" s="299">
        <v>0</v>
      </c>
      <c r="F302" s="299">
        <v>0</v>
      </c>
      <c r="G302" s="295"/>
      <c r="H302" s="300">
        <f t="shared" si="22"/>
        <v>164823.9</v>
      </c>
      <c r="I302" s="299">
        <f t="shared" si="23"/>
        <v>0</v>
      </c>
      <c r="M302" s="319">
        <f>VLOOKUP(A302,[4]Sheet1!$B:$D,2,FALSE)</f>
        <v>164823.9</v>
      </c>
      <c r="N302" s="319">
        <f>VLOOKUP(A302,[4]Sheet1!$B:$D,3,FALSE)</f>
        <v>0</v>
      </c>
      <c r="P302" s="320">
        <f t="shared" si="18"/>
        <v>0</v>
      </c>
      <c r="Q302" s="320">
        <f t="shared" si="19"/>
        <v>0</v>
      </c>
    </row>
    <row r="303" spans="1:17" x14ac:dyDescent="0.2">
      <c r="A303" s="294" t="s">
        <v>394</v>
      </c>
      <c r="B303" s="299">
        <v>389812.5</v>
      </c>
      <c r="C303" s="299">
        <v>0</v>
      </c>
      <c r="D303" s="295"/>
      <c r="E303" s="299">
        <v>0</v>
      </c>
      <c r="F303" s="299">
        <v>0</v>
      </c>
      <c r="G303" s="295"/>
      <c r="H303" s="300">
        <f t="shared" si="22"/>
        <v>389812.5</v>
      </c>
      <c r="I303" s="299">
        <f t="shared" si="23"/>
        <v>0</v>
      </c>
      <c r="M303" s="319">
        <f>VLOOKUP(A303,[4]Sheet1!$B:$D,2,FALSE)</f>
        <v>389812.5</v>
      </c>
      <c r="N303" s="319">
        <f>VLOOKUP(A303,[4]Sheet1!$B:$D,3,FALSE)</f>
        <v>0</v>
      </c>
      <c r="P303" s="320">
        <f t="shared" si="18"/>
        <v>0</v>
      </c>
      <c r="Q303" s="320">
        <f t="shared" si="19"/>
        <v>0</v>
      </c>
    </row>
    <row r="304" spans="1:17" x14ac:dyDescent="0.2">
      <c r="A304" s="294" t="s">
        <v>395</v>
      </c>
      <c r="B304" s="299">
        <v>84520</v>
      </c>
      <c r="C304" s="299">
        <v>0</v>
      </c>
      <c r="D304" s="295"/>
      <c r="E304" s="299">
        <v>0</v>
      </c>
      <c r="F304" s="299">
        <v>0</v>
      </c>
      <c r="G304" s="295"/>
      <c r="H304" s="300">
        <f t="shared" si="22"/>
        <v>84520</v>
      </c>
      <c r="I304" s="299">
        <f t="shared" si="23"/>
        <v>0</v>
      </c>
      <c r="M304" s="319">
        <f>VLOOKUP(A304,[4]Sheet1!$B:$D,2,FALSE)</f>
        <v>84520</v>
      </c>
      <c r="N304" s="319">
        <f>VLOOKUP(A304,[4]Sheet1!$B:$D,3,FALSE)</f>
        <v>0</v>
      </c>
      <c r="P304" s="320">
        <f t="shared" si="18"/>
        <v>0</v>
      </c>
      <c r="Q304" s="320">
        <f t="shared" si="19"/>
        <v>0</v>
      </c>
    </row>
    <row r="305" spans="1:17" x14ac:dyDescent="0.2">
      <c r="A305" s="294" t="s">
        <v>396</v>
      </c>
      <c r="B305" s="299">
        <v>194347</v>
      </c>
      <c r="C305" s="299">
        <v>0</v>
      </c>
      <c r="D305" s="295"/>
      <c r="E305" s="299">
        <v>0</v>
      </c>
      <c r="F305" s="299">
        <v>0</v>
      </c>
      <c r="G305" s="295"/>
      <c r="H305" s="300">
        <f t="shared" si="22"/>
        <v>194347</v>
      </c>
      <c r="I305" s="299">
        <f t="shared" si="23"/>
        <v>0</v>
      </c>
      <c r="M305" s="319">
        <f>VLOOKUP(A305,[4]Sheet1!$B:$D,2,FALSE)</f>
        <v>194347</v>
      </c>
      <c r="N305" s="319">
        <f>VLOOKUP(A305,[4]Sheet1!$B:$D,3,FALSE)</f>
        <v>0</v>
      </c>
      <c r="P305" s="320">
        <f t="shared" si="18"/>
        <v>0</v>
      </c>
      <c r="Q305" s="320">
        <f t="shared" si="19"/>
        <v>0</v>
      </c>
    </row>
    <row r="306" spans="1:17" x14ac:dyDescent="0.2">
      <c r="A306" s="294" t="s">
        <v>397</v>
      </c>
      <c r="B306" s="299">
        <v>47980.800000000003</v>
      </c>
      <c r="C306" s="299">
        <v>0</v>
      </c>
      <c r="D306" s="295"/>
      <c r="E306" s="299">
        <v>0</v>
      </c>
      <c r="F306" s="299">
        <v>0</v>
      </c>
      <c r="G306" s="295"/>
      <c r="H306" s="300">
        <f t="shared" si="22"/>
        <v>47980.800000000003</v>
      </c>
      <c r="I306" s="299">
        <f t="shared" si="23"/>
        <v>0</v>
      </c>
      <c r="M306" s="319">
        <f>VLOOKUP(A306,[4]Sheet1!$B:$D,2,FALSE)</f>
        <v>47980.800000000003</v>
      </c>
      <c r="N306" s="319">
        <f>VLOOKUP(A306,[4]Sheet1!$B:$D,3,FALSE)</f>
        <v>0</v>
      </c>
      <c r="P306" s="320">
        <f t="shared" si="18"/>
        <v>0</v>
      </c>
      <c r="Q306" s="320">
        <f t="shared" si="19"/>
        <v>0</v>
      </c>
    </row>
    <row r="307" spans="1:17" x14ac:dyDescent="0.2">
      <c r="A307" s="294" t="s">
        <v>701</v>
      </c>
      <c r="B307" s="299">
        <v>3255</v>
      </c>
      <c r="C307" s="299">
        <v>0</v>
      </c>
      <c r="D307" s="295"/>
      <c r="E307" s="299">
        <v>0</v>
      </c>
      <c r="F307" s="299">
        <v>0</v>
      </c>
      <c r="G307" s="295"/>
      <c r="H307" s="300">
        <f t="shared" si="22"/>
        <v>3255</v>
      </c>
      <c r="I307" s="299">
        <f t="shared" si="23"/>
        <v>0</v>
      </c>
      <c r="M307" s="319">
        <f>VLOOKUP(A307,[4]Sheet1!$B:$D,2,FALSE)</f>
        <v>3255</v>
      </c>
      <c r="N307" s="319">
        <f>VLOOKUP(A307,[4]Sheet1!$B:$D,3,FALSE)</f>
        <v>0</v>
      </c>
      <c r="P307" s="320">
        <f t="shared" si="18"/>
        <v>0</v>
      </c>
      <c r="Q307" s="320">
        <f t="shared" si="19"/>
        <v>0</v>
      </c>
    </row>
    <row r="308" spans="1:17" x14ac:dyDescent="0.2">
      <c r="A308" s="294" t="s">
        <v>398</v>
      </c>
      <c r="B308" s="299">
        <v>147531</v>
      </c>
      <c r="C308" s="299">
        <v>0</v>
      </c>
      <c r="D308" s="295"/>
      <c r="E308" s="299">
        <v>0</v>
      </c>
      <c r="F308" s="299">
        <v>0</v>
      </c>
      <c r="G308" s="295"/>
      <c r="H308" s="300">
        <f t="shared" si="22"/>
        <v>147531</v>
      </c>
      <c r="I308" s="299">
        <f t="shared" si="23"/>
        <v>0</v>
      </c>
      <c r="M308" s="319">
        <f>VLOOKUP(A308,[4]Sheet1!$B:$D,2,FALSE)</f>
        <v>147531</v>
      </c>
      <c r="N308" s="319">
        <f>VLOOKUP(A308,[4]Sheet1!$B:$D,3,FALSE)</f>
        <v>0</v>
      </c>
      <c r="P308" s="320">
        <f t="shared" si="18"/>
        <v>0</v>
      </c>
      <c r="Q308" s="320">
        <f t="shared" si="19"/>
        <v>0</v>
      </c>
    </row>
    <row r="309" spans="1:17" x14ac:dyDescent="0.2">
      <c r="A309" s="294" t="s">
        <v>399</v>
      </c>
      <c r="B309" s="299">
        <v>895279</v>
      </c>
      <c r="C309" s="299">
        <v>0</v>
      </c>
      <c r="D309" s="295"/>
      <c r="E309" s="299">
        <v>0</v>
      </c>
      <c r="F309" s="299">
        <v>0</v>
      </c>
      <c r="G309" s="295"/>
      <c r="H309" s="300">
        <f t="shared" si="22"/>
        <v>895279</v>
      </c>
      <c r="I309" s="299">
        <f t="shared" si="23"/>
        <v>0</v>
      </c>
      <c r="M309" s="319">
        <f>VLOOKUP(A309,[4]Sheet1!$B:$D,2,FALSE)</f>
        <v>895279</v>
      </c>
      <c r="N309" s="319">
        <f>VLOOKUP(A309,[4]Sheet1!$B:$D,3,FALSE)</f>
        <v>0</v>
      </c>
      <c r="P309" s="320">
        <f t="shared" si="18"/>
        <v>0</v>
      </c>
      <c r="Q309" s="320">
        <f t="shared" si="19"/>
        <v>0</v>
      </c>
    </row>
    <row r="310" spans="1:17" x14ac:dyDescent="0.2">
      <c r="A310" s="294" t="s">
        <v>400</v>
      </c>
      <c r="B310" s="299">
        <v>335352</v>
      </c>
      <c r="C310" s="299">
        <v>0</v>
      </c>
      <c r="D310" s="295"/>
      <c r="E310" s="299">
        <v>0</v>
      </c>
      <c r="F310" s="299">
        <v>0</v>
      </c>
      <c r="G310" s="295"/>
      <c r="H310" s="300">
        <f t="shared" si="22"/>
        <v>335352</v>
      </c>
      <c r="I310" s="299">
        <f t="shared" si="23"/>
        <v>0</v>
      </c>
      <c r="M310" s="319">
        <f>VLOOKUP(A310,[4]Sheet1!$B:$D,2,FALSE)</f>
        <v>335352</v>
      </c>
      <c r="N310" s="319">
        <f>VLOOKUP(A310,[4]Sheet1!$B:$D,3,FALSE)</f>
        <v>0</v>
      </c>
      <c r="P310" s="320">
        <f t="shared" si="18"/>
        <v>0</v>
      </c>
      <c r="Q310" s="320">
        <f t="shared" si="19"/>
        <v>0</v>
      </c>
    </row>
    <row r="311" spans="1:17" x14ac:dyDescent="0.2">
      <c r="A311" s="294" t="s">
        <v>562</v>
      </c>
      <c r="B311" s="299">
        <v>85219.32</v>
      </c>
      <c r="C311" s="299">
        <v>0</v>
      </c>
      <c r="D311" s="295"/>
      <c r="E311" s="299">
        <v>0</v>
      </c>
      <c r="F311" s="299">
        <v>0</v>
      </c>
      <c r="G311" s="295"/>
      <c r="H311" s="300">
        <f t="shared" si="22"/>
        <v>85219.32</v>
      </c>
      <c r="I311" s="299">
        <f t="shared" si="23"/>
        <v>0</v>
      </c>
      <c r="M311" s="319">
        <f>VLOOKUP(A311,[4]Sheet1!$B:$D,2,FALSE)</f>
        <v>85219.32</v>
      </c>
      <c r="N311" s="319">
        <f>VLOOKUP(A311,[4]Sheet1!$B:$D,3,FALSE)</f>
        <v>0</v>
      </c>
      <c r="P311" s="320">
        <f t="shared" si="18"/>
        <v>0</v>
      </c>
      <c r="Q311" s="320">
        <f t="shared" si="19"/>
        <v>0</v>
      </c>
    </row>
    <row r="312" spans="1:17" x14ac:dyDescent="0.2">
      <c r="A312" s="294" t="s">
        <v>401</v>
      </c>
      <c r="B312" s="299">
        <v>104658.93</v>
      </c>
      <c r="C312" s="299">
        <v>0</v>
      </c>
      <c r="D312" s="295"/>
      <c r="E312" s="299">
        <v>0</v>
      </c>
      <c r="F312" s="299">
        <v>0</v>
      </c>
      <c r="G312" s="295"/>
      <c r="H312" s="300">
        <f t="shared" si="22"/>
        <v>104658.93</v>
      </c>
      <c r="I312" s="299">
        <f t="shared" si="23"/>
        <v>0</v>
      </c>
      <c r="M312" s="319">
        <f>VLOOKUP(A312,[4]Sheet1!$B:$D,2,FALSE)</f>
        <v>104658.93</v>
      </c>
      <c r="N312" s="319">
        <f>VLOOKUP(A312,[4]Sheet1!$B:$D,3,FALSE)</f>
        <v>0</v>
      </c>
      <c r="P312" s="320">
        <f t="shared" si="18"/>
        <v>0</v>
      </c>
      <c r="Q312" s="320">
        <f t="shared" si="19"/>
        <v>0</v>
      </c>
    </row>
    <row r="313" spans="1:17" x14ac:dyDescent="0.2">
      <c r="A313" s="294" t="s">
        <v>402</v>
      </c>
      <c r="B313" s="299">
        <v>58586.58</v>
      </c>
      <c r="C313" s="299">
        <v>0</v>
      </c>
      <c r="D313" s="295"/>
      <c r="E313" s="299">
        <v>0</v>
      </c>
      <c r="F313" s="299">
        <v>0</v>
      </c>
      <c r="G313" s="295"/>
      <c r="H313" s="300">
        <f t="shared" si="22"/>
        <v>58586.58</v>
      </c>
      <c r="I313" s="299">
        <f t="shared" si="23"/>
        <v>0</v>
      </c>
      <c r="M313" s="319">
        <f>VLOOKUP(A313,[4]Sheet1!$B:$D,2,FALSE)</f>
        <v>58586.58</v>
      </c>
      <c r="N313" s="319">
        <f>VLOOKUP(A313,[4]Sheet1!$B:$D,3,FALSE)</f>
        <v>0</v>
      </c>
      <c r="P313" s="320">
        <f t="shared" si="18"/>
        <v>0</v>
      </c>
      <c r="Q313" s="320">
        <f t="shared" si="19"/>
        <v>0</v>
      </c>
    </row>
    <row r="314" spans="1:17" x14ac:dyDescent="0.2">
      <c r="A314" s="294" t="s">
        <v>403</v>
      </c>
      <c r="B314" s="299">
        <v>3094149.59</v>
      </c>
      <c r="C314" s="299">
        <v>0</v>
      </c>
      <c r="D314" s="295"/>
      <c r="E314" s="299">
        <v>0</v>
      </c>
      <c r="F314" s="299">
        <v>0</v>
      </c>
      <c r="G314" s="295"/>
      <c r="H314" s="300">
        <f t="shared" si="22"/>
        <v>3094149.59</v>
      </c>
      <c r="I314" s="299">
        <f t="shared" si="23"/>
        <v>0</v>
      </c>
      <c r="M314" s="319">
        <f>VLOOKUP(A314,[4]Sheet1!$B:$D,2,FALSE)</f>
        <v>3094149.59</v>
      </c>
      <c r="N314" s="319">
        <f>VLOOKUP(A314,[4]Sheet1!$B:$D,3,FALSE)</f>
        <v>0</v>
      </c>
      <c r="P314" s="320">
        <f t="shared" si="18"/>
        <v>0</v>
      </c>
      <c r="Q314" s="320">
        <f t="shared" si="19"/>
        <v>0</v>
      </c>
    </row>
    <row r="315" spans="1:17" x14ac:dyDescent="0.2">
      <c r="A315" s="294" t="s">
        <v>404</v>
      </c>
      <c r="B315" s="299">
        <v>376261.15</v>
      </c>
      <c r="C315" s="299">
        <v>0</v>
      </c>
      <c r="D315" s="295"/>
      <c r="E315" s="299">
        <v>0</v>
      </c>
      <c r="F315" s="299">
        <v>0</v>
      </c>
      <c r="G315" s="295"/>
      <c r="H315" s="300">
        <f t="shared" si="22"/>
        <v>376261.15</v>
      </c>
      <c r="I315" s="299">
        <f t="shared" si="23"/>
        <v>0</v>
      </c>
      <c r="M315" s="319">
        <f>VLOOKUP(A315,[4]Sheet1!$B:$D,2,FALSE)</f>
        <v>376261.15</v>
      </c>
      <c r="N315" s="319">
        <f>VLOOKUP(A315,[4]Sheet1!$B:$D,3,FALSE)</f>
        <v>0</v>
      </c>
      <c r="P315" s="320">
        <f t="shared" si="18"/>
        <v>0</v>
      </c>
      <c r="Q315" s="320">
        <f t="shared" si="19"/>
        <v>0</v>
      </c>
    </row>
    <row r="316" spans="1:17" x14ac:dyDescent="0.2">
      <c r="A316" s="294" t="s">
        <v>405</v>
      </c>
      <c r="B316" s="299">
        <v>94065.29</v>
      </c>
      <c r="C316" s="299">
        <v>0</v>
      </c>
      <c r="D316" s="295"/>
      <c r="E316" s="299">
        <v>0</v>
      </c>
      <c r="F316" s="299">
        <v>0</v>
      </c>
      <c r="G316" s="295"/>
      <c r="H316" s="300">
        <f t="shared" si="22"/>
        <v>94065.29</v>
      </c>
      <c r="I316" s="299">
        <f t="shared" si="23"/>
        <v>0</v>
      </c>
      <c r="M316" s="319">
        <f>VLOOKUP(A316,[4]Sheet1!$B:$D,2,FALSE)</f>
        <v>94065.29</v>
      </c>
      <c r="N316" s="319">
        <f>VLOOKUP(A316,[4]Sheet1!$B:$D,3,FALSE)</f>
        <v>0</v>
      </c>
      <c r="P316" s="320">
        <f t="shared" si="18"/>
        <v>0</v>
      </c>
      <c r="Q316" s="320">
        <f t="shared" si="19"/>
        <v>0</v>
      </c>
    </row>
    <row r="317" spans="1:17" x14ac:dyDescent="0.2">
      <c r="A317" s="294" t="s">
        <v>702</v>
      </c>
      <c r="B317" s="299">
        <v>63017.52</v>
      </c>
      <c r="C317" s="299">
        <v>0</v>
      </c>
      <c r="D317" s="295"/>
      <c r="E317" s="299">
        <v>0</v>
      </c>
      <c r="F317" s="299">
        <v>0</v>
      </c>
      <c r="G317" s="295"/>
      <c r="H317" s="300">
        <f t="shared" si="22"/>
        <v>63017.52</v>
      </c>
      <c r="I317" s="299">
        <f t="shared" si="23"/>
        <v>0</v>
      </c>
      <c r="M317" s="319">
        <f>VLOOKUP(A317,[4]Sheet1!$B:$D,2,FALSE)</f>
        <v>63017.52</v>
      </c>
      <c r="N317" s="319">
        <f>VLOOKUP(A317,[4]Sheet1!$B:$D,3,FALSE)</f>
        <v>0</v>
      </c>
      <c r="P317" s="320">
        <f t="shared" si="18"/>
        <v>0</v>
      </c>
      <c r="Q317" s="320">
        <f t="shared" si="19"/>
        <v>0</v>
      </c>
    </row>
    <row r="318" spans="1:17" x14ac:dyDescent="0.2">
      <c r="A318" s="294" t="s">
        <v>406</v>
      </c>
      <c r="B318" s="299">
        <v>357265</v>
      </c>
      <c r="C318" s="299">
        <v>0</v>
      </c>
      <c r="D318" s="295"/>
      <c r="E318" s="299">
        <v>0</v>
      </c>
      <c r="F318" s="299">
        <v>0</v>
      </c>
      <c r="G318" s="295"/>
      <c r="H318" s="300">
        <f t="shared" si="22"/>
        <v>357265</v>
      </c>
      <c r="I318" s="299">
        <f t="shared" si="23"/>
        <v>0</v>
      </c>
      <c r="M318" s="319">
        <f>VLOOKUP(A318,[4]Sheet1!$B:$D,2,FALSE)</f>
        <v>357265</v>
      </c>
      <c r="N318" s="319">
        <f>VLOOKUP(A318,[4]Sheet1!$B:$D,3,FALSE)</f>
        <v>0</v>
      </c>
      <c r="P318" s="320">
        <f t="shared" si="18"/>
        <v>0</v>
      </c>
      <c r="Q318" s="320">
        <f t="shared" si="19"/>
        <v>0</v>
      </c>
    </row>
    <row r="319" spans="1:17" x14ac:dyDescent="0.2">
      <c r="A319" s="294" t="s">
        <v>407</v>
      </c>
      <c r="B319" s="299">
        <v>515201.67</v>
      </c>
      <c r="C319" s="299">
        <v>0</v>
      </c>
      <c r="D319" s="295"/>
      <c r="E319" s="299">
        <v>0</v>
      </c>
      <c r="F319" s="299">
        <v>0</v>
      </c>
      <c r="G319" s="295"/>
      <c r="H319" s="300">
        <f t="shared" si="22"/>
        <v>515201.67</v>
      </c>
      <c r="I319" s="299">
        <f t="shared" si="23"/>
        <v>0</v>
      </c>
      <c r="M319" s="319">
        <f>VLOOKUP(A319,[4]Sheet1!$B:$D,2,FALSE)</f>
        <v>515201.67</v>
      </c>
      <c r="N319" s="319">
        <f>VLOOKUP(A319,[4]Sheet1!$B:$D,3,FALSE)</f>
        <v>0</v>
      </c>
      <c r="P319" s="320">
        <f t="shared" si="18"/>
        <v>0</v>
      </c>
      <c r="Q319" s="320">
        <f t="shared" si="19"/>
        <v>0</v>
      </c>
    </row>
    <row r="320" spans="1:17" x14ac:dyDescent="0.2">
      <c r="A320" s="294" t="s">
        <v>408</v>
      </c>
      <c r="B320" s="299">
        <v>0</v>
      </c>
      <c r="C320" s="299">
        <v>2237.46</v>
      </c>
      <c r="D320" s="295"/>
      <c r="E320" s="299">
        <v>0</v>
      </c>
      <c r="F320" s="299">
        <v>0</v>
      </c>
      <c r="G320" s="295"/>
      <c r="H320" s="299">
        <f t="shared" si="22"/>
        <v>0</v>
      </c>
      <c r="I320" s="300">
        <f t="shared" si="23"/>
        <v>2237.46</v>
      </c>
      <c r="M320" s="319">
        <f>VLOOKUP(A320,[4]Sheet1!$B:$D,2,FALSE)</f>
        <v>0</v>
      </c>
      <c r="N320" s="319">
        <f>VLOOKUP(A320,[4]Sheet1!$B:$D,3,FALSE)</f>
        <v>2237.46</v>
      </c>
      <c r="P320" s="320">
        <f t="shared" si="18"/>
        <v>0</v>
      </c>
      <c r="Q320" s="320">
        <f t="shared" si="19"/>
        <v>0</v>
      </c>
    </row>
    <row r="321" spans="1:17" x14ac:dyDescent="0.2">
      <c r="A321" s="294" t="s">
        <v>703</v>
      </c>
      <c r="B321" s="299">
        <v>38760.25</v>
      </c>
      <c r="C321" s="299">
        <v>0</v>
      </c>
      <c r="D321" s="295"/>
      <c r="E321" s="299">
        <v>0</v>
      </c>
      <c r="F321" s="299">
        <v>0</v>
      </c>
      <c r="G321" s="295"/>
      <c r="H321" s="300">
        <f t="shared" si="22"/>
        <v>38760.25</v>
      </c>
      <c r="I321" s="299">
        <f t="shared" si="23"/>
        <v>0</v>
      </c>
      <c r="M321" s="319">
        <f>VLOOKUP(A321,[4]Sheet1!$B:$D,2,FALSE)</f>
        <v>38760.25</v>
      </c>
      <c r="N321" s="319">
        <f>VLOOKUP(A321,[4]Sheet1!$B:$D,3,FALSE)</f>
        <v>0</v>
      </c>
      <c r="P321" s="320">
        <f t="shared" si="18"/>
        <v>0</v>
      </c>
      <c r="Q321" s="320">
        <f t="shared" si="19"/>
        <v>0</v>
      </c>
    </row>
    <row r="322" spans="1:17" x14ac:dyDescent="0.2">
      <c r="A322" s="294" t="s">
        <v>409</v>
      </c>
      <c r="B322" s="299">
        <v>32757.34</v>
      </c>
      <c r="C322" s="299">
        <v>0</v>
      </c>
      <c r="D322" s="295"/>
      <c r="E322" s="299">
        <v>0</v>
      </c>
      <c r="F322" s="299">
        <v>0</v>
      </c>
      <c r="G322" s="295"/>
      <c r="H322" s="300">
        <f t="shared" si="22"/>
        <v>32757.34</v>
      </c>
      <c r="I322" s="299">
        <f t="shared" si="23"/>
        <v>0</v>
      </c>
      <c r="M322" s="319">
        <f>VLOOKUP(A322,[4]Sheet1!$B:$D,2,FALSE)</f>
        <v>32757.34</v>
      </c>
      <c r="N322" s="319">
        <f>VLOOKUP(A322,[4]Sheet1!$B:$D,3,FALSE)</f>
        <v>0</v>
      </c>
      <c r="P322" s="320">
        <f t="shared" si="18"/>
        <v>0</v>
      </c>
      <c r="Q322" s="320">
        <f t="shared" si="19"/>
        <v>0</v>
      </c>
    </row>
    <row r="323" spans="1:17" x14ac:dyDescent="0.2">
      <c r="A323" s="294" t="s">
        <v>410</v>
      </c>
      <c r="B323" s="299">
        <v>89788.58</v>
      </c>
      <c r="C323" s="299">
        <v>0</v>
      </c>
      <c r="D323" s="295"/>
      <c r="E323" s="299">
        <v>0</v>
      </c>
      <c r="F323" s="299">
        <v>0</v>
      </c>
      <c r="G323" s="295"/>
      <c r="H323" s="300">
        <f t="shared" si="22"/>
        <v>89788.58</v>
      </c>
      <c r="I323" s="299">
        <f t="shared" si="23"/>
        <v>0</v>
      </c>
      <c r="M323" s="319">
        <f>VLOOKUP(A323,[4]Sheet1!$B:$D,2,FALSE)</f>
        <v>89788.58</v>
      </c>
      <c r="N323" s="319">
        <f>VLOOKUP(A323,[4]Sheet1!$B:$D,3,FALSE)</f>
        <v>0</v>
      </c>
      <c r="P323" s="320">
        <f t="shared" si="18"/>
        <v>0</v>
      </c>
      <c r="Q323" s="320">
        <f t="shared" si="19"/>
        <v>0</v>
      </c>
    </row>
    <row r="324" spans="1:17" x14ac:dyDescent="0.2">
      <c r="A324" s="294" t="s">
        <v>411</v>
      </c>
      <c r="B324" s="299">
        <v>138588.9</v>
      </c>
      <c r="C324" s="299">
        <v>0</v>
      </c>
      <c r="D324" s="295"/>
      <c r="E324" s="299">
        <v>0</v>
      </c>
      <c r="F324" s="299">
        <v>0</v>
      </c>
      <c r="G324" s="295"/>
      <c r="H324" s="300">
        <f t="shared" si="22"/>
        <v>138588.9</v>
      </c>
      <c r="I324" s="299">
        <f t="shared" si="23"/>
        <v>0</v>
      </c>
      <c r="M324" s="319">
        <f>VLOOKUP(A324,[4]Sheet1!$B:$D,2,FALSE)</f>
        <v>138588.9</v>
      </c>
      <c r="N324" s="319">
        <f>VLOOKUP(A324,[4]Sheet1!$B:$D,3,FALSE)</f>
        <v>0</v>
      </c>
      <c r="P324" s="320">
        <f t="shared" si="18"/>
        <v>0</v>
      </c>
      <c r="Q324" s="320">
        <f t="shared" si="19"/>
        <v>0</v>
      </c>
    </row>
    <row r="325" spans="1:17" x14ac:dyDescent="0.2">
      <c r="A325" s="294" t="s">
        <v>412</v>
      </c>
      <c r="B325" s="299">
        <v>248644.54</v>
      </c>
      <c r="C325" s="299">
        <v>0</v>
      </c>
      <c r="D325" s="295"/>
      <c r="E325" s="299">
        <v>0</v>
      </c>
      <c r="F325" s="299">
        <v>0</v>
      </c>
      <c r="G325" s="295"/>
      <c r="H325" s="300">
        <f t="shared" si="22"/>
        <v>248644.54</v>
      </c>
      <c r="I325" s="299">
        <f t="shared" si="23"/>
        <v>0</v>
      </c>
      <c r="M325" s="319">
        <f>VLOOKUP(A325,[4]Sheet1!$B:$D,2,FALSE)</f>
        <v>248644.54</v>
      </c>
      <c r="N325" s="319">
        <f>VLOOKUP(A325,[4]Sheet1!$B:$D,3,FALSE)</f>
        <v>0</v>
      </c>
      <c r="P325" s="320">
        <f t="shared" si="18"/>
        <v>0</v>
      </c>
      <c r="Q325" s="320">
        <f t="shared" si="19"/>
        <v>0</v>
      </c>
    </row>
    <row r="326" spans="1:17" x14ac:dyDescent="0.2">
      <c r="A326" s="294" t="s">
        <v>704</v>
      </c>
      <c r="B326" s="299">
        <v>330351.59000000003</v>
      </c>
      <c r="C326" s="299">
        <v>0</v>
      </c>
      <c r="D326" s="295"/>
      <c r="E326" s="299">
        <v>0</v>
      </c>
      <c r="F326" s="299">
        <v>0</v>
      </c>
      <c r="G326" s="295"/>
      <c r="H326" s="300">
        <f t="shared" si="22"/>
        <v>330351.59000000003</v>
      </c>
      <c r="I326" s="299">
        <f t="shared" si="23"/>
        <v>0</v>
      </c>
      <c r="M326" s="319">
        <f>VLOOKUP(A326,[4]Sheet1!$B:$D,2,FALSE)</f>
        <v>330351.59000000003</v>
      </c>
      <c r="N326" s="319">
        <f>VLOOKUP(A326,[4]Sheet1!$B:$D,3,FALSE)</f>
        <v>0</v>
      </c>
      <c r="P326" s="320">
        <f t="shared" ref="P326:P389" si="24">H326-M326</f>
        <v>0</v>
      </c>
      <c r="Q326" s="320">
        <f t="shared" ref="Q326:Q389" si="25">I326-N326</f>
        <v>0</v>
      </c>
    </row>
    <row r="327" spans="1:17" x14ac:dyDescent="0.2">
      <c r="A327" s="294" t="s">
        <v>414</v>
      </c>
      <c r="B327" s="299">
        <v>188956</v>
      </c>
      <c r="C327" s="299">
        <v>0</v>
      </c>
      <c r="D327" s="295"/>
      <c r="E327" s="299">
        <v>0</v>
      </c>
      <c r="F327" s="299">
        <v>0</v>
      </c>
      <c r="G327" s="295"/>
      <c r="H327" s="300">
        <f t="shared" si="22"/>
        <v>188956</v>
      </c>
      <c r="I327" s="299">
        <f t="shared" si="23"/>
        <v>0</v>
      </c>
      <c r="M327" s="319">
        <f>VLOOKUP(A327,[4]Sheet1!$B:$D,2,FALSE)</f>
        <v>188956</v>
      </c>
      <c r="N327" s="319">
        <f>VLOOKUP(A327,[4]Sheet1!$B:$D,3,FALSE)</f>
        <v>0</v>
      </c>
      <c r="P327" s="320">
        <f t="shared" si="24"/>
        <v>0</v>
      </c>
      <c r="Q327" s="320">
        <f t="shared" si="25"/>
        <v>0</v>
      </c>
    </row>
    <row r="328" spans="1:17" x14ac:dyDescent="0.2">
      <c r="A328" s="294" t="s">
        <v>415</v>
      </c>
      <c r="B328" s="299">
        <v>18170</v>
      </c>
      <c r="C328" s="299">
        <v>0</v>
      </c>
      <c r="D328" s="295"/>
      <c r="E328" s="299">
        <v>0</v>
      </c>
      <c r="F328" s="299">
        <v>0</v>
      </c>
      <c r="G328" s="295"/>
      <c r="H328" s="300">
        <f t="shared" si="22"/>
        <v>18170</v>
      </c>
      <c r="I328" s="299">
        <f t="shared" si="23"/>
        <v>0</v>
      </c>
      <c r="M328" s="319">
        <f>VLOOKUP(A328,[4]Sheet1!$B:$D,2,FALSE)</f>
        <v>18170</v>
      </c>
      <c r="N328" s="319">
        <f>VLOOKUP(A328,[4]Sheet1!$B:$D,3,FALSE)</f>
        <v>0</v>
      </c>
      <c r="P328" s="320">
        <f t="shared" si="24"/>
        <v>0</v>
      </c>
      <c r="Q328" s="320">
        <f t="shared" si="25"/>
        <v>0</v>
      </c>
    </row>
    <row r="329" spans="1:17" x14ac:dyDescent="0.2">
      <c r="A329" s="294" t="s">
        <v>416</v>
      </c>
      <c r="B329" s="299">
        <v>34300</v>
      </c>
      <c r="C329" s="299">
        <v>0</v>
      </c>
      <c r="D329" s="295"/>
      <c r="E329" s="299">
        <v>0</v>
      </c>
      <c r="F329" s="299">
        <v>0</v>
      </c>
      <c r="G329" s="295"/>
      <c r="H329" s="300">
        <f t="shared" si="22"/>
        <v>34300</v>
      </c>
      <c r="I329" s="299">
        <f t="shared" si="23"/>
        <v>0</v>
      </c>
      <c r="M329" s="319">
        <f>VLOOKUP(A329,[4]Sheet1!$B:$D,2,FALSE)</f>
        <v>34300</v>
      </c>
      <c r="N329" s="319">
        <f>VLOOKUP(A329,[4]Sheet1!$B:$D,3,FALSE)</f>
        <v>0</v>
      </c>
      <c r="P329" s="320">
        <f t="shared" si="24"/>
        <v>0</v>
      </c>
      <c r="Q329" s="320">
        <f t="shared" si="25"/>
        <v>0</v>
      </c>
    </row>
    <row r="330" spans="1:17" x14ac:dyDescent="0.2">
      <c r="A330" s="294" t="s">
        <v>417</v>
      </c>
      <c r="B330" s="299">
        <v>125065</v>
      </c>
      <c r="C330" s="299">
        <v>0</v>
      </c>
      <c r="D330" s="295"/>
      <c r="E330" s="299">
        <v>0</v>
      </c>
      <c r="F330" s="299">
        <v>0</v>
      </c>
      <c r="G330" s="295"/>
      <c r="H330" s="300">
        <f t="shared" si="22"/>
        <v>125065</v>
      </c>
      <c r="I330" s="299">
        <f t="shared" si="23"/>
        <v>0</v>
      </c>
      <c r="M330" s="319">
        <f>VLOOKUP(A330,[4]Sheet1!$B:$D,2,FALSE)</f>
        <v>125065</v>
      </c>
      <c r="N330" s="319">
        <f>VLOOKUP(A330,[4]Sheet1!$B:$D,3,FALSE)</f>
        <v>0</v>
      </c>
      <c r="P330" s="320">
        <f t="shared" si="24"/>
        <v>0</v>
      </c>
      <c r="Q330" s="320">
        <f t="shared" si="25"/>
        <v>0</v>
      </c>
    </row>
    <row r="331" spans="1:17" x14ac:dyDescent="0.2">
      <c r="A331" s="294" t="s">
        <v>418</v>
      </c>
      <c r="B331" s="299">
        <v>19585</v>
      </c>
      <c r="C331" s="299">
        <v>0</v>
      </c>
      <c r="D331" s="295"/>
      <c r="E331" s="299">
        <v>0</v>
      </c>
      <c r="F331" s="299">
        <v>0</v>
      </c>
      <c r="G331" s="295"/>
      <c r="H331" s="300">
        <f t="shared" si="22"/>
        <v>19585</v>
      </c>
      <c r="I331" s="299">
        <f t="shared" si="23"/>
        <v>0</v>
      </c>
      <c r="M331" s="319">
        <f>VLOOKUP(A331,[4]Sheet1!$B:$D,2,FALSE)</f>
        <v>19585</v>
      </c>
      <c r="N331" s="319">
        <f>VLOOKUP(A331,[4]Sheet1!$B:$D,3,FALSE)</f>
        <v>0</v>
      </c>
      <c r="P331" s="320">
        <f t="shared" si="24"/>
        <v>0</v>
      </c>
      <c r="Q331" s="320">
        <f t="shared" si="25"/>
        <v>0</v>
      </c>
    </row>
    <row r="332" spans="1:17" x14ac:dyDescent="0.2">
      <c r="A332" s="294" t="s">
        <v>419</v>
      </c>
      <c r="B332" s="299">
        <v>11520</v>
      </c>
      <c r="C332" s="299">
        <v>0</v>
      </c>
      <c r="D332" s="295"/>
      <c r="E332" s="299">
        <v>0</v>
      </c>
      <c r="F332" s="299">
        <v>0</v>
      </c>
      <c r="G332" s="295"/>
      <c r="H332" s="300">
        <f t="shared" si="22"/>
        <v>11520</v>
      </c>
      <c r="I332" s="299">
        <f t="shared" si="23"/>
        <v>0</v>
      </c>
      <c r="M332" s="319">
        <f>VLOOKUP(A332,[4]Sheet1!$B:$D,2,FALSE)</f>
        <v>11520</v>
      </c>
      <c r="N332" s="319">
        <f>VLOOKUP(A332,[4]Sheet1!$B:$D,3,FALSE)</f>
        <v>0</v>
      </c>
      <c r="P332" s="320">
        <f t="shared" si="24"/>
        <v>0</v>
      </c>
      <c r="Q332" s="320">
        <f t="shared" si="25"/>
        <v>0</v>
      </c>
    </row>
    <row r="333" spans="1:17" x14ac:dyDescent="0.2">
      <c r="A333" s="294" t="s">
        <v>420</v>
      </c>
      <c r="B333" s="299">
        <v>398729</v>
      </c>
      <c r="C333" s="299">
        <v>0</v>
      </c>
      <c r="D333" s="295"/>
      <c r="E333" s="299">
        <v>0</v>
      </c>
      <c r="F333" s="299">
        <v>0</v>
      </c>
      <c r="G333" s="295"/>
      <c r="H333" s="300">
        <f t="shared" si="22"/>
        <v>398729</v>
      </c>
      <c r="I333" s="299">
        <f t="shared" si="23"/>
        <v>0</v>
      </c>
      <c r="M333" s="319">
        <f>VLOOKUP(A333,[4]Sheet1!$B:$D,2,FALSE)</f>
        <v>398729</v>
      </c>
      <c r="N333" s="319">
        <f>VLOOKUP(A333,[4]Sheet1!$B:$D,3,FALSE)</f>
        <v>0</v>
      </c>
      <c r="P333" s="320">
        <f t="shared" si="24"/>
        <v>0</v>
      </c>
      <c r="Q333" s="320">
        <f t="shared" si="25"/>
        <v>0</v>
      </c>
    </row>
    <row r="334" spans="1:17" x14ac:dyDescent="0.2">
      <c r="A334" s="294" t="s">
        <v>421</v>
      </c>
      <c r="B334" s="299">
        <v>28360</v>
      </c>
      <c r="C334" s="299">
        <v>0</v>
      </c>
      <c r="D334" s="295"/>
      <c r="E334" s="299">
        <v>0</v>
      </c>
      <c r="F334" s="299">
        <v>0</v>
      </c>
      <c r="G334" s="295"/>
      <c r="H334" s="300">
        <f t="shared" si="22"/>
        <v>28360</v>
      </c>
      <c r="I334" s="299">
        <f t="shared" si="23"/>
        <v>0</v>
      </c>
      <c r="M334" s="319">
        <f>VLOOKUP(A334,[4]Sheet1!$B:$D,2,FALSE)</f>
        <v>28360</v>
      </c>
      <c r="N334" s="319">
        <f>VLOOKUP(A334,[4]Sheet1!$B:$D,3,FALSE)</f>
        <v>0</v>
      </c>
      <c r="P334" s="320">
        <f t="shared" si="24"/>
        <v>0</v>
      </c>
      <c r="Q334" s="320">
        <f t="shared" si="25"/>
        <v>0</v>
      </c>
    </row>
    <row r="335" spans="1:17" x14ac:dyDescent="0.2">
      <c r="A335" s="294" t="s">
        <v>705</v>
      </c>
      <c r="B335" s="299">
        <v>77850</v>
      </c>
      <c r="C335" s="299">
        <v>0</v>
      </c>
      <c r="D335" s="295"/>
      <c r="E335" s="299">
        <v>0</v>
      </c>
      <c r="F335" s="299">
        <v>0</v>
      </c>
      <c r="G335" s="295"/>
      <c r="H335" s="300">
        <f t="shared" ref="H335:H398" si="26">B335</f>
        <v>77850</v>
      </c>
      <c r="I335" s="299">
        <f t="shared" ref="I335:I398" si="27">C335</f>
        <v>0</v>
      </c>
      <c r="M335" s="319">
        <f>VLOOKUP(A335,[4]Sheet1!$B:$D,2,FALSE)</f>
        <v>77850</v>
      </c>
      <c r="N335" s="319">
        <f>VLOOKUP(A335,[4]Sheet1!$B:$D,3,FALSE)</f>
        <v>0</v>
      </c>
      <c r="P335" s="320">
        <f t="shared" si="24"/>
        <v>0</v>
      </c>
      <c r="Q335" s="320">
        <f t="shared" si="25"/>
        <v>0</v>
      </c>
    </row>
    <row r="336" spans="1:17" x14ac:dyDescent="0.2">
      <c r="A336" s="294" t="s">
        <v>422</v>
      </c>
      <c r="B336" s="299">
        <v>583207.63</v>
      </c>
      <c r="C336" s="299">
        <v>0</v>
      </c>
      <c r="D336" s="295"/>
      <c r="E336" s="299">
        <v>0</v>
      </c>
      <c r="F336" s="299">
        <v>0</v>
      </c>
      <c r="G336" s="295"/>
      <c r="H336" s="300">
        <f t="shared" si="26"/>
        <v>583207.63</v>
      </c>
      <c r="I336" s="299">
        <f t="shared" si="27"/>
        <v>0</v>
      </c>
      <c r="M336" s="319">
        <f>VLOOKUP(A336,[4]Sheet1!$B:$D,2,FALSE)</f>
        <v>583207.63</v>
      </c>
      <c r="N336" s="319">
        <f>VLOOKUP(A336,[4]Sheet1!$B:$D,3,FALSE)</f>
        <v>0</v>
      </c>
      <c r="P336" s="320">
        <f t="shared" si="24"/>
        <v>0</v>
      </c>
      <c r="Q336" s="320">
        <f t="shared" si="25"/>
        <v>0</v>
      </c>
    </row>
    <row r="337" spans="1:17" x14ac:dyDescent="0.2">
      <c r="A337" s="294" t="s">
        <v>706</v>
      </c>
      <c r="B337" s="299">
        <v>200</v>
      </c>
      <c r="C337" s="299">
        <v>0</v>
      </c>
      <c r="D337" s="295"/>
      <c r="E337" s="299">
        <v>0</v>
      </c>
      <c r="F337" s="299">
        <v>0</v>
      </c>
      <c r="G337" s="295"/>
      <c r="H337" s="300">
        <f t="shared" si="26"/>
        <v>200</v>
      </c>
      <c r="I337" s="299">
        <f t="shared" si="27"/>
        <v>0</v>
      </c>
      <c r="M337" s="319">
        <f>VLOOKUP(A337,[4]Sheet1!$B:$D,2,FALSE)</f>
        <v>200</v>
      </c>
      <c r="N337" s="319">
        <f>VLOOKUP(A337,[4]Sheet1!$B:$D,3,FALSE)</f>
        <v>0</v>
      </c>
      <c r="P337" s="320">
        <f t="shared" si="24"/>
        <v>0</v>
      </c>
      <c r="Q337" s="320">
        <f t="shared" si="25"/>
        <v>0</v>
      </c>
    </row>
    <row r="338" spans="1:17" x14ac:dyDescent="0.2">
      <c r="A338" s="294" t="s">
        <v>424</v>
      </c>
      <c r="B338" s="299">
        <v>1391180</v>
      </c>
      <c r="C338" s="299">
        <v>0</v>
      </c>
      <c r="D338" s="295"/>
      <c r="E338" s="299">
        <v>0</v>
      </c>
      <c r="F338" s="299">
        <v>0</v>
      </c>
      <c r="G338" s="295"/>
      <c r="H338" s="300">
        <f t="shared" si="26"/>
        <v>1391180</v>
      </c>
      <c r="I338" s="299">
        <f t="shared" si="27"/>
        <v>0</v>
      </c>
      <c r="M338" s="319">
        <f>VLOOKUP(A338,[4]Sheet1!$B:$D,2,FALSE)</f>
        <v>1391180</v>
      </c>
      <c r="N338" s="319">
        <f>VLOOKUP(A338,[4]Sheet1!$B:$D,3,FALSE)</f>
        <v>0</v>
      </c>
      <c r="P338" s="320">
        <f t="shared" si="24"/>
        <v>0</v>
      </c>
      <c r="Q338" s="320">
        <f t="shared" si="25"/>
        <v>0</v>
      </c>
    </row>
    <row r="339" spans="1:17" x14ac:dyDescent="0.2">
      <c r="A339" s="294" t="s">
        <v>425</v>
      </c>
      <c r="B339" s="299">
        <v>34430</v>
      </c>
      <c r="C339" s="299">
        <v>0</v>
      </c>
      <c r="D339" s="295"/>
      <c r="E339" s="299">
        <v>0</v>
      </c>
      <c r="F339" s="299">
        <v>0</v>
      </c>
      <c r="G339" s="295"/>
      <c r="H339" s="300">
        <f t="shared" si="26"/>
        <v>34430</v>
      </c>
      <c r="I339" s="299">
        <f t="shared" si="27"/>
        <v>0</v>
      </c>
      <c r="M339" s="319">
        <f>VLOOKUP(A339,[4]Sheet1!$B:$D,2,FALSE)</f>
        <v>34430</v>
      </c>
      <c r="N339" s="319">
        <f>VLOOKUP(A339,[4]Sheet1!$B:$D,3,FALSE)</f>
        <v>0</v>
      </c>
      <c r="P339" s="320">
        <f t="shared" si="24"/>
        <v>0</v>
      </c>
      <c r="Q339" s="320">
        <f t="shared" si="25"/>
        <v>0</v>
      </c>
    </row>
    <row r="340" spans="1:17" x14ac:dyDescent="0.2">
      <c r="A340" s="294" t="s">
        <v>426</v>
      </c>
      <c r="B340" s="299">
        <v>963186</v>
      </c>
      <c r="C340" s="299">
        <v>0</v>
      </c>
      <c r="D340" s="295"/>
      <c r="E340" s="299">
        <v>0</v>
      </c>
      <c r="F340" s="299">
        <v>0</v>
      </c>
      <c r="G340" s="295"/>
      <c r="H340" s="300">
        <f t="shared" si="26"/>
        <v>963186</v>
      </c>
      <c r="I340" s="299">
        <f t="shared" si="27"/>
        <v>0</v>
      </c>
      <c r="M340" s="319">
        <f>VLOOKUP(A340,[4]Sheet1!$B:$D,2,FALSE)</f>
        <v>963186</v>
      </c>
      <c r="N340" s="319">
        <f>VLOOKUP(A340,[4]Sheet1!$B:$D,3,FALSE)</f>
        <v>0</v>
      </c>
      <c r="P340" s="320">
        <f t="shared" si="24"/>
        <v>0</v>
      </c>
      <c r="Q340" s="320">
        <f t="shared" si="25"/>
        <v>0</v>
      </c>
    </row>
    <row r="341" spans="1:17" x14ac:dyDescent="0.2">
      <c r="A341" s="294" t="s">
        <v>427</v>
      </c>
      <c r="B341" s="299">
        <v>11480</v>
      </c>
      <c r="C341" s="299">
        <v>0</v>
      </c>
      <c r="D341" s="295"/>
      <c r="E341" s="299">
        <v>0</v>
      </c>
      <c r="F341" s="299">
        <v>0</v>
      </c>
      <c r="G341" s="295"/>
      <c r="H341" s="300">
        <f t="shared" si="26"/>
        <v>11480</v>
      </c>
      <c r="I341" s="299">
        <f t="shared" si="27"/>
        <v>0</v>
      </c>
      <c r="M341" s="319">
        <f>VLOOKUP(A341,[4]Sheet1!$B:$D,2,FALSE)</f>
        <v>11480</v>
      </c>
      <c r="N341" s="319">
        <f>VLOOKUP(A341,[4]Sheet1!$B:$D,3,FALSE)</f>
        <v>0</v>
      </c>
      <c r="P341" s="320">
        <f t="shared" si="24"/>
        <v>0</v>
      </c>
      <c r="Q341" s="320">
        <f t="shared" si="25"/>
        <v>0</v>
      </c>
    </row>
    <row r="342" spans="1:17" x14ac:dyDescent="0.2">
      <c r="A342" s="316" t="s">
        <v>428</v>
      </c>
      <c r="B342" s="299">
        <v>1808916.72</v>
      </c>
      <c r="C342" s="299">
        <v>0</v>
      </c>
      <c r="D342" s="295"/>
      <c r="E342" s="299">
        <v>0</v>
      </c>
      <c r="F342" s="299">
        <v>0</v>
      </c>
      <c r="G342" s="295"/>
      <c r="H342" s="300">
        <f t="shared" si="26"/>
        <v>1808916.72</v>
      </c>
      <c r="I342" s="299">
        <f t="shared" si="27"/>
        <v>0</v>
      </c>
      <c r="M342" s="319">
        <f>VLOOKUP(A342,[4]Sheet1!$B:$D,2,FALSE)</f>
        <v>1808916.72</v>
      </c>
      <c r="N342" s="319">
        <f>VLOOKUP(A342,[4]Sheet1!$B:$D,3,FALSE)</f>
        <v>0</v>
      </c>
      <c r="P342" s="320">
        <f t="shared" si="24"/>
        <v>0</v>
      </c>
      <c r="Q342" s="320">
        <f t="shared" si="25"/>
        <v>0</v>
      </c>
    </row>
    <row r="343" spans="1:17" x14ac:dyDescent="0.2">
      <c r="A343" s="316" t="s">
        <v>429</v>
      </c>
      <c r="B343" s="299">
        <v>2406351.38</v>
      </c>
      <c r="C343" s="299">
        <v>0</v>
      </c>
      <c r="D343" s="295"/>
      <c r="E343" s="299">
        <v>0</v>
      </c>
      <c r="F343" s="299">
        <v>0</v>
      </c>
      <c r="G343" s="295"/>
      <c r="H343" s="300">
        <f t="shared" si="26"/>
        <v>2406351.38</v>
      </c>
      <c r="I343" s="299">
        <f t="shared" si="27"/>
        <v>0</v>
      </c>
      <c r="M343" s="319">
        <f>VLOOKUP(A343,[4]Sheet1!$B:$D,2,FALSE)</f>
        <v>2406351.38</v>
      </c>
      <c r="N343" s="319">
        <f>VLOOKUP(A343,[4]Sheet1!$B:$D,3,FALSE)</f>
        <v>0</v>
      </c>
      <c r="P343" s="320">
        <f t="shared" si="24"/>
        <v>0</v>
      </c>
      <c r="Q343" s="320">
        <f t="shared" si="25"/>
        <v>0</v>
      </c>
    </row>
    <row r="344" spans="1:17" x14ac:dyDescent="0.2">
      <c r="A344" s="316" t="s">
        <v>430</v>
      </c>
      <c r="B344" s="299">
        <v>941618.98</v>
      </c>
      <c r="C344" s="299">
        <v>0</v>
      </c>
      <c r="D344" s="295"/>
      <c r="E344" s="299">
        <v>0</v>
      </c>
      <c r="F344" s="299">
        <v>0</v>
      </c>
      <c r="G344" s="295"/>
      <c r="H344" s="300">
        <f t="shared" si="26"/>
        <v>941618.98</v>
      </c>
      <c r="I344" s="299">
        <f t="shared" si="27"/>
        <v>0</v>
      </c>
      <c r="M344" s="319">
        <f>VLOOKUP(A344,[4]Sheet1!$B:$D,2,FALSE)</f>
        <v>941618.98</v>
      </c>
      <c r="N344" s="319">
        <f>VLOOKUP(A344,[4]Sheet1!$B:$D,3,FALSE)</f>
        <v>0</v>
      </c>
      <c r="P344" s="320">
        <f t="shared" si="24"/>
        <v>0</v>
      </c>
      <c r="Q344" s="320">
        <f t="shared" si="25"/>
        <v>0</v>
      </c>
    </row>
    <row r="345" spans="1:17" x14ac:dyDescent="0.2">
      <c r="A345" s="294" t="s">
        <v>431</v>
      </c>
      <c r="B345" s="299">
        <v>29567.02</v>
      </c>
      <c r="C345" s="299">
        <v>0</v>
      </c>
      <c r="D345" s="295"/>
      <c r="E345" s="299">
        <v>0</v>
      </c>
      <c r="F345" s="299">
        <v>0</v>
      </c>
      <c r="G345" s="295"/>
      <c r="H345" s="300">
        <f t="shared" si="26"/>
        <v>29567.02</v>
      </c>
      <c r="I345" s="299">
        <f t="shared" si="27"/>
        <v>0</v>
      </c>
      <c r="M345" s="319">
        <f>VLOOKUP(A345,[4]Sheet1!$B:$D,2,FALSE)</f>
        <v>29567.02</v>
      </c>
      <c r="N345" s="319">
        <f>VLOOKUP(A345,[4]Sheet1!$B:$D,3,FALSE)</f>
        <v>0</v>
      </c>
      <c r="P345" s="320">
        <f t="shared" si="24"/>
        <v>0</v>
      </c>
      <c r="Q345" s="320">
        <f t="shared" si="25"/>
        <v>0</v>
      </c>
    </row>
    <row r="346" spans="1:17" x14ac:dyDescent="0.2">
      <c r="A346" s="294" t="s">
        <v>432</v>
      </c>
      <c r="B346" s="299">
        <v>3064898.92</v>
      </c>
      <c r="C346" s="299">
        <v>0</v>
      </c>
      <c r="D346" s="295"/>
      <c r="E346" s="299">
        <v>0</v>
      </c>
      <c r="F346" s="299">
        <v>0</v>
      </c>
      <c r="G346" s="295"/>
      <c r="H346" s="300">
        <f t="shared" si="26"/>
        <v>3064898.92</v>
      </c>
      <c r="I346" s="299">
        <f t="shared" si="27"/>
        <v>0</v>
      </c>
      <c r="M346" s="319">
        <f>VLOOKUP(A346,[4]Sheet1!$B:$D,2,FALSE)</f>
        <v>3064898.92</v>
      </c>
      <c r="N346" s="319">
        <f>VLOOKUP(A346,[4]Sheet1!$B:$D,3,FALSE)</f>
        <v>0</v>
      </c>
      <c r="P346" s="320">
        <f t="shared" si="24"/>
        <v>0</v>
      </c>
      <c r="Q346" s="320">
        <f t="shared" si="25"/>
        <v>0</v>
      </c>
    </row>
    <row r="347" spans="1:17" x14ac:dyDescent="0.2">
      <c r="A347" s="294" t="s">
        <v>433</v>
      </c>
      <c r="B347" s="299">
        <v>69659.14</v>
      </c>
      <c r="C347" s="299">
        <v>0</v>
      </c>
      <c r="D347" s="295"/>
      <c r="E347" s="299">
        <v>0</v>
      </c>
      <c r="F347" s="299">
        <v>0</v>
      </c>
      <c r="G347" s="295"/>
      <c r="H347" s="300">
        <f t="shared" si="26"/>
        <v>69659.14</v>
      </c>
      <c r="I347" s="299">
        <f t="shared" si="27"/>
        <v>0</v>
      </c>
      <c r="M347" s="319">
        <f>VLOOKUP(A347,[4]Sheet1!$B:$D,2,FALSE)</f>
        <v>69659.14</v>
      </c>
      <c r="N347" s="319">
        <f>VLOOKUP(A347,[4]Sheet1!$B:$D,3,FALSE)</f>
        <v>0</v>
      </c>
      <c r="P347" s="320">
        <f t="shared" si="24"/>
        <v>0</v>
      </c>
      <c r="Q347" s="320">
        <f t="shared" si="25"/>
        <v>0</v>
      </c>
    </row>
    <row r="348" spans="1:17" x14ac:dyDescent="0.2">
      <c r="A348" s="294" t="s">
        <v>434</v>
      </c>
      <c r="B348" s="299">
        <v>108497.66</v>
      </c>
      <c r="C348" s="299">
        <v>0</v>
      </c>
      <c r="D348" s="295"/>
      <c r="E348" s="299">
        <v>0</v>
      </c>
      <c r="F348" s="299">
        <v>0</v>
      </c>
      <c r="G348" s="295"/>
      <c r="H348" s="300">
        <f t="shared" si="26"/>
        <v>108497.66</v>
      </c>
      <c r="I348" s="299">
        <f t="shared" si="27"/>
        <v>0</v>
      </c>
      <c r="M348" s="319">
        <f>VLOOKUP(A348,[4]Sheet1!$B:$D,2,FALSE)</f>
        <v>108497.66</v>
      </c>
      <c r="N348" s="319">
        <f>VLOOKUP(A348,[4]Sheet1!$B:$D,3,FALSE)</f>
        <v>0</v>
      </c>
      <c r="P348" s="320">
        <f t="shared" si="24"/>
        <v>0</v>
      </c>
      <c r="Q348" s="320">
        <f t="shared" si="25"/>
        <v>0</v>
      </c>
    </row>
    <row r="349" spans="1:17" x14ac:dyDescent="0.2">
      <c r="A349" s="294" t="s">
        <v>435</v>
      </c>
      <c r="B349" s="299">
        <v>7050</v>
      </c>
      <c r="C349" s="299">
        <v>0</v>
      </c>
      <c r="D349" s="295"/>
      <c r="E349" s="299">
        <v>0</v>
      </c>
      <c r="F349" s="299">
        <v>0</v>
      </c>
      <c r="G349" s="295"/>
      <c r="H349" s="300">
        <f t="shared" si="26"/>
        <v>7050</v>
      </c>
      <c r="I349" s="299">
        <f t="shared" si="27"/>
        <v>0</v>
      </c>
      <c r="M349" s="319">
        <f>VLOOKUP(A349,[4]Sheet1!$B:$D,2,FALSE)</f>
        <v>7050</v>
      </c>
      <c r="N349" s="319">
        <f>VLOOKUP(A349,[4]Sheet1!$B:$D,3,FALSE)</f>
        <v>0</v>
      </c>
      <c r="P349" s="320">
        <f t="shared" si="24"/>
        <v>0</v>
      </c>
      <c r="Q349" s="320">
        <f t="shared" si="25"/>
        <v>0</v>
      </c>
    </row>
    <row r="350" spans="1:17" x14ac:dyDescent="0.2">
      <c r="A350" s="294" t="s">
        <v>707</v>
      </c>
      <c r="B350" s="299">
        <v>2316</v>
      </c>
      <c r="C350" s="299">
        <v>0</v>
      </c>
      <c r="D350" s="295"/>
      <c r="E350" s="299">
        <v>0</v>
      </c>
      <c r="F350" s="299">
        <v>0</v>
      </c>
      <c r="G350" s="295"/>
      <c r="H350" s="300">
        <f t="shared" si="26"/>
        <v>2316</v>
      </c>
      <c r="I350" s="299">
        <f t="shared" si="27"/>
        <v>0</v>
      </c>
      <c r="M350" s="319">
        <f>VLOOKUP(A350,[4]Sheet1!$B:$D,2,FALSE)</f>
        <v>2316</v>
      </c>
      <c r="N350" s="319">
        <f>VLOOKUP(A350,[4]Sheet1!$B:$D,3,FALSE)</f>
        <v>0</v>
      </c>
      <c r="P350" s="320">
        <f t="shared" si="24"/>
        <v>0</v>
      </c>
      <c r="Q350" s="320">
        <f t="shared" si="25"/>
        <v>0</v>
      </c>
    </row>
    <row r="351" spans="1:17" x14ac:dyDescent="0.2">
      <c r="A351" s="294" t="s">
        <v>563</v>
      </c>
      <c r="B351" s="299">
        <v>364</v>
      </c>
      <c r="C351" s="299">
        <v>0</v>
      </c>
      <c r="D351" s="295"/>
      <c r="E351" s="299">
        <v>0</v>
      </c>
      <c r="F351" s="299">
        <v>0</v>
      </c>
      <c r="G351" s="295"/>
      <c r="H351" s="300">
        <f t="shared" si="26"/>
        <v>364</v>
      </c>
      <c r="I351" s="299">
        <f t="shared" si="27"/>
        <v>0</v>
      </c>
      <c r="M351" s="319">
        <f>VLOOKUP(A351,[4]Sheet1!$B:$D,2,FALSE)</f>
        <v>364</v>
      </c>
      <c r="N351" s="319">
        <f>VLOOKUP(A351,[4]Sheet1!$B:$D,3,FALSE)</f>
        <v>0</v>
      </c>
      <c r="P351" s="320">
        <f t="shared" si="24"/>
        <v>0</v>
      </c>
      <c r="Q351" s="320">
        <f t="shared" si="25"/>
        <v>0</v>
      </c>
    </row>
    <row r="352" spans="1:17" x14ac:dyDescent="0.2">
      <c r="A352" s="294" t="s">
        <v>708</v>
      </c>
      <c r="B352" s="299">
        <v>430</v>
      </c>
      <c r="C352" s="299">
        <v>0</v>
      </c>
      <c r="D352" s="295"/>
      <c r="E352" s="299">
        <v>0</v>
      </c>
      <c r="F352" s="299">
        <v>0</v>
      </c>
      <c r="G352" s="295"/>
      <c r="H352" s="300">
        <f t="shared" si="26"/>
        <v>430</v>
      </c>
      <c r="I352" s="299">
        <f t="shared" si="27"/>
        <v>0</v>
      </c>
      <c r="M352" s="319">
        <f>VLOOKUP(A352,[4]Sheet1!$B:$D,2,FALSE)</f>
        <v>430</v>
      </c>
      <c r="N352" s="319">
        <f>VLOOKUP(A352,[4]Sheet1!$B:$D,3,FALSE)</f>
        <v>0</v>
      </c>
      <c r="P352" s="320">
        <f t="shared" si="24"/>
        <v>0</v>
      </c>
      <c r="Q352" s="320">
        <f t="shared" si="25"/>
        <v>0</v>
      </c>
    </row>
    <row r="353" spans="1:17" x14ac:dyDescent="0.2">
      <c r="A353" s="294" t="s">
        <v>439</v>
      </c>
      <c r="B353" s="299">
        <v>53500</v>
      </c>
      <c r="C353" s="299">
        <v>0</v>
      </c>
      <c r="D353" s="295"/>
      <c r="E353" s="299">
        <v>0</v>
      </c>
      <c r="F353" s="299">
        <v>0</v>
      </c>
      <c r="G353" s="295"/>
      <c r="H353" s="300">
        <f t="shared" si="26"/>
        <v>53500</v>
      </c>
      <c r="I353" s="299">
        <f t="shared" si="27"/>
        <v>0</v>
      </c>
      <c r="M353" s="319">
        <f>VLOOKUP(A353,[4]Sheet1!$B:$D,2,FALSE)</f>
        <v>53500</v>
      </c>
      <c r="N353" s="319">
        <f>VLOOKUP(A353,[4]Sheet1!$B:$D,3,FALSE)</f>
        <v>0</v>
      </c>
      <c r="P353" s="320">
        <f t="shared" si="24"/>
        <v>0</v>
      </c>
      <c r="Q353" s="320">
        <f t="shared" si="25"/>
        <v>0</v>
      </c>
    </row>
    <row r="354" spans="1:17" x14ac:dyDescent="0.2">
      <c r="A354" s="294" t="s">
        <v>440</v>
      </c>
      <c r="B354" s="299">
        <v>7837</v>
      </c>
      <c r="C354" s="299">
        <v>0</v>
      </c>
      <c r="D354" s="295"/>
      <c r="E354" s="299">
        <v>0</v>
      </c>
      <c r="F354" s="299">
        <v>0</v>
      </c>
      <c r="G354" s="295"/>
      <c r="H354" s="300">
        <f t="shared" si="26"/>
        <v>7837</v>
      </c>
      <c r="I354" s="299">
        <f t="shared" si="27"/>
        <v>0</v>
      </c>
      <c r="M354" s="319">
        <f>VLOOKUP(A354,[4]Sheet1!$B:$D,2,FALSE)</f>
        <v>7837</v>
      </c>
      <c r="N354" s="319">
        <f>VLOOKUP(A354,[4]Sheet1!$B:$D,3,FALSE)</f>
        <v>0</v>
      </c>
      <c r="P354" s="320">
        <f t="shared" si="24"/>
        <v>0</v>
      </c>
      <c r="Q354" s="320">
        <f t="shared" si="25"/>
        <v>0</v>
      </c>
    </row>
    <row r="355" spans="1:17" x14ac:dyDescent="0.2">
      <c r="A355" s="294" t="s">
        <v>441</v>
      </c>
      <c r="B355" s="299">
        <v>1061242.32</v>
      </c>
      <c r="C355" s="299">
        <v>0</v>
      </c>
      <c r="D355" s="295"/>
      <c r="E355" s="299">
        <v>0</v>
      </c>
      <c r="F355" s="299">
        <v>0</v>
      </c>
      <c r="G355" s="295"/>
      <c r="H355" s="300">
        <f t="shared" si="26"/>
        <v>1061242.32</v>
      </c>
      <c r="I355" s="299">
        <f t="shared" si="27"/>
        <v>0</v>
      </c>
      <c r="M355" s="319">
        <f>VLOOKUP(A355,[4]Sheet1!$B:$D,2,FALSE)</f>
        <v>1061242.32</v>
      </c>
      <c r="N355" s="319">
        <f>VLOOKUP(A355,[4]Sheet1!$B:$D,3,FALSE)</f>
        <v>0</v>
      </c>
      <c r="P355" s="320">
        <f t="shared" si="24"/>
        <v>0</v>
      </c>
      <c r="Q355" s="320">
        <f t="shared" si="25"/>
        <v>0</v>
      </c>
    </row>
    <row r="356" spans="1:17" x14ac:dyDescent="0.2">
      <c r="A356" s="294" t="s">
        <v>442</v>
      </c>
      <c r="B356" s="299">
        <v>52675</v>
      </c>
      <c r="C356" s="299">
        <v>0</v>
      </c>
      <c r="D356" s="295"/>
      <c r="E356" s="299">
        <v>0</v>
      </c>
      <c r="F356" s="299">
        <v>0</v>
      </c>
      <c r="G356" s="295"/>
      <c r="H356" s="300">
        <f t="shared" si="26"/>
        <v>52675</v>
      </c>
      <c r="I356" s="299">
        <f t="shared" si="27"/>
        <v>0</v>
      </c>
      <c r="M356" s="319">
        <f>VLOOKUP(A356,[4]Sheet1!$B:$D,2,FALSE)</f>
        <v>52675</v>
      </c>
      <c r="N356" s="319">
        <f>VLOOKUP(A356,[4]Sheet1!$B:$D,3,FALSE)</f>
        <v>0</v>
      </c>
      <c r="P356" s="320">
        <f t="shared" si="24"/>
        <v>0</v>
      </c>
      <c r="Q356" s="320">
        <f t="shared" si="25"/>
        <v>0</v>
      </c>
    </row>
    <row r="357" spans="1:17" x14ac:dyDescent="0.2">
      <c r="A357" s="294" t="s">
        <v>443</v>
      </c>
      <c r="B357" s="299">
        <v>910687</v>
      </c>
      <c r="C357" s="299">
        <v>0</v>
      </c>
      <c r="D357" s="295"/>
      <c r="E357" s="299">
        <v>0</v>
      </c>
      <c r="F357" s="299">
        <v>0</v>
      </c>
      <c r="G357" s="295"/>
      <c r="H357" s="300">
        <f t="shared" si="26"/>
        <v>910687</v>
      </c>
      <c r="I357" s="299">
        <f t="shared" si="27"/>
        <v>0</v>
      </c>
      <c r="M357" s="319">
        <f>VLOOKUP(A357,[4]Sheet1!$B:$D,2,FALSE)</f>
        <v>910687</v>
      </c>
      <c r="N357" s="319">
        <f>VLOOKUP(A357,[4]Sheet1!$B:$D,3,FALSE)</f>
        <v>0</v>
      </c>
      <c r="P357" s="320">
        <f t="shared" si="24"/>
        <v>0</v>
      </c>
      <c r="Q357" s="320">
        <f t="shared" si="25"/>
        <v>0</v>
      </c>
    </row>
    <row r="358" spans="1:17" x14ac:dyDescent="0.2">
      <c r="A358" s="294" t="s">
        <v>709</v>
      </c>
      <c r="B358" s="299">
        <v>282218.5</v>
      </c>
      <c r="C358" s="299">
        <v>0</v>
      </c>
      <c r="D358" s="295"/>
      <c r="E358" s="299">
        <v>0</v>
      </c>
      <c r="F358" s="299">
        <v>0</v>
      </c>
      <c r="G358" s="295"/>
      <c r="H358" s="300">
        <f t="shared" si="26"/>
        <v>282218.5</v>
      </c>
      <c r="I358" s="299">
        <f t="shared" si="27"/>
        <v>0</v>
      </c>
      <c r="M358" s="319">
        <f>VLOOKUP(A358,[4]Sheet1!$B:$D,2,FALSE)</f>
        <v>282218.5</v>
      </c>
      <c r="N358" s="319">
        <f>VLOOKUP(A358,[4]Sheet1!$B:$D,3,FALSE)</f>
        <v>0</v>
      </c>
      <c r="P358" s="320">
        <f t="shared" si="24"/>
        <v>0</v>
      </c>
      <c r="Q358" s="320">
        <f t="shared" si="25"/>
        <v>0</v>
      </c>
    </row>
    <row r="359" spans="1:17" x14ac:dyDescent="0.2">
      <c r="A359" s="294" t="s">
        <v>444</v>
      </c>
      <c r="B359" s="299">
        <v>19845.97</v>
      </c>
      <c r="C359" s="299">
        <v>0</v>
      </c>
      <c r="D359" s="295"/>
      <c r="E359" s="299">
        <v>0</v>
      </c>
      <c r="F359" s="299">
        <v>0</v>
      </c>
      <c r="G359" s="295"/>
      <c r="H359" s="300">
        <f t="shared" si="26"/>
        <v>19845.97</v>
      </c>
      <c r="I359" s="299">
        <f t="shared" si="27"/>
        <v>0</v>
      </c>
      <c r="M359" s="319">
        <f>VLOOKUP(A359,[4]Sheet1!$B:$D,2,FALSE)</f>
        <v>19845.97</v>
      </c>
      <c r="N359" s="319">
        <f>VLOOKUP(A359,[4]Sheet1!$B:$D,3,FALSE)</f>
        <v>0</v>
      </c>
      <c r="P359" s="320">
        <f t="shared" si="24"/>
        <v>0</v>
      </c>
      <c r="Q359" s="320">
        <f t="shared" si="25"/>
        <v>0</v>
      </c>
    </row>
    <row r="360" spans="1:17" x14ac:dyDescent="0.2">
      <c r="A360" s="294" t="s">
        <v>445</v>
      </c>
      <c r="B360" s="299">
        <v>92106.2</v>
      </c>
      <c r="C360" s="299">
        <v>0</v>
      </c>
      <c r="D360" s="295"/>
      <c r="E360" s="299">
        <v>0</v>
      </c>
      <c r="F360" s="299">
        <v>0</v>
      </c>
      <c r="G360" s="295"/>
      <c r="H360" s="300">
        <f t="shared" si="26"/>
        <v>92106.2</v>
      </c>
      <c r="I360" s="299">
        <f t="shared" si="27"/>
        <v>0</v>
      </c>
      <c r="M360" s="319">
        <f>VLOOKUP(A360,[4]Sheet1!$B:$D,2,FALSE)</f>
        <v>92106.2</v>
      </c>
      <c r="N360" s="319">
        <f>VLOOKUP(A360,[4]Sheet1!$B:$D,3,FALSE)</f>
        <v>0</v>
      </c>
      <c r="P360" s="320">
        <f t="shared" si="24"/>
        <v>0</v>
      </c>
      <c r="Q360" s="320">
        <f t="shared" si="25"/>
        <v>0</v>
      </c>
    </row>
    <row r="361" spans="1:17" x14ac:dyDescent="0.2">
      <c r="A361" s="294" t="s">
        <v>446</v>
      </c>
      <c r="B361" s="299">
        <v>26600</v>
      </c>
      <c r="C361" s="299">
        <v>0</v>
      </c>
      <c r="D361" s="295"/>
      <c r="E361" s="299">
        <v>0</v>
      </c>
      <c r="F361" s="299">
        <v>0</v>
      </c>
      <c r="G361" s="295"/>
      <c r="H361" s="300">
        <f t="shared" si="26"/>
        <v>26600</v>
      </c>
      <c r="I361" s="299">
        <f t="shared" si="27"/>
        <v>0</v>
      </c>
      <c r="M361" s="319">
        <f>VLOOKUP(A361,[4]Sheet1!$B:$D,2,FALSE)</f>
        <v>26600</v>
      </c>
      <c r="N361" s="319">
        <f>VLOOKUP(A361,[4]Sheet1!$B:$D,3,FALSE)</f>
        <v>0</v>
      </c>
      <c r="P361" s="320">
        <f t="shared" si="24"/>
        <v>0</v>
      </c>
      <c r="Q361" s="320">
        <f t="shared" si="25"/>
        <v>0</v>
      </c>
    </row>
    <row r="362" spans="1:17" x14ac:dyDescent="0.2">
      <c r="A362" s="294" t="s">
        <v>710</v>
      </c>
      <c r="B362" s="299">
        <v>7500</v>
      </c>
      <c r="C362" s="299">
        <v>0</v>
      </c>
      <c r="D362" s="295"/>
      <c r="E362" s="299">
        <v>0</v>
      </c>
      <c r="F362" s="299">
        <v>0</v>
      </c>
      <c r="G362" s="295"/>
      <c r="H362" s="300">
        <f t="shared" si="26"/>
        <v>7500</v>
      </c>
      <c r="I362" s="299">
        <f t="shared" si="27"/>
        <v>0</v>
      </c>
      <c r="M362" s="319">
        <f>VLOOKUP(A362,[4]Sheet1!$B:$D,2,FALSE)</f>
        <v>7500</v>
      </c>
      <c r="N362" s="319">
        <f>VLOOKUP(A362,[4]Sheet1!$B:$D,3,FALSE)</f>
        <v>0</v>
      </c>
      <c r="P362" s="320">
        <f t="shared" si="24"/>
        <v>0</v>
      </c>
      <c r="Q362" s="320">
        <f t="shared" si="25"/>
        <v>0</v>
      </c>
    </row>
    <row r="363" spans="1:17" x14ac:dyDescent="0.2">
      <c r="A363" s="294" t="s">
        <v>564</v>
      </c>
      <c r="B363" s="299">
        <v>25130.76</v>
      </c>
      <c r="C363" s="299">
        <v>0</v>
      </c>
      <c r="D363" s="295"/>
      <c r="E363" s="299">
        <v>0</v>
      </c>
      <c r="F363" s="299">
        <v>0</v>
      </c>
      <c r="G363" s="295"/>
      <c r="H363" s="300">
        <f t="shared" si="26"/>
        <v>25130.76</v>
      </c>
      <c r="I363" s="299">
        <f t="shared" si="27"/>
        <v>0</v>
      </c>
      <c r="M363" s="319">
        <f>VLOOKUP(A363,[4]Sheet1!$B:$D,2,FALSE)</f>
        <v>25130.76</v>
      </c>
      <c r="N363" s="319">
        <f>VLOOKUP(A363,[4]Sheet1!$B:$D,3,FALSE)</f>
        <v>0</v>
      </c>
      <c r="P363" s="320">
        <f t="shared" si="24"/>
        <v>0</v>
      </c>
      <c r="Q363" s="320">
        <f t="shared" si="25"/>
        <v>0</v>
      </c>
    </row>
    <row r="364" spans="1:17" x14ac:dyDescent="0.2">
      <c r="A364" s="294" t="s">
        <v>711</v>
      </c>
      <c r="B364" s="299">
        <v>99360</v>
      </c>
      <c r="C364" s="299">
        <v>0</v>
      </c>
      <c r="D364" s="295"/>
      <c r="E364" s="299">
        <v>0</v>
      </c>
      <c r="F364" s="299">
        <v>0</v>
      </c>
      <c r="G364" s="295"/>
      <c r="H364" s="300">
        <f t="shared" si="26"/>
        <v>99360</v>
      </c>
      <c r="I364" s="299">
        <f t="shared" si="27"/>
        <v>0</v>
      </c>
      <c r="M364" s="319">
        <f>VLOOKUP(A364,[4]Sheet1!$B:$D,2,FALSE)</f>
        <v>99360</v>
      </c>
      <c r="N364" s="319">
        <f>VLOOKUP(A364,[4]Sheet1!$B:$D,3,FALSE)</f>
        <v>0</v>
      </c>
      <c r="P364" s="320">
        <f t="shared" si="24"/>
        <v>0</v>
      </c>
      <c r="Q364" s="320">
        <f t="shared" si="25"/>
        <v>0</v>
      </c>
    </row>
    <row r="365" spans="1:17" x14ac:dyDescent="0.2">
      <c r="A365" s="294" t="s">
        <v>447</v>
      </c>
      <c r="B365" s="299">
        <v>240992</v>
      </c>
      <c r="C365" s="299">
        <v>0</v>
      </c>
      <c r="D365" s="295"/>
      <c r="E365" s="299">
        <v>0</v>
      </c>
      <c r="F365" s="299">
        <v>0</v>
      </c>
      <c r="G365" s="295"/>
      <c r="H365" s="300">
        <f t="shared" si="26"/>
        <v>240992</v>
      </c>
      <c r="I365" s="299">
        <f t="shared" si="27"/>
        <v>0</v>
      </c>
      <c r="M365" s="319">
        <f>VLOOKUP(A365,[4]Sheet1!$B:$D,2,FALSE)</f>
        <v>240992</v>
      </c>
      <c r="N365" s="319">
        <f>VLOOKUP(A365,[4]Sheet1!$B:$D,3,FALSE)</f>
        <v>0</v>
      </c>
      <c r="P365" s="320">
        <f t="shared" si="24"/>
        <v>0</v>
      </c>
      <c r="Q365" s="320">
        <f t="shared" si="25"/>
        <v>0</v>
      </c>
    </row>
    <row r="366" spans="1:17" x14ac:dyDescent="0.2">
      <c r="A366" s="294" t="s">
        <v>712</v>
      </c>
      <c r="B366" s="299">
        <v>148915</v>
      </c>
      <c r="C366" s="299">
        <v>0</v>
      </c>
      <c r="D366" s="295"/>
      <c r="E366" s="299">
        <v>0</v>
      </c>
      <c r="F366" s="299">
        <v>0</v>
      </c>
      <c r="G366" s="295"/>
      <c r="H366" s="300">
        <f t="shared" si="26"/>
        <v>148915</v>
      </c>
      <c r="I366" s="299">
        <f t="shared" si="27"/>
        <v>0</v>
      </c>
      <c r="M366" s="319">
        <f>VLOOKUP(A366,[4]Sheet1!$B:$D,2,FALSE)</f>
        <v>148915</v>
      </c>
      <c r="N366" s="319">
        <f>VLOOKUP(A366,[4]Sheet1!$B:$D,3,FALSE)</f>
        <v>0</v>
      </c>
      <c r="P366" s="320">
        <f t="shared" si="24"/>
        <v>0</v>
      </c>
      <c r="Q366" s="320">
        <f t="shared" si="25"/>
        <v>0</v>
      </c>
    </row>
    <row r="367" spans="1:17" x14ac:dyDescent="0.2">
      <c r="A367" s="294" t="s">
        <v>713</v>
      </c>
      <c r="B367" s="299">
        <v>195150</v>
      </c>
      <c r="C367" s="299">
        <v>0</v>
      </c>
      <c r="D367" s="295"/>
      <c r="E367" s="299">
        <v>0</v>
      </c>
      <c r="F367" s="299">
        <v>0</v>
      </c>
      <c r="G367" s="295"/>
      <c r="H367" s="300">
        <f t="shared" si="26"/>
        <v>195150</v>
      </c>
      <c r="I367" s="299">
        <f t="shared" si="27"/>
        <v>0</v>
      </c>
      <c r="M367" s="319">
        <f>VLOOKUP(A367,[4]Sheet1!$B:$D,2,FALSE)</f>
        <v>195150</v>
      </c>
      <c r="N367" s="319">
        <f>VLOOKUP(A367,[4]Sheet1!$B:$D,3,FALSE)</f>
        <v>0</v>
      </c>
      <c r="P367" s="320">
        <f t="shared" si="24"/>
        <v>0</v>
      </c>
      <c r="Q367" s="320">
        <f t="shared" si="25"/>
        <v>0</v>
      </c>
    </row>
    <row r="368" spans="1:17" x14ac:dyDescent="0.2">
      <c r="A368" s="294" t="s">
        <v>448</v>
      </c>
      <c r="B368" s="299">
        <v>1393500</v>
      </c>
      <c r="C368" s="299">
        <v>0</v>
      </c>
      <c r="D368" s="295"/>
      <c r="E368" s="299">
        <v>0</v>
      </c>
      <c r="F368" s="299">
        <v>0</v>
      </c>
      <c r="G368" s="295"/>
      <c r="H368" s="300">
        <f t="shared" si="26"/>
        <v>1393500</v>
      </c>
      <c r="I368" s="299">
        <f t="shared" si="27"/>
        <v>0</v>
      </c>
      <c r="M368" s="319">
        <f>VLOOKUP(A368,[4]Sheet1!$B:$D,2,FALSE)</f>
        <v>1393500</v>
      </c>
      <c r="N368" s="319">
        <f>VLOOKUP(A368,[4]Sheet1!$B:$D,3,FALSE)</f>
        <v>0</v>
      </c>
      <c r="P368" s="320">
        <f t="shared" si="24"/>
        <v>0</v>
      </c>
      <c r="Q368" s="320">
        <f t="shared" si="25"/>
        <v>0</v>
      </c>
    </row>
    <row r="369" spans="1:17" x14ac:dyDescent="0.2">
      <c r="A369" s="294" t="s">
        <v>449</v>
      </c>
      <c r="B369" s="299">
        <v>167220</v>
      </c>
      <c r="C369" s="299">
        <v>0</v>
      </c>
      <c r="D369" s="295"/>
      <c r="E369" s="299">
        <v>0</v>
      </c>
      <c r="F369" s="299">
        <v>0</v>
      </c>
      <c r="G369" s="295"/>
      <c r="H369" s="300">
        <f t="shared" si="26"/>
        <v>167220</v>
      </c>
      <c r="I369" s="299">
        <f t="shared" si="27"/>
        <v>0</v>
      </c>
      <c r="M369" s="319">
        <f>VLOOKUP(A369,[4]Sheet1!$B:$D,2,FALSE)</f>
        <v>167220</v>
      </c>
      <c r="N369" s="319">
        <f>VLOOKUP(A369,[4]Sheet1!$B:$D,3,FALSE)</f>
        <v>0</v>
      </c>
      <c r="P369" s="320">
        <f t="shared" si="24"/>
        <v>0</v>
      </c>
      <c r="Q369" s="320">
        <f t="shared" si="25"/>
        <v>0</v>
      </c>
    </row>
    <row r="370" spans="1:17" x14ac:dyDescent="0.2">
      <c r="A370" s="294" t="s">
        <v>450</v>
      </c>
      <c r="B370" s="299">
        <v>41805</v>
      </c>
      <c r="C370" s="299">
        <v>0</v>
      </c>
      <c r="D370" s="295"/>
      <c r="E370" s="299">
        <v>0</v>
      </c>
      <c r="F370" s="299">
        <v>0</v>
      </c>
      <c r="G370" s="295"/>
      <c r="H370" s="300">
        <f t="shared" si="26"/>
        <v>41805</v>
      </c>
      <c r="I370" s="299">
        <f t="shared" si="27"/>
        <v>0</v>
      </c>
      <c r="M370" s="319">
        <f>VLOOKUP(A370,[4]Sheet1!$B:$D,2,FALSE)</f>
        <v>41805</v>
      </c>
      <c r="N370" s="319">
        <f>VLOOKUP(A370,[4]Sheet1!$B:$D,3,FALSE)</f>
        <v>0</v>
      </c>
      <c r="P370" s="320">
        <f t="shared" si="24"/>
        <v>0</v>
      </c>
      <c r="Q370" s="320">
        <f t="shared" si="25"/>
        <v>0</v>
      </c>
    </row>
    <row r="371" spans="1:17" x14ac:dyDescent="0.2">
      <c r="A371" s="294" t="s">
        <v>451</v>
      </c>
      <c r="B371" s="299">
        <v>822829.7</v>
      </c>
      <c r="C371" s="299">
        <v>0</v>
      </c>
      <c r="D371" s="295"/>
      <c r="E371" s="299">
        <v>0</v>
      </c>
      <c r="F371" s="299">
        <v>0</v>
      </c>
      <c r="G371" s="295"/>
      <c r="H371" s="300">
        <f t="shared" si="26"/>
        <v>822829.7</v>
      </c>
      <c r="I371" s="299">
        <f t="shared" si="27"/>
        <v>0</v>
      </c>
      <c r="M371" s="319">
        <f>VLOOKUP(A371,[4]Sheet1!$B:$D,2,FALSE)</f>
        <v>822829.7</v>
      </c>
      <c r="N371" s="319">
        <f>VLOOKUP(A371,[4]Sheet1!$B:$D,3,FALSE)</f>
        <v>0</v>
      </c>
      <c r="P371" s="320">
        <f t="shared" si="24"/>
        <v>0</v>
      </c>
      <c r="Q371" s="320">
        <f t="shared" si="25"/>
        <v>0</v>
      </c>
    </row>
    <row r="372" spans="1:17" x14ac:dyDescent="0.2">
      <c r="A372" s="294" t="s">
        <v>453</v>
      </c>
      <c r="B372" s="299">
        <v>251826.53</v>
      </c>
      <c r="C372" s="299">
        <v>0</v>
      </c>
      <c r="D372" s="295"/>
      <c r="E372" s="299">
        <v>0</v>
      </c>
      <c r="F372" s="299">
        <v>0</v>
      </c>
      <c r="G372" s="295"/>
      <c r="H372" s="300">
        <f t="shared" si="26"/>
        <v>251826.53</v>
      </c>
      <c r="I372" s="299">
        <f t="shared" si="27"/>
        <v>0</v>
      </c>
      <c r="M372" s="319">
        <f>VLOOKUP(A372,[4]Sheet1!$B:$D,2,FALSE)</f>
        <v>251826.53</v>
      </c>
      <c r="N372" s="319">
        <f>VLOOKUP(A372,[4]Sheet1!$B:$D,3,FALSE)</f>
        <v>0</v>
      </c>
      <c r="P372" s="320">
        <f t="shared" si="24"/>
        <v>0</v>
      </c>
      <c r="Q372" s="320">
        <f t="shared" si="25"/>
        <v>0</v>
      </c>
    </row>
    <row r="373" spans="1:17" x14ac:dyDescent="0.2">
      <c r="A373" s="294" t="s">
        <v>454</v>
      </c>
      <c r="B373" s="299">
        <v>85775.15</v>
      </c>
      <c r="C373" s="299">
        <v>0</v>
      </c>
      <c r="D373" s="295"/>
      <c r="E373" s="299">
        <v>0</v>
      </c>
      <c r="F373" s="299">
        <v>0</v>
      </c>
      <c r="G373" s="295"/>
      <c r="H373" s="300">
        <f t="shared" si="26"/>
        <v>85775.15</v>
      </c>
      <c r="I373" s="299">
        <f t="shared" si="27"/>
        <v>0</v>
      </c>
      <c r="M373" s="319">
        <f>VLOOKUP(A373,[4]Sheet1!$B:$D,2,FALSE)</f>
        <v>85775.15</v>
      </c>
      <c r="N373" s="319">
        <f>VLOOKUP(A373,[4]Sheet1!$B:$D,3,FALSE)</f>
        <v>0</v>
      </c>
      <c r="P373" s="320">
        <f t="shared" si="24"/>
        <v>0</v>
      </c>
      <c r="Q373" s="320">
        <f t="shared" si="25"/>
        <v>0</v>
      </c>
    </row>
    <row r="374" spans="1:17" x14ac:dyDescent="0.2">
      <c r="A374" s="294" t="s">
        <v>455</v>
      </c>
      <c r="B374" s="299">
        <v>34279.360000000001</v>
      </c>
      <c r="C374" s="299">
        <v>0</v>
      </c>
      <c r="D374" s="295"/>
      <c r="E374" s="299">
        <v>0</v>
      </c>
      <c r="F374" s="299">
        <v>0</v>
      </c>
      <c r="G374" s="295"/>
      <c r="H374" s="300">
        <f t="shared" si="26"/>
        <v>34279.360000000001</v>
      </c>
      <c r="I374" s="299">
        <f t="shared" si="27"/>
        <v>0</v>
      </c>
      <c r="M374" s="319">
        <f>VLOOKUP(A374,[4]Sheet1!$B:$D,2,FALSE)</f>
        <v>34279.360000000001</v>
      </c>
      <c r="N374" s="319">
        <f>VLOOKUP(A374,[4]Sheet1!$B:$D,3,FALSE)</f>
        <v>0</v>
      </c>
      <c r="P374" s="320">
        <f t="shared" si="24"/>
        <v>0</v>
      </c>
      <c r="Q374" s="320">
        <f t="shared" si="25"/>
        <v>0</v>
      </c>
    </row>
    <row r="375" spans="1:17" x14ac:dyDescent="0.2">
      <c r="A375" s="294" t="s">
        <v>565</v>
      </c>
      <c r="B375" s="299">
        <v>57406.95</v>
      </c>
      <c r="C375" s="299">
        <v>0</v>
      </c>
      <c r="D375" s="295"/>
      <c r="E375" s="299">
        <v>0</v>
      </c>
      <c r="F375" s="299">
        <v>0</v>
      </c>
      <c r="G375" s="295"/>
      <c r="H375" s="300">
        <f t="shared" si="26"/>
        <v>57406.95</v>
      </c>
      <c r="I375" s="299">
        <f t="shared" si="27"/>
        <v>0</v>
      </c>
      <c r="M375" s="319">
        <f>VLOOKUP(A375,[4]Sheet1!$B:$D,2,FALSE)</f>
        <v>57406.95</v>
      </c>
      <c r="N375" s="319">
        <f>VLOOKUP(A375,[4]Sheet1!$B:$D,3,FALSE)</f>
        <v>0</v>
      </c>
      <c r="P375" s="320">
        <f t="shared" si="24"/>
        <v>0</v>
      </c>
      <c r="Q375" s="320">
        <f t="shared" si="25"/>
        <v>0</v>
      </c>
    </row>
    <row r="376" spans="1:17" x14ac:dyDescent="0.2">
      <c r="A376" s="294" t="s">
        <v>714</v>
      </c>
      <c r="B376" s="299">
        <v>6000</v>
      </c>
      <c r="C376" s="299">
        <v>0</v>
      </c>
      <c r="D376" s="295"/>
      <c r="E376" s="299">
        <v>0</v>
      </c>
      <c r="F376" s="299">
        <v>0</v>
      </c>
      <c r="G376" s="295"/>
      <c r="H376" s="300">
        <f t="shared" si="26"/>
        <v>6000</v>
      </c>
      <c r="I376" s="299">
        <f t="shared" si="27"/>
        <v>0</v>
      </c>
      <c r="M376" s="319">
        <f>VLOOKUP(A376,[4]Sheet1!$B:$D,2,FALSE)</f>
        <v>6000</v>
      </c>
      <c r="N376" s="319">
        <f>VLOOKUP(A376,[4]Sheet1!$B:$D,3,FALSE)</f>
        <v>0</v>
      </c>
      <c r="P376" s="320">
        <f t="shared" si="24"/>
        <v>0</v>
      </c>
      <c r="Q376" s="320">
        <f t="shared" si="25"/>
        <v>0</v>
      </c>
    </row>
    <row r="377" spans="1:17" x14ac:dyDescent="0.2">
      <c r="A377" s="294" t="s">
        <v>456</v>
      </c>
      <c r="B377" s="299">
        <v>229465</v>
      </c>
      <c r="C377" s="299">
        <v>0</v>
      </c>
      <c r="D377" s="295"/>
      <c r="E377" s="299">
        <v>0</v>
      </c>
      <c r="F377" s="299">
        <v>0</v>
      </c>
      <c r="G377" s="295"/>
      <c r="H377" s="300">
        <f t="shared" si="26"/>
        <v>229465</v>
      </c>
      <c r="I377" s="299">
        <f t="shared" si="27"/>
        <v>0</v>
      </c>
      <c r="M377" s="319">
        <f>VLOOKUP(A377,[4]Sheet1!$B:$D,2,FALSE)</f>
        <v>229465</v>
      </c>
      <c r="N377" s="319">
        <f>VLOOKUP(A377,[4]Sheet1!$B:$D,3,FALSE)</f>
        <v>0</v>
      </c>
      <c r="P377" s="320">
        <f t="shared" si="24"/>
        <v>0</v>
      </c>
      <c r="Q377" s="320">
        <f t="shared" si="25"/>
        <v>0</v>
      </c>
    </row>
    <row r="378" spans="1:17" x14ac:dyDescent="0.2">
      <c r="A378" s="294" t="s">
        <v>457</v>
      </c>
      <c r="B378" s="299">
        <v>126224</v>
      </c>
      <c r="C378" s="299">
        <v>0</v>
      </c>
      <c r="D378" s="295"/>
      <c r="E378" s="299">
        <v>43450</v>
      </c>
      <c r="F378" s="299">
        <v>0</v>
      </c>
      <c r="G378" s="295"/>
      <c r="H378" s="300">
        <f>B378+E378</f>
        <v>169674</v>
      </c>
      <c r="I378" s="299">
        <f t="shared" si="27"/>
        <v>0</v>
      </c>
      <c r="M378" s="319">
        <f>VLOOKUP(A378,[4]Sheet1!$B:$D,2,FALSE)</f>
        <v>126224</v>
      </c>
      <c r="N378" s="319">
        <f>VLOOKUP(A378,[4]Sheet1!$B:$D,3,FALSE)</f>
        <v>0</v>
      </c>
      <c r="P378" s="320">
        <f t="shared" si="24"/>
        <v>43450</v>
      </c>
      <c r="Q378" s="320">
        <f t="shared" si="25"/>
        <v>0</v>
      </c>
    </row>
    <row r="379" spans="1:17" x14ac:dyDescent="0.2">
      <c r="A379" s="294" t="s">
        <v>458</v>
      </c>
      <c r="B379" s="299">
        <v>590</v>
      </c>
      <c r="C379" s="299">
        <v>0</v>
      </c>
      <c r="D379" s="295"/>
      <c r="E379" s="299">
        <v>0</v>
      </c>
      <c r="F379" s="299">
        <v>0</v>
      </c>
      <c r="G379" s="295"/>
      <c r="H379" s="300">
        <f t="shared" si="26"/>
        <v>590</v>
      </c>
      <c r="I379" s="299">
        <f t="shared" si="27"/>
        <v>0</v>
      </c>
      <c r="M379" s="319">
        <f>VLOOKUP(A379,[4]Sheet1!$B:$D,2,FALSE)</f>
        <v>590</v>
      </c>
      <c r="N379" s="319">
        <f>VLOOKUP(A379,[4]Sheet1!$B:$D,3,FALSE)</f>
        <v>0</v>
      </c>
      <c r="P379" s="320">
        <f t="shared" si="24"/>
        <v>0</v>
      </c>
      <c r="Q379" s="320">
        <f t="shared" si="25"/>
        <v>0</v>
      </c>
    </row>
    <row r="380" spans="1:17" x14ac:dyDescent="0.2">
      <c r="A380" s="294" t="s">
        <v>566</v>
      </c>
      <c r="B380" s="299">
        <v>75325.759999999995</v>
      </c>
      <c r="C380" s="299">
        <v>0</v>
      </c>
      <c r="D380" s="295"/>
      <c r="E380" s="299">
        <v>0</v>
      </c>
      <c r="F380" s="299">
        <v>0</v>
      </c>
      <c r="G380" s="295"/>
      <c r="H380" s="300">
        <f t="shared" si="26"/>
        <v>75325.759999999995</v>
      </c>
      <c r="I380" s="299">
        <f t="shared" si="27"/>
        <v>0</v>
      </c>
      <c r="M380" s="319">
        <f>VLOOKUP(A380,[4]Sheet1!$B:$D,2,FALSE)</f>
        <v>75325.759999999995</v>
      </c>
      <c r="N380" s="319">
        <f>VLOOKUP(A380,[4]Sheet1!$B:$D,3,FALSE)</f>
        <v>0</v>
      </c>
      <c r="P380" s="320">
        <f t="shared" si="24"/>
        <v>0</v>
      </c>
      <c r="Q380" s="320">
        <f t="shared" si="25"/>
        <v>0</v>
      </c>
    </row>
    <row r="381" spans="1:17" x14ac:dyDescent="0.2">
      <c r="A381" s="294" t="s">
        <v>459</v>
      </c>
      <c r="B381" s="299">
        <v>385729</v>
      </c>
      <c r="C381" s="299">
        <v>0</v>
      </c>
      <c r="D381" s="295"/>
      <c r="E381" s="299">
        <v>0</v>
      </c>
      <c r="F381" s="299">
        <v>0</v>
      </c>
      <c r="G381" s="295"/>
      <c r="H381" s="300">
        <f t="shared" si="26"/>
        <v>385729</v>
      </c>
      <c r="I381" s="299">
        <f t="shared" si="27"/>
        <v>0</v>
      </c>
      <c r="M381" s="319">
        <f>VLOOKUP(A381,[4]Sheet1!$B:$D,2,FALSE)</f>
        <v>385729</v>
      </c>
      <c r="N381" s="319">
        <f>VLOOKUP(A381,[4]Sheet1!$B:$D,3,FALSE)</f>
        <v>0</v>
      </c>
      <c r="P381" s="320">
        <f t="shared" si="24"/>
        <v>0</v>
      </c>
      <c r="Q381" s="320">
        <f t="shared" si="25"/>
        <v>0</v>
      </c>
    </row>
    <row r="382" spans="1:17" x14ac:dyDescent="0.2">
      <c r="A382" s="294" t="s">
        <v>460</v>
      </c>
      <c r="B382" s="299">
        <v>109462.5</v>
      </c>
      <c r="C382" s="299">
        <v>0</v>
      </c>
      <c r="D382" s="295"/>
      <c r="E382" s="299">
        <v>0</v>
      </c>
      <c r="F382" s="299">
        <v>0</v>
      </c>
      <c r="G382" s="295"/>
      <c r="H382" s="300">
        <f t="shared" si="26"/>
        <v>109462.5</v>
      </c>
      <c r="I382" s="299">
        <f t="shared" si="27"/>
        <v>0</v>
      </c>
      <c r="M382" s="319">
        <f>VLOOKUP(A382,[4]Sheet1!$B:$D,2,FALSE)</f>
        <v>109462.5</v>
      </c>
      <c r="N382" s="319">
        <f>VLOOKUP(A382,[4]Sheet1!$B:$D,3,FALSE)</f>
        <v>0</v>
      </c>
      <c r="P382" s="320">
        <f t="shared" si="24"/>
        <v>0</v>
      </c>
      <c r="Q382" s="320">
        <f t="shared" si="25"/>
        <v>0</v>
      </c>
    </row>
    <row r="383" spans="1:17" x14ac:dyDescent="0.2">
      <c r="A383" s="294" t="s">
        <v>461</v>
      </c>
      <c r="B383" s="299">
        <v>224916.5</v>
      </c>
      <c r="C383" s="299">
        <v>0</v>
      </c>
      <c r="D383" s="295"/>
      <c r="E383" s="299">
        <v>0</v>
      </c>
      <c r="F383" s="299">
        <v>0</v>
      </c>
      <c r="G383" s="295"/>
      <c r="H383" s="300">
        <f t="shared" si="26"/>
        <v>224916.5</v>
      </c>
      <c r="I383" s="299">
        <f t="shared" si="27"/>
        <v>0</v>
      </c>
      <c r="M383" s="319">
        <f>VLOOKUP(A383,[4]Sheet1!$B:$D,2,FALSE)</f>
        <v>224916.5</v>
      </c>
      <c r="N383" s="319">
        <f>VLOOKUP(A383,[4]Sheet1!$B:$D,3,FALSE)</f>
        <v>0</v>
      </c>
      <c r="P383" s="320">
        <f t="shared" si="24"/>
        <v>0</v>
      </c>
      <c r="Q383" s="320">
        <f t="shared" si="25"/>
        <v>0</v>
      </c>
    </row>
    <row r="384" spans="1:17" x14ac:dyDescent="0.2">
      <c r="A384" s="294" t="s">
        <v>462</v>
      </c>
      <c r="B384" s="299">
        <v>72014</v>
      </c>
      <c r="C384" s="299">
        <v>0</v>
      </c>
      <c r="D384" s="295"/>
      <c r="E384" s="299">
        <v>0</v>
      </c>
      <c r="F384" s="299">
        <v>0</v>
      </c>
      <c r="G384" s="295"/>
      <c r="H384" s="300">
        <f t="shared" si="26"/>
        <v>72014</v>
      </c>
      <c r="I384" s="299">
        <f t="shared" si="27"/>
        <v>0</v>
      </c>
      <c r="M384" s="319">
        <f>VLOOKUP(A384,[4]Sheet1!$B:$D,2,FALSE)</f>
        <v>72014</v>
      </c>
      <c r="N384" s="319">
        <f>VLOOKUP(A384,[4]Sheet1!$B:$D,3,FALSE)</f>
        <v>0</v>
      </c>
      <c r="P384" s="320">
        <f t="shared" si="24"/>
        <v>0</v>
      </c>
      <c r="Q384" s="320">
        <f t="shared" si="25"/>
        <v>0</v>
      </c>
    </row>
    <row r="385" spans="1:17" x14ac:dyDescent="0.2">
      <c r="A385" s="294" t="s">
        <v>715</v>
      </c>
      <c r="B385" s="299">
        <v>2000</v>
      </c>
      <c r="C385" s="299">
        <v>0</v>
      </c>
      <c r="D385" s="295"/>
      <c r="E385" s="299">
        <v>0</v>
      </c>
      <c r="F385" s="299">
        <v>0</v>
      </c>
      <c r="G385" s="295"/>
      <c r="H385" s="300">
        <f t="shared" si="26"/>
        <v>2000</v>
      </c>
      <c r="I385" s="299">
        <f t="shared" si="27"/>
        <v>0</v>
      </c>
      <c r="M385" s="319">
        <f>VLOOKUP(A385,[4]Sheet1!$B:$D,2,FALSE)</f>
        <v>2000</v>
      </c>
      <c r="N385" s="319">
        <f>VLOOKUP(A385,[4]Sheet1!$B:$D,3,FALSE)</f>
        <v>0</v>
      </c>
      <c r="P385" s="320">
        <f t="shared" si="24"/>
        <v>0</v>
      </c>
      <c r="Q385" s="320">
        <f t="shared" si="25"/>
        <v>0</v>
      </c>
    </row>
    <row r="386" spans="1:17" x14ac:dyDescent="0.2">
      <c r="A386" s="294" t="s">
        <v>463</v>
      </c>
      <c r="B386" s="299">
        <v>40000</v>
      </c>
      <c r="C386" s="299">
        <v>0</v>
      </c>
      <c r="D386" s="295"/>
      <c r="E386" s="299">
        <v>0</v>
      </c>
      <c r="F386" s="299">
        <v>0</v>
      </c>
      <c r="G386" s="295"/>
      <c r="H386" s="300">
        <f t="shared" si="26"/>
        <v>40000</v>
      </c>
      <c r="I386" s="299">
        <f t="shared" si="27"/>
        <v>0</v>
      </c>
      <c r="M386" s="319">
        <f>VLOOKUP(A386,[4]Sheet1!$B:$D,2,FALSE)</f>
        <v>40000</v>
      </c>
      <c r="N386" s="319">
        <f>VLOOKUP(A386,[4]Sheet1!$B:$D,3,FALSE)</f>
        <v>0</v>
      </c>
      <c r="P386" s="320">
        <f t="shared" si="24"/>
        <v>0</v>
      </c>
      <c r="Q386" s="320">
        <f t="shared" si="25"/>
        <v>0</v>
      </c>
    </row>
    <row r="387" spans="1:17" x14ac:dyDescent="0.2">
      <c r="A387" s="316" t="s">
        <v>464</v>
      </c>
      <c r="B387" s="299">
        <v>570276.47</v>
      </c>
      <c r="C387" s="299">
        <v>0</v>
      </c>
      <c r="D387" s="295"/>
      <c r="E387" s="299">
        <v>0</v>
      </c>
      <c r="F387" s="299">
        <v>0</v>
      </c>
      <c r="G387" s="295"/>
      <c r="H387" s="300">
        <f t="shared" si="26"/>
        <v>570276.47</v>
      </c>
      <c r="I387" s="299">
        <f t="shared" si="27"/>
        <v>0</v>
      </c>
      <c r="M387" s="319">
        <f>VLOOKUP(A387,[4]Sheet1!$B:$D,2,FALSE)</f>
        <v>570276.47</v>
      </c>
      <c r="N387" s="319">
        <f>VLOOKUP(A387,[4]Sheet1!$B:$D,3,FALSE)</f>
        <v>0</v>
      </c>
      <c r="P387" s="320">
        <f t="shared" si="24"/>
        <v>0</v>
      </c>
      <c r="Q387" s="320">
        <f t="shared" si="25"/>
        <v>0</v>
      </c>
    </row>
    <row r="388" spans="1:17" x14ac:dyDescent="0.2">
      <c r="A388" s="316" t="s">
        <v>465</v>
      </c>
      <c r="B388" s="299">
        <v>655881.06999999995</v>
      </c>
      <c r="C388" s="299">
        <v>0</v>
      </c>
      <c r="D388" s="295"/>
      <c r="E388" s="299">
        <v>0</v>
      </c>
      <c r="F388" s="299">
        <v>0</v>
      </c>
      <c r="G388" s="295"/>
      <c r="H388" s="300">
        <f t="shared" si="26"/>
        <v>655881.06999999995</v>
      </c>
      <c r="I388" s="299">
        <f t="shared" si="27"/>
        <v>0</v>
      </c>
      <c r="M388" s="319">
        <f>VLOOKUP(A388,[4]Sheet1!$B:$D,2,FALSE)</f>
        <v>655881.06999999995</v>
      </c>
      <c r="N388" s="319">
        <f>VLOOKUP(A388,[4]Sheet1!$B:$D,3,FALSE)</f>
        <v>0</v>
      </c>
      <c r="P388" s="320">
        <f t="shared" si="24"/>
        <v>0</v>
      </c>
      <c r="Q388" s="320">
        <f t="shared" si="25"/>
        <v>0</v>
      </c>
    </row>
    <row r="389" spans="1:17" x14ac:dyDescent="0.2">
      <c r="A389" s="294" t="s">
        <v>466</v>
      </c>
      <c r="B389" s="299">
        <v>90998</v>
      </c>
      <c r="C389" s="299">
        <v>0</v>
      </c>
      <c r="D389" s="295"/>
      <c r="E389" s="299">
        <v>0</v>
      </c>
      <c r="F389" s="299">
        <v>0</v>
      </c>
      <c r="G389" s="295"/>
      <c r="H389" s="300">
        <f t="shared" si="26"/>
        <v>90998</v>
      </c>
      <c r="I389" s="299">
        <f t="shared" si="27"/>
        <v>0</v>
      </c>
      <c r="M389" s="319">
        <f>VLOOKUP(A389,[4]Sheet1!$B:$D,2,FALSE)</f>
        <v>90998</v>
      </c>
      <c r="N389" s="319">
        <f>VLOOKUP(A389,[4]Sheet1!$B:$D,3,FALSE)</f>
        <v>0</v>
      </c>
      <c r="P389" s="320">
        <f t="shared" si="24"/>
        <v>0</v>
      </c>
      <c r="Q389" s="320">
        <f t="shared" si="25"/>
        <v>0</v>
      </c>
    </row>
    <row r="390" spans="1:17" x14ac:dyDescent="0.2">
      <c r="A390" s="294" t="s">
        <v>467</v>
      </c>
      <c r="B390" s="299">
        <v>81</v>
      </c>
      <c r="C390" s="299">
        <v>0</v>
      </c>
      <c r="D390" s="295"/>
      <c r="E390" s="299">
        <v>0</v>
      </c>
      <c r="F390" s="299">
        <v>0</v>
      </c>
      <c r="G390" s="295"/>
      <c r="H390" s="300">
        <f t="shared" si="26"/>
        <v>81</v>
      </c>
      <c r="I390" s="299">
        <f t="shared" si="27"/>
        <v>0</v>
      </c>
      <c r="M390" s="319">
        <f>VLOOKUP(A390,[4]Sheet1!$B:$D,2,FALSE)</f>
        <v>81</v>
      </c>
      <c r="N390" s="319">
        <f>VLOOKUP(A390,[4]Sheet1!$B:$D,3,FALSE)</f>
        <v>0</v>
      </c>
      <c r="P390" s="320">
        <f t="shared" ref="P390:P453" si="28">H390-M390</f>
        <v>0</v>
      </c>
      <c r="Q390" s="320">
        <f t="shared" ref="Q390:Q453" si="29">I390-N390</f>
        <v>0</v>
      </c>
    </row>
    <row r="391" spans="1:17" x14ac:dyDescent="0.2">
      <c r="A391" s="294" t="s">
        <v>468</v>
      </c>
      <c r="B391" s="299">
        <v>375</v>
      </c>
      <c r="C391" s="299">
        <v>0</v>
      </c>
      <c r="D391" s="295"/>
      <c r="E391" s="299">
        <v>0</v>
      </c>
      <c r="F391" s="299">
        <v>0</v>
      </c>
      <c r="G391" s="295"/>
      <c r="H391" s="300">
        <f t="shared" si="26"/>
        <v>375</v>
      </c>
      <c r="I391" s="299">
        <f t="shared" si="27"/>
        <v>0</v>
      </c>
      <c r="M391" s="319">
        <f>VLOOKUP(A391,[4]Sheet1!$B:$D,2,FALSE)</f>
        <v>375</v>
      </c>
      <c r="N391" s="319">
        <f>VLOOKUP(A391,[4]Sheet1!$B:$D,3,FALSE)</f>
        <v>0</v>
      </c>
      <c r="P391" s="320">
        <f t="shared" si="28"/>
        <v>0</v>
      </c>
      <c r="Q391" s="320">
        <f t="shared" si="29"/>
        <v>0</v>
      </c>
    </row>
    <row r="392" spans="1:17" x14ac:dyDescent="0.2">
      <c r="A392" s="294" t="s">
        <v>469</v>
      </c>
      <c r="B392" s="299">
        <v>80850</v>
      </c>
      <c r="C392" s="299">
        <v>0</v>
      </c>
      <c r="D392" s="295"/>
      <c r="E392" s="299">
        <v>0</v>
      </c>
      <c r="F392" s="299">
        <v>0</v>
      </c>
      <c r="G392" s="295"/>
      <c r="H392" s="300">
        <f t="shared" si="26"/>
        <v>80850</v>
      </c>
      <c r="I392" s="299">
        <f t="shared" si="27"/>
        <v>0</v>
      </c>
      <c r="M392" s="319">
        <f>VLOOKUP(A392,[4]Sheet1!$B:$D,2,FALSE)</f>
        <v>80850</v>
      </c>
      <c r="N392" s="319">
        <f>VLOOKUP(A392,[4]Sheet1!$B:$D,3,FALSE)</f>
        <v>0</v>
      </c>
      <c r="P392" s="320">
        <f t="shared" si="28"/>
        <v>0</v>
      </c>
      <c r="Q392" s="320">
        <f t="shared" si="29"/>
        <v>0</v>
      </c>
    </row>
    <row r="393" spans="1:17" x14ac:dyDescent="0.2">
      <c r="A393" s="294" t="s">
        <v>569</v>
      </c>
      <c r="B393" s="299">
        <v>132704</v>
      </c>
      <c r="C393" s="299">
        <v>0</v>
      </c>
      <c r="D393" s="295"/>
      <c r="E393" s="299">
        <v>0</v>
      </c>
      <c r="F393" s="299">
        <v>0</v>
      </c>
      <c r="G393" s="295"/>
      <c r="H393" s="300">
        <f t="shared" si="26"/>
        <v>132704</v>
      </c>
      <c r="I393" s="299">
        <f t="shared" si="27"/>
        <v>0</v>
      </c>
      <c r="M393" s="319">
        <f>VLOOKUP(A393,[4]Sheet1!$B:$D,2,FALSE)</f>
        <v>132704</v>
      </c>
      <c r="N393" s="319">
        <f>VLOOKUP(A393,[4]Sheet1!$B:$D,3,FALSE)</f>
        <v>0</v>
      </c>
      <c r="P393" s="320">
        <f t="shared" si="28"/>
        <v>0</v>
      </c>
      <c r="Q393" s="320">
        <f t="shared" si="29"/>
        <v>0</v>
      </c>
    </row>
    <row r="394" spans="1:17" x14ac:dyDescent="0.2">
      <c r="A394" s="294" t="s">
        <v>570</v>
      </c>
      <c r="B394" s="299">
        <v>21040.81</v>
      </c>
      <c r="C394" s="299">
        <v>0</v>
      </c>
      <c r="D394" s="295"/>
      <c r="E394" s="299">
        <v>0</v>
      </c>
      <c r="F394" s="299">
        <v>0</v>
      </c>
      <c r="G394" s="295"/>
      <c r="H394" s="300">
        <f t="shared" si="26"/>
        <v>21040.81</v>
      </c>
      <c r="I394" s="299">
        <f t="shared" si="27"/>
        <v>0</v>
      </c>
      <c r="M394" s="319">
        <f>VLOOKUP(A394,[4]Sheet1!$B:$D,2,FALSE)</f>
        <v>21040.81</v>
      </c>
      <c r="N394" s="319">
        <f>VLOOKUP(A394,[4]Sheet1!$B:$D,3,FALSE)</f>
        <v>0</v>
      </c>
      <c r="P394" s="320">
        <f t="shared" si="28"/>
        <v>0</v>
      </c>
      <c r="Q394" s="320">
        <f t="shared" si="29"/>
        <v>0</v>
      </c>
    </row>
    <row r="395" spans="1:17" x14ac:dyDescent="0.2">
      <c r="A395" s="294" t="s">
        <v>571</v>
      </c>
      <c r="B395" s="299">
        <v>7606.65</v>
      </c>
      <c r="C395" s="299">
        <v>0</v>
      </c>
      <c r="D395" s="295"/>
      <c r="E395" s="299">
        <v>0</v>
      </c>
      <c r="F395" s="299">
        <v>0</v>
      </c>
      <c r="G395" s="295"/>
      <c r="H395" s="300">
        <f t="shared" si="26"/>
        <v>7606.65</v>
      </c>
      <c r="I395" s="299">
        <f t="shared" si="27"/>
        <v>0</v>
      </c>
      <c r="M395" s="319">
        <f>VLOOKUP(A395,[4]Sheet1!$B:$D,2,FALSE)</f>
        <v>7606.65</v>
      </c>
      <c r="N395" s="319">
        <f>VLOOKUP(A395,[4]Sheet1!$B:$D,3,FALSE)</f>
        <v>0</v>
      </c>
      <c r="P395" s="320">
        <f t="shared" si="28"/>
        <v>0</v>
      </c>
      <c r="Q395" s="320">
        <f t="shared" si="29"/>
        <v>0</v>
      </c>
    </row>
    <row r="396" spans="1:17" x14ac:dyDescent="0.2">
      <c r="A396" s="294" t="s">
        <v>572</v>
      </c>
      <c r="B396" s="299">
        <v>24625</v>
      </c>
      <c r="C396" s="299">
        <v>0</v>
      </c>
      <c r="D396" s="295"/>
      <c r="E396" s="299">
        <v>0</v>
      </c>
      <c r="F396" s="299">
        <v>0</v>
      </c>
      <c r="G396" s="295"/>
      <c r="H396" s="300">
        <f t="shared" si="26"/>
        <v>24625</v>
      </c>
      <c r="I396" s="299">
        <f t="shared" si="27"/>
        <v>0</v>
      </c>
      <c r="M396" s="319">
        <f>VLOOKUP(A396,[4]Sheet1!$B:$D,2,FALSE)</f>
        <v>24625</v>
      </c>
      <c r="N396" s="319">
        <f>VLOOKUP(A396,[4]Sheet1!$B:$D,3,FALSE)</f>
        <v>0</v>
      </c>
      <c r="P396" s="320">
        <f t="shared" si="28"/>
        <v>0</v>
      </c>
      <c r="Q396" s="320">
        <f t="shared" si="29"/>
        <v>0</v>
      </c>
    </row>
    <row r="397" spans="1:17" x14ac:dyDescent="0.2">
      <c r="A397" s="294" t="s">
        <v>716</v>
      </c>
      <c r="B397" s="299">
        <v>545</v>
      </c>
      <c r="C397" s="299">
        <v>0</v>
      </c>
      <c r="D397" s="295"/>
      <c r="E397" s="299">
        <v>0</v>
      </c>
      <c r="F397" s="299">
        <v>0</v>
      </c>
      <c r="G397" s="295"/>
      <c r="H397" s="300">
        <f t="shared" si="26"/>
        <v>545</v>
      </c>
      <c r="I397" s="299">
        <f t="shared" si="27"/>
        <v>0</v>
      </c>
      <c r="M397" s="319">
        <f>VLOOKUP(A397,[4]Sheet1!$B:$D,2,FALSE)</f>
        <v>545</v>
      </c>
      <c r="N397" s="319">
        <f>VLOOKUP(A397,[4]Sheet1!$B:$D,3,FALSE)</f>
        <v>0</v>
      </c>
      <c r="P397" s="320">
        <f t="shared" si="28"/>
        <v>0</v>
      </c>
      <c r="Q397" s="320">
        <f t="shared" si="29"/>
        <v>0</v>
      </c>
    </row>
    <row r="398" spans="1:17" x14ac:dyDescent="0.2">
      <c r="A398" s="294" t="s">
        <v>573</v>
      </c>
      <c r="B398" s="299">
        <v>8400</v>
      </c>
      <c r="C398" s="299">
        <v>0</v>
      </c>
      <c r="D398" s="295"/>
      <c r="E398" s="299">
        <v>0</v>
      </c>
      <c r="F398" s="299">
        <v>0</v>
      </c>
      <c r="G398" s="295"/>
      <c r="H398" s="300">
        <f t="shared" si="26"/>
        <v>8400</v>
      </c>
      <c r="I398" s="299">
        <f t="shared" si="27"/>
        <v>0</v>
      </c>
      <c r="M398" s="319">
        <f>VLOOKUP(A398,[4]Sheet1!$B:$D,2,FALSE)</f>
        <v>8400</v>
      </c>
      <c r="N398" s="319">
        <f>VLOOKUP(A398,[4]Sheet1!$B:$D,3,FALSE)</f>
        <v>0</v>
      </c>
      <c r="P398" s="320">
        <f t="shared" si="28"/>
        <v>0</v>
      </c>
      <c r="Q398" s="320">
        <f t="shared" si="29"/>
        <v>0</v>
      </c>
    </row>
    <row r="399" spans="1:17" x14ac:dyDescent="0.2">
      <c r="A399" s="294" t="s">
        <v>472</v>
      </c>
      <c r="B399" s="299">
        <v>26556</v>
      </c>
      <c r="C399" s="299">
        <v>0</v>
      </c>
      <c r="D399" s="295"/>
      <c r="E399" s="299">
        <v>0</v>
      </c>
      <c r="F399" s="299">
        <v>0</v>
      </c>
      <c r="G399" s="295"/>
      <c r="H399" s="300">
        <f t="shared" ref="H399:H462" si="30">B399</f>
        <v>26556</v>
      </c>
      <c r="I399" s="299">
        <f t="shared" ref="I399:I462" si="31">C399</f>
        <v>0</v>
      </c>
      <c r="M399" s="319">
        <f>VLOOKUP(A399,[4]Sheet1!$B:$D,2,FALSE)</f>
        <v>26556</v>
      </c>
      <c r="N399" s="319">
        <f>VLOOKUP(A399,[4]Sheet1!$B:$D,3,FALSE)</f>
        <v>0</v>
      </c>
      <c r="P399" s="320">
        <f t="shared" si="28"/>
        <v>0</v>
      </c>
      <c r="Q399" s="320">
        <f t="shared" si="29"/>
        <v>0</v>
      </c>
    </row>
    <row r="400" spans="1:17" x14ac:dyDescent="0.2">
      <c r="A400" s="294" t="s">
        <v>473</v>
      </c>
      <c r="B400" s="299">
        <v>527418</v>
      </c>
      <c r="C400" s="299">
        <v>0</v>
      </c>
      <c r="D400" s="295"/>
      <c r="E400" s="299">
        <v>0</v>
      </c>
      <c r="F400" s="299">
        <v>0</v>
      </c>
      <c r="G400" s="295"/>
      <c r="H400" s="300">
        <f t="shared" si="30"/>
        <v>527418</v>
      </c>
      <c r="I400" s="299">
        <f t="shared" si="31"/>
        <v>0</v>
      </c>
      <c r="M400" s="319">
        <f>VLOOKUP(A400,[4]Sheet1!$B:$D,2,FALSE)</f>
        <v>527418</v>
      </c>
      <c r="N400" s="319">
        <f>VLOOKUP(A400,[4]Sheet1!$B:$D,3,FALSE)</f>
        <v>0</v>
      </c>
      <c r="P400" s="320">
        <f t="shared" si="28"/>
        <v>0</v>
      </c>
      <c r="Q400" s="320">
        <f t="shared" si="29"/>
        <v>0</v>
      </c>
    </row>
    <row r="401" spans="1:17" x14ac:dyDescent="0.2">
      <c r="A401" s="316" t="s">
        <v>474</v>
      </c>
      <c r="B401" s="299">
        <v>113428.8</v>
      </c>
      <c r="C401" s="299">
        <v>0</v>
      </c>
      <c r="D401" s="295"/>
      <c r="E401" s="299">
        <v>0</v>
      </c>
      <c r="F401" s="299">
        <v>0</v>
      </c>
      <c r="G401" s="295"/>
      <c r="H401" s="300">
        <f t="shared" si="30"/>
        <v>113428.8</v>
      </c>
      <c r="I401" s="299">
        <f t="shared" si="31"/>
        <v>0</v>
      </c>
      <c r="M401" s="319">
        <f>VLOOKUP(A401,[4]Sheet1!$B:$D,2,FALSE)</f>
        <v>113428.8</v>
      </c>
      <c r="N401" s="319">
        <f>VLOOKUP(A401,[4]Sheet1!$B:$D,3,FALSE)</f>
        <v>0</v>
      </c>
      <c r="P401" s="320">
        <f t="shared" si="28"/>
        <v>0</v>
      </c>
      <c r="Q401" s="320">
        <f t="shared" si="29"/>
        <v>0</v>
      </c>
    </row>
    <row r="402" spans="1:17" x14ac:dyDescent="0.2">
      <c r="A402" s="294" t="s">
        <v>574</v>
      </c>
      <c r="B402" s="299">
        <v>1500</v>
      </c>
      <c r="C402" s="299">
        <v>0</v>
      </c>
      <c r="D402" s="295"/>
      <c r="E402" s="299">
        <v>0</v>
      </c>
      <c r="F402" s="299">
        <v>0</v>
      </c>
      <c r="G402" s="295"/>
      <c r="H402" s="300">
        <f t="shared" si="30"/>
        <v>1500</v>
      </c>
      <c r="I402" s="299">
        <f t="shared" si="31"/>
        <v>0</v>
      </c>
      <c r="M402" s="319">
        <f>VLOOKUP(A402,[4]Sheet1!$B:$D,2,FALSE)</f>
        <v>1500</v>
      </c>
      <c r="N402" s="319">
        <f>VLOOKUP(A402,[4]Sheet1!$B:$D,3,FALSE)</f>
        <v>0</v>
      </c>
      <c r="P402" s="320">
        <f t="shared" si="28"/>
        <v>0</v>
      </c>
      <c r="Q402" s="320">
        <f t="shared" si="29"/>
        <v>0</v>
      </c>
    </row>
    <row r="403" spans="1:17" x14ac:dyDescent="0.2">
      <c r="A403" s="294" t="s">
        <v>575</v>
      </c>
      <c r="B403" s="299">
        <v>47520.3</v>
      </c>
      <c r="C403" s="299">
        <v>0</v>
      </c>
      <c r="D403" s="295"/>
      <c r="E403" s="299">
        <v>0</v>
      </c>
      <c r="F403" s="299">
        <v>0</v>
      </c>
      <c r="G403" s="295"/>
      <c r="H403" s="300">
        <f t="shared" si="30"/>
        <v>47520.3</v>
      </c>
      <c r="I403" s="299">
        <f t="shared" si="31"/>
        <v>0</v>
      </c>
      <c r="M403" s="319">
        <f>VLOOKUP(A403,[4]Sheet1!$B:$D,2,FALSE)</f>
        <v>47520.3</v>
      </c>
      <c r="N403" s="319">
        <f>VLOOKUP(A403,[4]Sheet1!$B:$D,3,FALSE)</f>
        <v>0</v>
      </c>
      <c r="P403" s="320">
        <f t="shared" si="28"/>
        <v>0</v>
      </c>
      <c r="Q403" s="320">
        <f t="shared" si="29"/>
        <v>0</v>
      </c>
    </row>
    <row r="404" spans="1:17" x14ac:dyDescent="0.2">
      <c r="A404" s="294" t="s">
        <v>576</v>
      </c>
      <c r="B404" s="299">
        <v>99198</v>
      </c>
      <c r="C404" s="299">
        <v>0</v>
      </c>
      <c r="D404" s="295"/>
      <c r="E404" s="299">
        <v>0</v>
      </c>
      <c r="F404" s="299">
        <v>0</v>
      </c>
      <c r="G404" s="295"/>
      <c r="H404" s="300">
        <f t="shared" si="30"/>
        <v>99198</v>
      </c>
      <c r="I404" s="299">
        <f t="shared" si="31"/>
        <v>0</v>
      </c>
      <c r="M404" s="319">
        <f>VLOOKUP(A404,[4]Sheet1!$B:$D,2,FALSE)</f>
        <v>99198</v>
      </c>
      <c r="N404" s="319">
        <f>VLOOKUP(A404,[4]Sheet1!$B:$D,3,FALSE)</f>
        <v>0</v>
      </c>
      <c r="P404" s="320">
        <f t="shared" si="28"/>
        <v>0</v>
      </c>
      <c r="Q404" s="320">
        <f t="shared" si="29"/>
        <v>0</v>
      </c>
    </row>
    <row r="405" spans="1:17" x14ac:dyDescent="0.2">
      <c r="A405" s="294" t="s">
        <v>577</v>
      </c>
      <c r="B405" s="299">
        <v>6000</v>
      </c>
      <c r="C405" s="299">
        <v>0</v>
      </c>
      <c r="D405" s="295"/>
      <c r="E405" s="299">
        <v>0</v>
      </c>
      <c r="F405" s="299">
        <v>0</v>
      </c>
      <c r="G405" s="295"/>
      <c r="H405" s="300">
        <f t="shared" si="30"/>
        <v>6000</v>
      </c>
      <c r="I405" s="299">
        <f t="shared" si="31"/>
        <v>0</v>
      </c>
      <c r="M405" s="319">
        <f>VLOOKUP(A405,[4]Sheet1!$B:$D,2,FALSE)</f>
        <v>6000</v>
      </c>
      <c r="N405" s="319">
        <f>VLOOKUP(A405,[4]Sheet1!$B:$D,3,FALSE)</f>
        <v>0</v>
      </c>
      <c r="P405" s="320">
        <f t="shared" si="28"/>
        <v>0</v>
      </c>
      <c r="Q405" s="320">
        <f t="shared" si="29"/>
        <v>0</v>
      </c>
    </row>
    <row r="406" spans="1:17" x14ac:dyDescent="0.2">
      <c r="A406" s="294" t="s">
        <v>578</v>
      </c>
      <c r="B406" s="299">
        <v>1250</v>
      </c>
      <c r="C406" s="299">
        <v>0</v>
      </c>
      <c r="D406" s="295"/>
      <c r="E406" s="299">
        <v>0</v>
      </c>
      <c r="F406" s="299">
        <v>0</v>
      </c>
      <c r="G406" s="295"/>
      <c r="H406" s="300">
        <f t="shared" si="30"/>
        <v>1250</v>
      </c>
      <c r="I406" s="299">
        <f t="shared" si="31"/>
        <v>0</v>
      </c>
      <c r="M406" s="319">
        <f>VLOOKUP(A406,[4]Sheet1!$B:$D,2,FALSE)</f>
        <v>1250</v>
      </c>
      <c r="N406" s="319">
        <f>VLOOKUP(A406,[4]Sheet1!$B:$D,3,FALSE)</f>
        <v>0</v>
      </c>
      <c r="P406" s="320">
        <f t="shared" si="28"/>
        <v>0</v>
      </c>
      <c r="Q406" s="320">
        <f t="shared" si="29"/>
        <v>0</v>
      </c>
    </row>
    <row r="407" spans="1:17" x14ac:dyDescent="0.2">
      <c r="A407" s="294" t="s">
        <v>579</v>
      </c>
      <c r="B407" s="299">
        <v>469414</v>
      </c>
      <c r="C407" s="299">
        <v>0</v>
      </c>
      <c r="D407" s="295"/>
      <c r="E407" s="299">
        <v>0</v>
      </c>
      <c r="F407" s="299">
        <v>0</v>
      </c>
      <c r="G407" s="295"/>
      <c r="H407" s="300">
        <f t="shared" si="30"/>
        <v>469414</v>
      </c>
      <c r="I407" s="299">
        <f t="shared" si="31"/>
        <v>0</v>
      </c>
      <c r="M407" s="319">
        <f>VLOOKUP(A407,[4]Sheet1!$B:$D,2,FALSE)</f>
        <v>469414</v>
      </c>
      <c r="N407" s="319">
        <f>VLOOKUP(A407,[4]Sheet1!$B:$D,3,FALSE)</f>
        <v>0</v>
      </c>
      <c r="P407" s="320">
        <f t="shared" si="28"/>
        <v>0</v>
      </c>
      <c r="Q407" s="320">
        <f t="shared" si="29"/>
        <v>0</v>
      </c>
    </row>
    <row r="408" spans="1:17" x14ac:dyDescent="0.2">
      <c r="A408" s="294" t="s">
        <v>580</v>
      </c>
      <c r="B408" s="299">
        <v>46421.04</v>
      </c>
      <c r="C408" s="299">
        <v>0</v>
      </c>
      <c r="D408" s="295"/>
      <c r="E408" s="299">
        <v>0</v>
      </c>
      <c r="F408" s="299">
        <v>0</v>
      </c>
      <c r="G408" s="295"/>
      <c r="H408" s="300">
        <f t="shared" si="30"/>
        <v>46421.04</v>
      </c>
      <c r="I408" s="299">
        <f t="shared" si="31"/>
        <v>0</v>
      </c>
      <c r="M408" s="319">
        <f>VLOOKUP(A408,[4]Sheet1!$B:$D,2,FALSE)</f>
        <v>46421.04</v>
      </c>
      <c r="N408" s="319">
        <f>VLOOKUP(A408,[4]Sheet1!$B:$D,3,FALSE)</f>
        <v>0</v>
      </c>
      <c r="P408" s="320">
        <f t="shared" si="28"/>
        <v>0</v>
      </c>
      <c r="Q408" s="320">
        <f t="shared" si="29"/>
        <v>0</v>
      </c>
    </row>
    <row r="409" spans="1:17" x14ac:dyDescent="0.2">
      <c r="A409" s="294" t="s">
        <v>581</v>
      </c>
      <c r="B409" s="299">
        <v>11605.26</v>
      </c>
      <c r="C409" s="299">
        <v>0</v>
      </c>
      <c r="D409" s="295"/>
      <c r="E409" s="299">
        <v>0</v>
      </c>
      <c r="F409" s="299">
        <v>0</v>
      </c>
      <c r="G409" s="295"/>
      <c r="H409" s="300">
        <f t="shared" si="30"/>
        <v>11605.26</v>
      </c>
      <c r="I409" s="299">
        <f t="shared" si="31"/>
        <v>0</v>
      </c>
      <c r="M409" s="319">
        <f>VLOOKUP(A409,[4]Sheet1!$B:$D,2,FALSE)</f>
        <v>11605.26</v>
      </c>
      <c r="N409" s="319">
        <f>VLOOKUP(A409,[4]Sheet1!$B:$D,3,FALSE)</f>
        <v>0</v>
      </c>
      <c r="P409" s="320">
        <f t="shared" si="28"/>
        <v>0</v>
      </c>
      <c r="Q409" s="320">
        <f t="shared" si="29"/>
        <v>0</v>
      </c>
    </row>
    <row r="410" spans="1:17" x14ac:dyDescent="0.2">
      <c r="A410" s="294" t="s">
        <v>582</v>
      </c>
      <c r="B410" s="299">
        <v>104176</v>
      </c>
      <c r="C410" s="299">
        <v>0</v>
      </c>
      <c r="D410" s="295"/>
      <c r="E410" s="299">
        <v>0</v>
      </c>
      <c r="F410" s="299">
        <v>0</v>
      </c>
      <c r="G410" s="295"/>
      <c r="H410" s="300">
        <f t="shared" si="30"/>
        <v>104176</v>
      </c>
      <c r="I410" s="299">
        <f t="shared" si="31"/>
        <v>0</v>
      </c>
      <c r="M410" s="319">
        <f>VLOOKUP(A410,[4]Sheet1!$B:$D,2,FALSE)</f>
        <v>104176</v>
      </c>
      <c r="N410" s="319">
        <f>VLOOKUP(A410,[4]Sheet1!$B:$D,3,FALSE)</f>
        <v>0</v>
      </c>
      <c r="P410" s="320">
        <f t="shared" si="28"/>
        <v>0</v>
      </c>
      <c r="Q410" s="320">
        <f t="shared" si="29"/>
        <v>0</v>
      </c>
    </row>
    <row r="411" spans="1:17" x14ac:dyDescent="0.2">
      <c r="A411" s="294" t="s">
        <v>583</v>
      </c>
      <c r="B411" s="299">
        <v>55991.45</v>
      </c>
      <c r="C411" s="299">
        <v>0</v>
      </c>
      <c r="D411" s="295"/>
      <c r="E411" s="299">
        <v>0</v>
      </c>
      <c r="F411" s="299">
        <v>0</v>
      </c>
      <c r="G411" s="295"/>
      <c r="H411" s="300">
        <f t="shared" si="30"/>
        <v>55991.45</v>
      </c>
      <c r="I411" s="299">
        <f t="shared" si="31"/>
        <v>0</v>
      </c>
      <c r="M411" s="319">
        <f>VLOOKUP(A411,[4]Sheet1!$B:$D,2,FALSE)</f>
        <v>55991.45</v>
      </c>
      <c r="N411" s="319">
        <f>VLOOKUP(A411,[4]Sheet1!$B:$D,3,FALSE)</f>
        <v>0</v>
      </c>
      <c r="P411" s="320">
        <f t="shared" si="28"/>
        <v>0</v>
      </c>
      <c r="Q411" s="320">
        <f t="shared" si="29"/>
        <v>0</v>
      </c>
    </row>
    <row r="412" spans="1:17" x14ac:dyDescent="0.2">
      <c r="A412" s="294" t="s">
        <v>584</v>
      </c>
      <c r="B412" s="299">
        <v>13101.64</v>
      </c>
      <c r="C412" s="299">
        <v>0</v>
      </c>
      <c r="D412" s="295"/>
      <c r="E412" s="299">
        <v>0</v>
      </c>
      <c r="F412" s="299">
        <v>0</v>
      </c>
      <c r="G412" s="295"/>
      <c r="H412" s="300">
        <f t="shared" si="30"/>
        <v>13101.64</v>
      </c>
      <c r="I412" s="299">
        <f t="shared" si="31"/>
        <v>0</v>
      </c>
      <c r="M412" s="319">
        <f>VLOOKUP(A412,[4]Sheet1!$B:$D,2,FALSE)</f>
        <v>13101.64</v>
      </c>
      <c r="N412" s="319">
        <f>VLOOKUP(A412,[4]Sheet1!$B:$D,3,FALSE)</f>
        <v>0</v>
      </c>
      <c r="P412" s="320">
        <f t="shared" si="28"/>
        <v>0</v>
      </c>
      <c r="Q412" s="320">
        <f t="shared" si="29"/>
        <v>0</v>
      </c>
    </row>
    <row r="413" spans="1:17" x14ac:dyDescent="0.2">
      <c r="A413" s="294" t="s">
        <v>585</v>
      </c>
      <c r="B413" s="299">
        <v>17600</v>
      </c>
      <c r="C413" s="299">
        <v>0</v>
      </c>
      <c r="D413" s="295"/>
      <c r="E413" s="299">
        <v>0</v>
      </c>
      <c r="F413" s="299">
        <v>0</v>
      </c>
      <c r="G413" s="295"/>
      <c r="H413" s="300">
        <f t="shared" si="30"/>
        <v>17600</v>
      </c>
      <c r="I413" s="299">
        <f t="shared" si="31"/>
        <v>0</v>
      </c>
      <c r="M413" s="319">
        <f>VLOOKUP(A413,[4]Sheet1!$B:$D,2,FALSE)</f>
        <v>17600</v>
      </c>
      <c r="N413" s="319">
        <f>VLOOKUP(A413,[4]Sheet1!$B:$D,3,FALSE)</f>
        <v>0</v>
      </c>
      <c r="P413" s="320">
        <f t="shared" si="28"/>
        <v>0</v>
      </c>
      <c r="Q413" s="320">
        <f t="shared" si="29"/>
        <v>0</v>
      </c>
    </row>
    <row r="414" spans="1:17" x14ac:dyDescent="0.2">
      <c r="A414" s="294" t="s">
        <v>586</v>
      </c>
      <c r="B414" s="299">
        <v>10406.27</v>
      </c>
      <c r="C414" s="299">
        <v>0</v>
      </c>
      <c r="D414" s="295"/>
      <c r="E414" s="299">
        <v>0</v>
      </c>
      <c r="F414" s="299">
        <v>0</v>
      </c>
      <c r="G414" s="295"/>
      <c r="H414" s="300">
        <f t="shared" si="30"/>
        <v>10406.27</v>
      </c>
      <c r="I414" s="299">
        <f t="shared" si="31"/>
        <v>0</v>
      </c>
      <c r="M414" s="319">
        <f>VLOOKUP(A414,[4]Sheet1!$B:$D,2,FALSE)</f>
        <v>10406.27</v>
      </c>
      <c r="N414" s="319">
        <f>VLOOKUP(A414,[4]Sheet1!$B:$D,3,FALSE)</f>
        <v>0</v>
      </c>
      <c r="P414" s="320">
        <f t="shared" si="28"/>
        <v>0</v>
      </c>
      <c r="Q414" s="320">
        <f t="shared" si="29"/>
        <v>0</v>
      </c>
    </row>
    <row r="415" spans="1:17" x14ac:dyDescent="0.2">
      <c r="A415" s="294" t="s">
        <v>587</v>
      </c>
      <c r="B415" s="299">
        <v>3350</v>
      </c>
      <c r="C415" s="299">
        <v>0</v>
      </c>
      <c r="D415" s="295"/>
      <c r="E415" s="299">
        <v>0</v>
      </c>
      <c r="F415" s="299">
        <v>0</v>
      </c>
      <c r="G415" s="295"/>
      <c r="H415" s="300">
        <f t="shared" si="30"/>
        <v>3350</v>
      </c>
      <c r="I415" s="299">
        <f t="shared" si="31"/>
        <v>0</v>
      </c>
      <c r="M415" s="319">
        <f>VLOOKUP(A415,[4]Sheet1!$B:$D,2,FALSE)</f>
        <v>3350</v>
      </c>
      <c r="N415" s="319">
        <f>VLOOKUP(A415,[4]Sheet1!$B:$D,3,FALSE)</f>
        <v>0</v>
      </c>
      <c r="P415" s="320">
        <f t="shared" si="28"/>
        <v>0</v>
      </c>
      <c r="Q415" s="320">
        <f t="shared" si="29"/>
        <v>0</v>
      </c>
    </row>
    <row r="416" spans="1:17" x14ac:dyDescent="0.2">
      <c r="A416" s="294" t="s">
        <v>588</v>
      </c>
      <c r="B416" s="299">
        <v>43558</v>
      </c>
      <c r="C416" s="299">
        <v>0</v>
      </c>
      <c r="D416" s="295"/>
      <c r="E416" s="299">
        <v>0</v>
      </c>
      <c r="F416" s="299">
        <v>0</v>
      </c>
      <c r="G416" s="295"/>
      <c r="H416" s="300">
        <f t="shared" si="30"/>
        <v>43558</v>
      </c>
      <c r="I416" s="299">
        <f t="shared" si="31"/>
        <v>0</v>
      </c>
      <c r="M416" s="319">
        <f>VLOOKUP(A416,[4]Sheet1!$B:$D,2,FALSE)</f>
        <v>43558</v>
      </c>
      <c r="N416" s="319">
        <f>VLOOKUP(A416,[4]Sheet1!$B:$D,3,FALSE)</f>
        <v>0</v>
      </c>
      <c r="P416" s="320">
        <f t="shared" si="28"/>
        <v>0</v>
      </c>
      <c r="Q416" s="320">
        <f t="shared" si="29"/>
        <v>0</v>
      </c>
    </row>
    <row r="417" spans="1:17" x14ac:dyDescent="0.2">
      <c r="A417" s="294" t="s">
        <v>589</v>
      </c>
      <c r="B417" s="299">
        <v>2255</v>
      </c>
      <c r="C417" s="299">
        <v>0</v>
      </c>
      <c r="D417" s="295"/>
      <c r="E417" s="299">
        <v>0</v>
      </c>
      <c r="F417" s="299">
        <v>0</v>
      </c>
      <c r="G417" s="295"/>
      <c r="H417" s="300">
        <f t="shared" si="30"/>
        <v>2255</v>
      </c>
      <c r="I417" s="299">
        <f t="shared" si="31"/>
        <v>0</v>
      </c>
      <c r="M417" s="319">
        <f>VLOOKUP(A417,[4]Sheet1!$B:$D,2,FALSE)</f>
        <v>2255</v>
      </c>
      <c r="N417" s="319">
        <f>VLOOKUP(A417,[4]Sheet1!$B:$D,3,FALSE)</f>
        <v>0</v>
      </c>
      <c r="P417" s="320">
        <f t="shared" si="28"/>
        <v>0</v>
      </c>
      <c r="Q417" s="320">
        <f t="shared" si="29"/>
        <v>0</v>
      </c>
    </row>
    <row r="418" spans="1:17" x14ac:dyDescent="0.2">
      <c r="A418" s="294" t="s">
        <v>590</v>
      </c>
      <c r="B418" s="299">
        <v>400000</v>
      </c>
      <c r="C418" s="299">
        <v>0</v>
      </c>
      <c r="D418" s="295"/>
      <c r="E418" s="299">
        <v>0</v>
      </c>
      <c r="F418" s="299">
        <v>0</v>
      </c>
      <c r="G418" s="295"/>
      <c r="H418" s="300">
        <f t="shared" si="30"/>
        <v>400000</v>
      </c>
      <c r="I418" s="299">
        <f t="shared" si="31"/>
        <v>0</v>
      </c>
      <c r="M418" s="319">
        <f>VLOOKUP(A418,[4]Sheet1!$B:$D,2,FALSE)</f>
        <v>400000</v>
      </c>
      <c r="N418" s="319">
        <f>VLOOKUP(A418,[4]Sheet1!$B:$D,3,FALSE)</f>
        <v>0</v>
      </c>
      <c r="P418" s="320">
        <f t="shared" si="28"/>
        <v>0</v>
      </c>
      <c r="Q418" s="320">
        <f t="shared" si="29"/>
        <v>0</v>
      </c>
    </row>
    <row r="419" spans="1:17" x14ac:dyDescent="0.2">
      <c r="A419" s="294" t="s">
        <v>717</v>
      </c>
      <c r="B419" s="299">
        <v>1180</v>
      </c>
      <c r="C419" s="299">
        <v>0</v>
      </c>
      <c r="D419" s="295"/>
      <c r="E419" s="299">
        <v>0</v>
      </c>
      <c r="F419" s="299">
        <v>0</v>
      </c>
      <c r="G419" s="295"/>
      <c r="H419" s="300">
        <f t="shared" si="30"/>
        <v>1180</v>
      </c>
      <c r="I419" s="299">
        <f t="shared" si="31"/>
        <v>0</v>
      </c>
      <c r="M419" s="319">
        <f>VLOOKUP(A419,[4]Sheet1!$B:$D,2,FALSE)</f>
        <v>1180</v>
      </c>
      <c r="N419" s="319">
        <f>VLOOKUP(A419,[4]Sheet1!$B:$D,3,FALSE)</f>
        <v>0</v>
      </c>
      <c r="P419" s="320">
        <f t="shared" si="28"/>
        <v>0</v>
      </c>
      <c r="Q419" s="320">
        <f t="shared" si="29"/>
        <v>0</v>
      </c>
    </row>
    <row r="420" spans="1:17" x14ac:dyDescent="0.2">
      <c r="A420" s="294" t="s">
        <v>591</v>
      </c>
      <c r="B420" s="299">
        <v>647292</v>
      </c>
      <c r="C420" s="299">
        <v>0</v>
      </c>
      <c r="D420" s="295"/>
      <c r="E420" s="299">
        <v>0</v>
      </c>
      <c r="F420" s="299">
        <v>0</v>
      </c>
      <c r="G420" s="295"/>
      <c r="H420" s="300">
        <f t="shared" si="30"/>
        <v>647292</v>
      </c>
      <c r="I420" s="299">
        <f t="shared" si="31"/>
        <v>0</v>
      </c>
      <c r="M420" s="319">
        <f>VLOOKUP(A420,[4]Sheet1!$B:$D,2,FALSE)</f>
        <v>647292</v>
      </c>
      <c r="N420" s="319">
        <f>VLOOKUP(A420,[4]Sheet1!$B:$D,3,FALSE)</f>
        <v>0</v>
      </c>
      <c r="P420" s="320">
        <f t="shared" si="28"/>
        <v>0</v>
      </c>
      <c r="Q420" s="320">
        <f t="shared" si="29"/>
        <v>0</v>
      </c>
    </row>
    <row r="421" spans="1:17" x14ac:dyDescent="0.2">
      <c r="A421" s="294" t="s">
        <v>592</v>
      </c>
      <c r="B421" s="299">
        <v>4517.7</v>
      </c>
      <c r="C421" s="299">
        <v>0</v>
      </c>
      <c r="D421" s="295"/>
      <c r="E421" s="299">
        <v>0</v>
      </c>
      <c r="F421" s="299">
        <v>0</v>
      </c>
      <c r="G421" s="295"/>
      <c r="H421" s="300">
        <f t="shared" si="30"/>
        <v>4517.7</v>
      </c>
      <c r="I421" s="299">
        <f t="shared" si="31"/>
        <v>0</v>
      </c>
      <c r="M421" s="319">
        <f>VLOOKUP(A421,[4]Sheet1!$B:$D,2,FALSE)</f>
        <v>4517.7</v>
      </c>
      <c r="N421" s="319">
        <f>VLOOKUP(A421,[4]Sheet1!$B:$D,3,FALSE)</f>
        <v>0</v>
      </c>
      <c r="P421" s="320">
        <f t="shared" si="28"/>
        <v>0</v>
      </c>
      <c r="Q421" s="320">
        <f t="shared" si="29"/>
        <v>0</v>
      </c>
    </row>
    <row r="422" spans="1:17" x14ac:dyDescent="0.2">
      <c r="A422" s="294" t="s">
        <v>593</v>
      </c>
      <c r="B422" s="299">
        <v>346354</v>
      </c>
      <c r="C422" s="299">
        <v>0</v>
      </c>
      <c r="D422" s="295"/>
      <c r="E422" s="299">
        <v>0</v>
      </c>
      <c r="F422" s="299">
        <v>0</v>
      </c>
      <c r="G422" s="295"/>
      <c r="H422" s="300">
        <f t="shared" si="30"/>
        <v>346354</v>
      </c>
      <c r="I422" s="299">
        <f t="shared" si="31"/>
        <v>0</v>
      </c>
      <c r="M422" s="319">
        <f>VLOOKUP(A422,[4]Sheet1!$B:$D,2,FALSE)</f>
        <v>346354</v>
      </c>
      <c r="N422" s="319">
        <f>VLOOKUP(A422,[4]Sheet1!$B:$D,3,FALSE)</f>
        <v>0</v>
      </c>
      <c r="P422" s="320">
        <f t="shared" si="28"/>
        <v>0</v>
      </c>
      <c r="Q422" s="320">
        <f t="shared" si="29"/>
        <v>0</v>
      </c>
    </row>
    <row r="423" spans="1:17" x14ac:dyDescent="0.2">
      <c r="A423" s="294" t="s">
        <v>594</v>
      </c>
      <c r="B423" s="299">
        <v>550</v>
      </c>
      <c r="C423" s="299">
        <v>0</v>
      </c>
      <c r="D423" s="295"/>
      <c r="E423" s="299">
        <v>0</v>
      </c>
      <c r="F423" s="299">
        <v>0</v>
      </c>
      <c r="G423" s="295"/>
      <c r="H423" s="300">
        <f t="shared" si="30"/>
        <v>550</v>
      </c>
      <c r="I423" s="299">
        <f t="shared" si="31"/>
        <v>0</v>
      </c>
      <c r="M423" s="319">
        <f>VLOOKUP(A423,[4]Sheet1!$B:$D,2,FALSE)</f>
        <v>550</v>
      </c>
      <c r="N423" s="319">
        <f>VLOOKUP(A423,[4]Sheet1!$B:$D,3,FALSE)</f>
        <v>0</v>
      </c>
      <c r="P423" s="320">
        <f t="shared" si="28"/>
        <v>0</v>
      </c>
      <c r="Q423" s="320">
        <f t="shared" si="29"/>
        <v>0</v>
      </c>
    </row>
    <row r="424" spans="1:17" x14ac:dyDescent="0.2">
      <c r="A424" s="294" t="s">
        <v>718</v>
      </c>
      <c r="B424" s="299">
        <v>26974.69</v>
      </c>
      <c r="C424" s="299">
        <v>0</v>
      </c>
      <c r="D424" s="295"/>
      <c r="E424" s="299">
        <v>0</v>
      </c>
      <c r="F424" s="299">
        <v>0</v>
      </c>
      <c r="G424" s="295"/>
      <c r="H424" s="300">
        <f t="shared" si="30"/>
        <v>26974.69</v>
      </c>
      <c r="I424" s="299">
        <f t="shared" si="31"/>
        <v>0</v>
      </c>
      <c r="M424" s="319">
        <f>VLOOKUP(A424,[4]Sheet1!$B:$D,2,FALSE)</f>
        <v>26974.69</v>
      </c>
      <c r="N424" s="319">
        <f>VLOOKUP(A424,[4]Sheet1!$B:$D,3,FALSE)</f>
        <v>0</v>
      </c>
      <c r="P424" s="320">
        <f t="shared" si="28"/>
        <v>0</v>
      </c>
      <c r="Q424" s="320">
        <f t="shared" si="29"/>
        <v>0</v>
      </c>
    </row>
    <row r="425" spans="1:17" x14ac:dyDescent="0.2">
      <c r="A425" s="294" t="s">
        <v>595</v>
      </c>
      <c r="B425" s="299">
        <v>816189.5</v>
      </c>
      <c r="C425" s="299">
        <v>0</v>
      </c>
      <c r="D425" s="295"/>
      <c r="E425" s="299">
        <v>0</v>
      </c>
      <c r="F425" s="299">
        <v>0</v>
      </c>
      <c r="G425" s="295"/>
      <c r="H425" s="300">
        <f t="shared" si="30"/>
        <v>816189.5</v>
      </c>
      <c r="I425" s="299">
        <f t="shared" si="31"/>
        <v>0</v>
      </c>
      <c r="M425" s="319">
        <f>VLOOKUP(A425,[4]Sheet1!$B:$D,2,FALSE)</f>
        <v>816189.5</v>
      </c>
      <c r="N425" s="319">
        <f>VLOOKUP(A425,[4]Sheet1!$B:$D,3,FALSE)</f>
        <v>0</v>
      </c>
      <c r="P425" s="320">
        <f t="shared" si="28"/>
        <v>0</v>
      </c>
      <c r="Q425" s="320">
        <f t="shared" si="29"/>
        <v>0</v>
      </c>
    </row>
    <row r="426" spans="1:17" x14ac:dyDescent="0.2">
      <c r="A426" s="294" t="s">
        <v>596</v>
      </c>
      <c r="B426" s="299">
        <v>85260</v>
      </c>
      <c r="C426" s="299">
        <v>0</v>
      </c>
      <c r="D426" s="295"/>
      <c r="E426" s="299">
        <v>0</v>
      </c>
      <c r="F426" s="299">
        <v>0</v>
      </c>
      <c r="G426" s="295"/>
      <c r="H426" s="300">
        <f t="shared" si="30"/>
        <v>85260</v>
      </c>
      <c r="I426" s="299">
        <f t="shared" si="31"/>
        <v>0</v>
      </c>
      <c r="M426" s="319">
        <f>VLOOKUP(A426,[4]Sheet1!$B:$D,2,FALSE)</f>
        <v>85260</v>
      </c>
      <c r="N426" s="319">
        <f>VLOOKUP(A426,[4]Sheet1!$B:$D,3,FALSE)</f>
        <v>0</v>
      </c>
      <c r="P426" s="320">
        <f t="shared" si="28"/>
        <v>0</v>
      </c>
      <c r="Q426" s="320">
        <f t="shared" si="29"/>
        <v>0</v>
      </c>
    </row>
    <row r="427" spans="1:17" x14ac:dyDescent="0.2">
      <c r="A427" s="294" t="s">
        <v>597</v>
      </c>
      <c r="B427" s="299">
        <v>21315</v>
      </c>
      <c r="C427" s="299">
        <v>0</v>
      </c>
      <c r="D427" s="295"/>
      <c r="E427" s="299">
        <v>0</v>
      </c>
      <c r="F427" s="299">
        <v>0</v>
      </c>
      <c r="G427" s="295"/>
      <c r="H427" s="300">
        <f t="shared" si="30"/>
        <v>21315</v>
      </c>
      <c r="I427" s="299">
        <f t="shared" si="31"/>
        <v>0</v>
      </c>
      <c r="M427" s="319">
        <f>VLOOKUP(A427,[4]Sheet1!$B:$D,2,FALSE)</f>
        <v>21315</v>
      </c>
      <c r="N427" s="319">
        <f>VLOOKUP(A427,[4]Sheet1!$B:$D,3,FALSE)</f>
        <v>0</v>
      </c>
      <c r="P427" s="320">
        <f t="shared" si="28"/>
        <v>0</v>
      </c>
      <c r="Q427" s="320">
        <f t="shared" si="29"/>
        <v>0</v>
      </c>
    </row>
    <row r="428" spans="1:17" x14ac:dyDescent="0.2">
      <c r="A428" s="294" t="s">
        <v>598</v>
      </c>
      <c r="B428" s="299">
        <v>50825</v>
      </c>
      <c r="C428" s="299">
        <v>0</v>
      </c>
      <c r="D428" s="295"/>
      <c r="E428" s="299">
        <v>0</v>
      </c>
      <c r="F428" s="299">
        <v>0</v>
      </c>
      <c r="G428" s="295"/>
      <c r="H428" s="300">
        <f t="shared" si="30"/>
        <v>50825</v>
      </c>
      <c r="I428" s="299">
        <f t="shared" si="31"/>
        <v>0</v>
      </c>
      <c r="M428" s="319">
        <f>VLOOKUP(A428,[4]Sheet1!$B:$D,2,FALSE)</f>
        <v>50825</v>
      </c>
      <c r="N428" s="319">
        <f>VLOOKUP(A428,[4]Sheet1!$B:$D,3,FALSE)</f>
        <v>0</v>
      </c>
      <c r="P428" s="320">
        <f t="shared" si="28"/>
        <v>0</v>
      </c>
      <c r="Q428" s="320">
        <f t="shared" si="29"/>
        <v>0</v>
      </c>
    </row>
    <row r="429" spans="1:17" x14ac:dyDescent="0.2">
      <c r="A429" s="294" t="s">
        <v>599</v>
      </c>
      <c r="B429" s="299">
        <v>540000</v>
      </c>
      <c r="C429" s="299">
        <v>0</v>
      </c>
      <c r="D429" s="295"/>
      <c r="E429" s="299">
        <v>0</v>
      </c>
      <c r="F429" s="299">
        <v>0</v>
      </c>
      <c r="G429" s="295"/>
      <c r="H429" s="300">
        <f t="shared" si="30"/>
        <v>540000</v>
      </c>
      <c r="I429" s="299">
        <f t="shared" si="31"/>
        <v>0</v>
      </c>
      <c r="M429" s="319">
        <f>VLOOKUP(A429,[4]Sheet1!$B:$D,2,FALSE)</f>
        <v>540000</v>
      </c>
      <c r="N429" s="319">
        <f>VLOOKUP(A429,[4]Sheet1!$B:$D,3,FALSE)</f>
        <v>0</v>
      </c>
      <c r="P429" s="320">
        <f t="shared" si="28"/>
        <v>0</v>
      </c>
      <c r="Q429" s="320">
        <f t="shared" si="29"/>
        <v>0</v>
      </c>
    </row>
    <row r="430" spans="1:17" x14ac:dyDescent="0.2">
      <c r="A430" s="294" t="s">
        <v>475</v>
      </c>
      <c r="B430" s="299">
        <v>210000</v>
      </c>
      <c r="C430" s="299">
        <v>0</v>
      </c>
      <c r="D430" s="295"/>
      <c r="E430" s="299">
        <v>0</v>
      </c>
      <c r="F430" s="299">
        <v>0</v>
      </c>
      <c r="G430" s="295"/>
      <c r="H430" s="300">
        <f t="shared" si="30"/>
        <v>210000</v>
      </c>
      <c r="I430" s="299">
        <f t="shared" si="31"/>
        <v>0</v>
      </c>
      <c r="M430" s="319">
        <f>VLOOKUP(A430,[4]Sheet1!$B:$D,2,FALSE)</f>
        <v>210000</v>
      </c>
      <c r="N430" s="319">
        <f>VLOOKUP(A430,[4]Sheet1!$B:$D,3,FALSE)</f>
        <v>0</v>
      </c>
      <c r="P430" s="320">
        <f t="shared" si="28"/>
        <v>0</v>
      </c>
      <c r="Q430" s="320">
        <f t="shared" si="29"/>
        <v>0</v>
      </c>
    </row>
    <row r="431" spans="1:17" x14ac:dyDescent="0.2">
      <c r="A431" s="294" t="s">
        <v>476</v>
      </c>
      <c r="B431" s="299">
        <v>14688.8</v>
      </c>
      <c r="C431" s="299">
        <v>0</v>
      </c>
      <c r="D431" s="295"/>
      <c r="E431" s="299">
        <v>0</v>
      </c>
      <c r="F431" s="299">
        <v>0</v>
      </c>
      <c r="G431" s="295"/>
      <c r="H431" s="300">
        <f t="shared" si="30"/>
        <v>14688.8</v>
      </c>
      <c r="I431" s="299">
        <f t="shared" si="31"/>
        <v>0</v>
      </c>
      <c r="M431" s="319">
        <f>VLOOKUP(A431,[4]Sheet1!$B:$D,2,FALSE)</f>
        <v>14688.8</v>
      </c>
      <c r="N431" s="319">
        <f>VLOOKUP(A431,[4]Sheet1!$B:$D,3,FALSE)</f>
        <v>0</v>
      </c>
      <c r="P431" s="320">
        <f t="shared" si="28"/>
        <v>0</v>
      </c>
      <c r="Q431" s="320">
        <f t="shared" si="29"/>
        <v>0</v>
      </c>
    </row>
    <row r="432" spans="1:17" x14ac:dyDescent="0.2">
      <c r="A432" s="294" t="s">
        <v>477</v>
      </c>
      <c r="B432" s="299">
        <v>32540</v>
      </c>
      <c r="C432" s="299">
        <v>0</v>
      </c>
      <c r="D432" s="295"/>
      <c r="E432" s="299">
        <v>0</v>
      </c>
      <c r="F432" s="299">
        <v>0</v>
      </c>
      <c r="G432" s="295"/>
      <c r="H432" s="300">
        <f t="shared" si="30"/>
        <v>32540</v>
      </c>
      <c r="I432" s="299">
        <f t="shared" si="31"/>
        <v>0</v>
      </c>
      <c r="M432" s="319">
        <f>VLOOKUP(A432,[4]Sheet1!$B:$D,2,FALSE)</f>
        <v>32540</v>
      </c>
      <c r="N432" s="319">
        <f>VLOOKUP(A432,[4]Sheet1!$B:$D,3,FALSE)</f>
        <v>0</v>
      </c>
      <c r="P432" s="320">
        <f t="shared" si="28"/>
        <v>0</v>
      </c>
      <c r="Q432" s="320">
        <f t="shared" si="29"/>
        <v>0</v>
      </c>
    </row>
    <row r="433" spans="1:17" x14ac:dyDescent="0.2">
      <c r="A433" s="316" t="s">
        <v>478</v>
      </c>
      <c r="B433" s="299">
        <v>2214695.71</v>
      </c>
      <c r="C433" s="299">
        <v>0</v>
      </c>
      <c r="D433" s="295"/>
      <c r="E433" s="299">
        <v>0</v>
      </c>
      <c r="F433" s="299">
        <v>0</v>
      </c>
      <c r="G433" s="295"/>
      <c r="H433" s="300">
        <f t="shared" si="30"/>
        <v>2214695.71</v>
      </c>
      <c r="I433" s="299">
        <f t="shared" si="31"/>
        <v>0</v>
      </c>
      <c r="M433" s="319">
        <f>VLOOKUP(A433,[4]Sheet1!$B:$D,2,FALSE)</f>
        <v>2214695.71</v>
      </c>
      <c r="N433" s="319">
        <f>VLOOKUP(A433,[4]Sheet1!$B:$D,3,FALSE)</f>
        <v>0</v>
      </c>
      <c r="P433" s="320">
        <f t="shared" si="28"/>
        <v>0</v>
      </c>
      <c r="Q433" s="320">
        <f t="shared" si="29"/>
        <v>0</v>
      </c>
    </row>
    <row r="434" spans="1:17" x14ac:dyDescent="0.2">
      <c r="A434" s="294" t="s">
        <v>479</v>
      </c>
      <c r="B434" s="299">
        <v>707370</v>
      </c>
      <c r="C434" s="299">
        <v>0</v>
      </c>
      <c r="D434" s="295"/>
      <c r="E434" s="299">
        <v>0</v>
      </c>
      <c r="F434" s="299">
        <v>0</v>
      </c>
      <c r="G434" s="295"/>
      <c r="H434" s="300">
        <f t="shared" si="30"/>
        <v>707370</v>
      </c>
      <c r="I434" s="299">
        <f t="shared" si="31"/>
        <v>0</v>
      </c>
      <c r="M434" s="319">
        <f>VLOOKUP(A434,[4]Sheet1!$B:$D,2,FALSE)</f>
        <v>707370</v>
      </c>
      <c r="N434" s="319">
        <f>VLOOKUP(A434,[4]Sheet1!$B:$D,3,FALSE)</f>
        <v>0</v>
      </c>
      <c r="P434" s="320">
        <f t="shared" si="28"/>
        <v>0</v>
      </c>
      <c r="Q434" s="320">
        <f t="shared" si="29"/>
        <v>0</v>
      </c>
    </row>
    <row r="435" spans="1:17" x14ac:dyDescent="0.2">
      <c r="A435" s="294" t="s">
        <v>600</v>
      </c>
      <c r="B435" s="299">
        <v>150000</v>
      </c>
      <c r="C435" s="299">
        <v>0</v>
      </c>
      <c r="D435" s="295"/>
      <c r="E435" s="299">
        <v>0</v>
      </c>
      <c r="F435" s="299">
        <v>0</v>
      </c>
      <c r="G435" s="295"/>
      <c r="H435" s="300">
        <f t="shared" si="30"/>
        <v>150000</v>
      </c>
      <c r="I435" s="299">
        <f t="shared" si="31"/>
        <v>0</v>
      </c>
      <c r="M435" s="319">
        <f>VLOOKUP(A435,[4]Sheet1!$B:$D,2,FALSE)</f>
        <v>150000</v>
      </c>
      <c r="N435" s="319">
        <f>VLOOKUP(A435,[4]Sheet1!$B:$D,3,FALSE)</f>
        <v>0</v>
      </c>
      <c r="P435" s="320">
        <f t="shared" si="28"/>
        <v>0</v>
      </c>
      <c r="Q435" s="320">
        <f t="shared" si="29"/>
        <v>0</v>
      </c>
    </row>
    <row r="436" spans="1:17" x14ac:dyDescent="0.2">
      <c r="A436" s="294" t="s">
        <v>719</v>
      </c>
      <c r="B436" s="299">
        <v>0</v>
      </c>
      <c r="C436" s="299">
        <v>0</v>
      </c>
      <c r="D436" s="295"/>
      <c r="E436" s="299">
        <v>0</v>
      </c>
      <c r="F436" s="299">
        <v>0</v>
      </c>
      <c r="G436" s="295"/>
      <c r="H436" s="299">
        <f t="shared" si="30"/>
        <v>0</v>
      </c>
      <c r="I436" s="299">
        <f t="shared" si="31"/>
        <v>0</v>
      </c>
      <c r="M436" s="319">
        <f>VLOOKUP(A436,[4]Sheet1!$B:$D,2,FALSE)</f>
        <v>0</v>
      </c>
      <c r="N436" s="319">
        <f>VLOOKUP(A436,[4]Sheet1!$B:$D,3,FALSE)</f>
        <v>0</v>
      </c>
      <c r="P436" s="320">
        <f t="shared" si="28"/>
        <v>0</v>
      </c>
      <c r="Q436" s="320">
        <f t="shared" si="29"/>
        <v>0</v>
      </c>
    </row>
    <row r="437" spans="1:17" x14ac:dyDescent="0.2">
      <c r="A437" s="294" t="s">
        <v>720</v>
      </c>
      <c r="B437" s="299">
        <v>0</v>
      </c>
      <c r="C437" s="299">
        <v>0</v>
      </c>
      <c r="D437" s="295"/>
      <c r="E437" s="299">
        <v>0</v>
      </c>
      <c r="F437" s="299">
        <v>0</v>
      </c>
      <c r="G437" s="295"/>
      <c r="H437" s="299">
        <f t="shared" si="30"/>
        <v>0</v>
      </c>
      <c r="I437" s="299">
        <f t="shared" si="31"/>
        <v>0</v>
      </c>
      <c r="M437" s="319">
        <f>VLOOKUP(A437,[4]Sheet1!$B:$D,2,FALSE)</f>
        <v>0</v>
      </c>
      <c r="N437" s="319">
        <f>VLOOKUP(A437,[4]Sheet1!$B:$D,3,FALSE)</f>
        <v>0</v>
      </c>
      <c r="P437" s="320">
        <f t="shared" si="28"/>
        <v>0</v>
      </c>
      <c r="Q437" s="320">
        <f t="shared" si="29"/>
        <v>0</v>
      </c>
    </row>
    <row r="438" spans="1:17" x14ac:dyDescent="0.2">
      <c r="A438" s="294" t="s">
        <v>721</v>
      </c>
      <c r="B438" s="299">
        <v>0</v>
      </c>
      <c r="C438" s="299">
        <v>0</v>
      </c>
      <c r="D438" s="295"/>
      <c r="E438" s="299">
        <v>0</v>
      </c>
      <c r="F438" s="299">
        <v>0</v>
      </c>
      <c r="G438" s="295"/>
      <c r="H438" s="299">
        <f t="shared" si="30"/>
        <v>0</v>
      </c>
      <c r="I438" s="299">
        <f t="shared" si="31"/>
        <v>0</v>
      </c>
      <c r="M438" s="319">
        <f>VLOOKUP(A438,[4]Sheet1!$B:$D,2,FALSE)</f>
        <v>0</v>
      </c>
      <c r="N438" s="319">
        <f>VLOOKUP(A438,[4]Sheet1!$B:$D,3,FALSE)</f>
        <v>0</v>
      </c>
      <c r="P438" s="320">
        <f t="shared" si="28"/>
        <v>0</v>
      </c>
      <c r="Q438" s="320">
        <f t="shared" si="29"/>
        <v>0</v>
      </c>
    </row>
    <row r="439" spans="1:17" x14ac:dyDescent="0.2">
      <c r="A439" s="294" t="s">
        <v>722</v>
      </c>
      <c r="B439" s="299">
        <v>0</v>
      </c>
      <c r="C439" s="299">
        <v>0</v>
      </c>
      <c r="D439" s="295"/>
      <c r="E439" s="299">
        <v>0</v>
      </c>
      <c r="F439" s="299">
        <v>0</v>
      </c>
      <c r="G439" s="295"/>
      <c r="H439" s="299">
        <f t="shared" si="30"/>
        <v>0</v>
      </c>
      <c r="I439" s="299">
        <f t="shared" si="31"/>
        <v>0</v>
      </c>
      <c r="M439" s="319">
        <f>VLOOKUP(A439,[4]Sheet1!$B:$D,2,FALSE)</f>
        <v>0</v>
      </c>
      <c r="N439" s="319">
        <f>VLOOKUP(A439,[4]Sheet1!$B:$D,3,FALSE)</f>
        <v>0</v>
      </c>
      <c r="P439" s="320">
        <f t="shared" si="28"/>
        <v>0</v>
      </c>
      <c r="Q439" s="320">
        <f t="shared" si="29"/>
        <v>0</v>
      </c>
    </row>
    <row r="440" spans="1:17" x14ac:dyDescent="0.2">
      <c r="A440" s="294" t="s">
        <v>723</v>
      </c>
      <c r="B440" s="299">
        <v>0</v>
      </c>
      <c r="C440" s="299">
        <v>0</v>
      </c>
      <c r="D440" s="295"/>
      <c r="E440" s="299">
        <v>0</v>
      </c>
      <c r="F440" s="299">
        <v>0</v>
      </c>
      <c r="G440" s="295"/>
      <c r="H440" s="299">
        <f t="shared" si="30"/>
        <v>0</v>
      </c>
      <c r="I440" s="299">
        <f t="shared" si="31"/>
        <v>0</v>
      </c>
      <c r="M440" s="319">
        <f>VLOOKUP(A440,[4]Sheet1!$B:$D,2,FALSE)</f>
        <v>0</v>
      </c>
      <c r="N440" s="319">
        <f>VLOOKUP(A440,[4]Sheet1!$B:$D,3,FALSE)</f>
        <v>0</v>
      </c>
      <c r="P440" s="320">
        <f t="shared" si="28"/>
        <v>0</v>
      </c>
      <c r="Q440" s="320">
        <f t="shared" si="29"/>
        <v>0</v>
      </c>
    </row>
    <row r="441" spans="1:17" x14ac:dyDescent="0.2">
      <c r="A441" s="294" t="s">
        <v>601</v>
      </c>
      <c r="B441" s="299">
        <v>0</v>
      </c>
      <c r="C441" s="299">
        <v>0</v>
      </c>
      <c r="D441" s="295"/>
      <c r="E441" s="299">
        <v>0</v>
      </c>
      <c r="F441" s="299">
        <v>0</v>
      </c>
      <c r="G441" s="295"/>
      <c r="H441" s="299">
        <f t="shared" si="30"/>
        <v>0</v>
      </c>
      <c r="I441" s="299">
        <f t="shared" si="31"/>
        <v>0</v>
      </c>
      <c r="M441" s="319">
        <f>VLOOKUP(A441,[4]Sheet1!$B:$D,2,FALSE)</f>
        <v>0</v>
      </c>
      <c r="N441" s="319">
        <f>VLOOKUP(A441,[4]Sheet1!$B:$D,3,FALSE)</f>
        <v>0</v>
      </c>
      <c r="P441" s="320">
        <f t="shared" si="28"/>
        <v>0</v>
      </c>
      <c r="Q441" s="320">
        <f t="shared" si="29"/>
        <v>0</v>
      </c>
    </row>
    <row r="442" spans="1:17" x14ac:dyDescent="0.2">
      <c r="A442" s="294" t="s">
        <v>724</v>
      </c>
      <c r="B442" s="299">
        <v>45000</v>
      </c>
      <c r="C442" s="299">
        <v>0</v>
      </c>
      <c r="D442" s="295"/>
      <c r="E442" s="299">
        <v>0</v>
      </c>
      <c r="F442" s="299">
        <v>0</v>
      </c>
      <c r="G442" s="295"/>
      <c r="H442" s="300">
        <f t="shared" si="30"/>
        <v>45000</v>
      </c>
      <c r="I442" s="299">
        <f t="shared" si="31"/>
        <v>0</v>
      </c>
      <c r="M442" s="319">
        <f>VLOOKUP(A442,[4]Sheet1!$B:$D,2,FALSE)</f>
        <v>45000</v>
      </c>
      <c r="N442" s="319">
        <f>VLOOKUP(A442,[4]Sheet1!$B:$D,3,FALSE)</f>
        <v>0</v>
      </c>
      <c r="P442" s="320">
        <f t="shared" si="28"/>
        <v>0</v>
      </c>
      <c r="Q442" s="320">
        <f t="shared" si="29"/>
        <v>0</v>
      </c>
    </row>
    <row r="443" spans="1:17" x14ac:dyDescent="0.2">
      <c r="A443" s="294" t="s">
        <v>207</v>
      </c>
      <c r="B443" s="299">
        <v>20000</v>
      </c>
      <c r="C443" s="299">
        <v>0</v>
      </c>
      <c r="D443" s="295"/>
      <c r="E443" s="299">
        <v>0</v>
      </c>
      <c r="F443" s="299">
        <v>0</v>
      </c>
      <c r="G443" s="295"/>
      <c r="H443" s="300">
        <f t="shared" si="30"/>
        <v>20000</v>
      </c>
      <c r="I443" s="299">
        <f t="shared" si="31"/>
        <v>0</v>
      </c>
      <c r="M443" s="319">
        <f>VLOOKUP(A443,[4]Sheet1!$B:$D,2,FALSE)</f>
        <v>20000</v>
      </c>
      <c r="N443" s="319">
        <f>VLOOKUP(A443,[4]Sheet1!$B:$D,3,FALSE)</f>
        <v>0</v>
      </c>
      <c r="P443" s="320">
        <f t="shared" si="28"/>
        <v>0</v>
      </c>
      <c r="Q443" s="320">
        <f t="shared" si="29"/>
        <v>0</v>
      </c>
    </row>
    <row r="444" spans="1:17" x14ac:dyDescent="0.2">
      <c r="A444" s="294" t="s">
        <v>208</v>
      </c>
      <c r="B444" s="299">
        <v>2823453</v>
      </c>
      <c r="C444" s="299">
        <v>0</v>
      </c>
      <c r="D444" s="295"/>
      <c r="E444" s="299">
        <v>0</v>
      </c>
      <c r="F444" s="299">
        <v>0</v>
      </c>
      <c r="G444" s="295"/>
      <c r="H444" s="300">
        <f t="shared" si="30"/>
        <v>2823453</v>
      </c>
      <c r="I444" s="299">
        <f t="shared" si="31"/>
        <v>0</v>
      </c>
      <c r="M444" s="319">
        <f>VLOOKUP(A444,[4]Sheet1!$B:$D,2,FALSE)</f>
        <v>2823453</v>
      </c>
      <c r="N444" s="319">
        <f>VLOOKUP(A444,[4]Sheet1!$B:$D,3,FALSE)</f>
        <v>0</v>
      </c>
      <c r="P444" s="320">
        <f t="shared" si="28"/>
        <v>0</v>
      </c>
      <c r="Q444" s="320">
        <f t="shared" si="29"/>
        <v>0</v>
      </c>
    </row>
    <row r="445" spans="1:17" x14ac:dyDescent="0.2">
      <c r="A445" s="294" t="s">
        <v>725</v>
      </c>
      <c r="B445" s="299">
        <v>0</v>
      </c>
      <c r="C445" s="299">
        <v>0</v>
      </c>
      <c r="D445" s="295"/>
      <c r="E445" s="299">
        <v>0</v>
      </c>
      <c r="F445" s="299">
        <v>0</v>
      </c>
      <c r="G445" s="295"/>
      <c r="H445" s="299">
        <f t="shared" si="30"/>
        <v>0</v>
      </c>
      <c r="I445" s="299">
        <f t="shared" si="31"/>
        <v>0</v>
      </c>
      <c r="M445" s="319">
        <f>VLOOKUP(A445,[4]Sheet1!$B:$D,2,FALSE)</f>
        <v>0</v>
      </c>
      <c r="N445" s="319">
        <f>VLOOKUP(A445,[4]Sheet1!$B:$D,3,FALSE)</f>
        <v>0</v>
      </c>
      <c r="P445" s="320">
        <f t="shared" si="28"/>
        <v>0</v>
      </c>
      <c r="Q445" s="320">
        <f t="shared" si="29"/>
        <v>0</v>
      </c>
    </row>
    <row r="446" spans="1:17" x14ac:dyDescent="0.2">
      <c r="A446" s="294" t="s">
        <v>480</v>
      </c>
      <c r="B446" s="299">
        <v>197136</v>
      </c>
      <c r="C446" s="299">
        <v>0</v>
      </c>
      <c r="D446" s="295"/>
      <c r="E446" s="299">
        <v>0</v>
      </c>
      <c r="F446" s="299">
        <v>0</v>
      </c>
      <c r="G446" s="295"/>
      <c r="H446" s="300">
        <f t="shared" si="30"/>
        <v>197136</v>
      </c>
      <c r="I446" s="299">
        <f t="shared" si="31"/>
        <v>0</v>
      </c>
      <c r="M446" s="319">
        <f>VLOOKUP(A446,[4]Sheet1!$B:$D,2,FALSE)</f>
        <v>197136</v>
      </c>
      <c r="N446" s="319">
        <f>VLOOKUP(A446,[4]Sheet1!$B:$D,3,FALSE)</f>
        <v>0</v>
      </c>
      <c r="P446" s="320">
        <f t="shared" si="28"/>
        <v>0</v>
      </c>
      <c r="Q446" s="320">
        <f t="shared" si="29"/>
        <v>0</v>
      </c>
    </row>
    <row r="447" spans="1:17" x14ac:dyDescent="0.2">
      <c r="A447" s="294" t="s">
        <v>726</v>
      </c>
      <c r="B447" s="299">
        <v>0</v>
      </c>
      <c r="C447" s="299">
        <v>0</v>
      </c>
      <c r="D447" s="295"/>
      <c r="E447" s="299">
        <v>0</v>
      </c>
      <c r="F447" s="299">
        <v>0</v>
      </c>
      <c r="G447" s="295"/>
      <c r="H447" s="299">
        <f t="shared" si="30"/>
        <v>0</v>
      </c>
      <c r="I447" s="299">
        <f t="shared" si="31"/>
        <v>0</v>
      </c>
      <c r="M447" s="319">
        <f>VLOOKUP(A447,[4]Sheet1!$B:$D,2,FALSE)</f>
        <v>0</v>
      </c>
      <c r="N447" s="319">
        <f>VLOOKUP(A447,[4]Sheet1!$B:$D,3,FALSE)</f>
        <v>0</v>
      </c>
      <c r="P447" s="320">
        <f t="shared" si="28"/>
        <v>0</v>
      </c>
      <c r="Q447" s="320">
        <f t="shared" si="29"/>
        <v>0</v>
      </c>
    </row>
    <row r="448" spans="1:17" x14ac:dyDescent="0.2">
      <c r="A448" s="294" t="s">
        <v>209</v>
      </c>
      <c r="B448" s="299">
        <v>137499.96</v>
      </c>
      <c r="C448" s="299">
        <v>0</v>
      </c>
      <c r="D448" s="295"/>
      <c r="E448" s="299">
        <v>0</v>
      </c>
      <c r="F448" s="299">
        <v>0</v>
      </c>
      <c r="G448" s="295"/>
      <c r="H448" s="300">
        <f t="shared" si="30"/>
        <v>137499.96</v>
      </c>
      <c r="I448" s="299">
        <f t="shared" si="31"/>
        <v>0</v>
      </c>
      <c r="M448" s="319">
        <f>VLOOKUP(A448,[4]Sheet1!$B:$D,2,FALSE)</f>
        <v>137499.96</v>
      </c>
      <c r="N448" s="319">
        <f>VLOOKUP(A448,[4]Sheet1!$B:$D,3,FALSE)</f>
        <v>0</v>
      </c>
      <c r="P448" s="320">
        <f t="shared" si="28"/>
        <v>0</v>
      </c>
      <c r="Q448" s="320">
        <f t="shared" si="29"/>
        <v>0</v>
      </c>
    </row>
    <row r="449" spans="1:17" x14ac:dyDescent="0.2">
      <c r="A449" s="294" t="s">
        <v>210</v>
      </c>
      <c r="B449" s="299">
        <v>303562.15000000002</v>
      </c>
      <c r="C449" s="299">
        <v>0</v>
      </c>
      <c r="D449" s="295"/>
      <c r="E449" s="299">
        <v>0</v>
      </c>
      <c r="F449" s="299">
        <v>0</v>
      </c>
      <c r="G449" s="295"/>
      <c r="H449" s="300">
        <f t="shared" si="30"/>
        <v>303562.15000000002</v>
      </c>
      <c r="I449" s="299">
        <f t="shared" si="31"/>
        <v>0</v>
      </c>
      <c r="M449" s="319">
        <f>VLOOKUP(A449,[4]Sheet1!$B:$D,2,FALSE)</f>
        <v>303562.15000000002</v>
      </c>
      <c r="N449" s="319">
        <f>VLOOKUP(A449,[4]Sheet1!$B:$D,3,FALSE)</f>
        <v>0</v>
      </c>
      <c r="P449" s="320">
        <f t="shared" si="28"/>
        <v>0</v>
      </c>
      <c r="Q449" s="320">
        <f t="shared" si="29"/>
        <v>0</v>
      </c>
    </row>
    <row r="450" spans="1:17" x14ac:dyDescent="0.2">
      <c r="A450" s="294" t="s">
        <v>211</v>
      </c>
      <c r="B450" s="299">
        <v>0</v>
      </c>
      <c r="C450" s="299">
        <v>0</v>
      </c>
      <c r="D450" s="295"/>
      <c r="E450" s="299">
        <v>0</v>
      </c>
      <c r="F450" s="299">
        <v>0</v>
      </c>
      <c r="G450" s="295"/>
      <c r="H450" s="299">
        <f t="shared" si="30"/>
        <v>0</v>
      </c>
      <c r="I450" s="299">
        <f t="shared" si="31"/>
        <v>0</v>
      </c>
      <c r="M450" s="319">
        <f>VLOOKUP(A450,[4]Sheet1!$B:$D,2,FALSE)</f>
        <v>0</v>
      </c>
      <c r="N450" s="319">
        <f>VLOOKUP(A450,[4]Sheet1!$B:$D,3,FALSE)</f>
        <v>0</v>
      </c>
      <c r="P450" s="320">
        <f t="shared" si="28"/>
        <v>0</v>
      </c>
      <c r="Q450" s="320">
        <f t="shared" si="29"/>
        <v>0</v>
      </c>
    </row>
    <row r="451" spans="1:17" x14ac:dyDescent="0.2">
      <c r="A451" s="294" t="s">
        <v>602</v>
      </c>
      <c r="B451" s="299">
        <v>0</v>
      </c>
      <c r="C451" s="299">
        <v>0</v>
      </c>
      <c r="D451" s="295"/>
      <c r="E451" s="299">
        <v>0</v>
      </c>
      <c r="F451" s="299">
        <v>0</v>
      </c>
      <c r="G451" s="295"/>
      <c r="H451" s="299">
        <f t="shared" si="30"/>
        <v>0</v>
      </c>
      <c r="I451" s="299">
        <f t="shared" si="31"/>
        <v>0</v>
      </c>
      <c r="M451" s="319">
        <f>VLOOKUP(A451,[4]Sheet1!$B:$D,2,FALSE)</f>
        <v>0</v>
      </c>
      <c r="N451" s="319">
        <f>VLOOKUP(A451,[4]Sheet1!$B:$D,3,FALSE)</f>
        <v>0</v>
      </c>
      <c r="P451" s="320">
        <f t="shared" si="28"/>
        <v>0</v>
      </c>
      <c r="Q451" s="320">
        <f t="shared" si="29"/>
        <v>0</v>
      </c>
    </row>
    <row r="452" spans="1:17" x14ac:dyDescent="0.2">
      <c r="A452" s="294" t="s">
        <v>603</v>
      </c>
      <c r="B452" s="299">
        <v>0</v>
      </c>
      <c r="C452" s="299">
        <v>0</v>
      </c>
      <c r="D452" s="295"/>
      <c r="E452" s="299">
        <v>0</v>
      </c>
      <c r="F452" s="299">
        <v>0</v>
      </c>
      <c r="G452" s="295"/>
      <c r="H452" s="299">
        <f t="shared" si="30"/>
        <v>0</v>
      </c>
      <c r="I452" s="299">
        <f t="shared" si="31"/>
        <v>0</v>
      </c>
      <c r="M452" s="319">
        <f>VLOOKUP(A452,[4]Sheet1!$B:$D,2,FALSE)</f>
        <v>0</v>
      </c>
      <c r="N452" s="319">
        <f>VLOOKUP(A452,[4]Sheet1!$B:$D,3,FALSE)</f>
        <v>0</v>
      </c>
      <c r="P452" s="320">
        <f t="shared" si="28"/>
        <v>0</v>
      </c>
      <c r="Q452" s="320">
        <f t="shared" si="29"/>
        <v>0</v>
      </c>
    </row>
    <row r="453" spans="1:17" x14ac:dyDescent="0.2">
      <c r="A453" s="294" t="s">
        <v>293</v>
      </c>
      <c r="B453" s="299">
        <v>0</v>
      </c>
      <c r="C453" s="299">
        <v>0</v>
      </c>
      <c r="D453" s="295"/>
      <c r="E453" s="299">
        <v>0</v>
      </c>
      <c r="F453" s="299">
        <v>0</v>
      </c>
      <c r="G453" s="295"/>
      <c r="H453" s="299">
        <f t="shared" si="30"/>
        <v>0</v>
      </c>
      <c r="I453" s="299">
        <f t="shared" si="31"/>
        <v>0</v>
      </c>
      <c r="M453" s="319">
        <f>VLOOKUP(A453,[4]Sheet1!$B:$D,2,FALSE)</f>
        <v>0</v>
      </c>
      <c r="N453" s="319">
        <f>VLOOKUP(A453,[4]Sheet1!$B:$D,3,FALSE)</f>
        <v>0</v>
      </c>
      <c r="P453" s="320">
        <f t="shared" si="28"/>
        <v>0</v>
      </c>
      <c r="Q453" s="320">
        <f t="shared" si="29"/>
        <v>0</v>
      </c>
    </row>
    <row r="454" spans="1:17" x14ac:dyDescent="0.2">
      <c r="A454" s="294" t="s">
        <v>212</v>
      </c>
      <c r="B454" s="299">
        <v>75853.11</v>
      </c>
      <c r="C454" s="299">
        <v>0</v>
      </c>
      <c r="D454" s="295"/>
      <c r="E454" s="299">
        <v>0</v>
      </c>
      <c r="F454" s="299">
        <v>0</v>
      </c>
      <c r="G454" s="295"/>
      <c r="H454" s="300">
        <f t="shared" si="30"/>
        <v>75853.11</v>
      </c>
      <c r="I454" s="299">
        <f t="shared" si="31"/>
        <v>0</v>
      </c>
      <c r="M454" s="319">
        <f>VLOOKUP(A454,[4]Sheet1!$B:$D,2,FALSE)</f>
        <v>75853.11</v>
      </c>
      <c r="N454" s="319">
        <f>VLOOKUP(A454,[4]Sheet1!$B:$D,3,FALSE)</f>
        <v>0</v>
      </c>
      <c r="P454" s="320">
        <f t="shared" ref="P454:P508" si="32">H454-M454</f>
        <v>0</v>
      </c>
      <c r="Q454" s="320">
        <f t="shared" ref="Q454:Q508" si="33">I454-N454</f>
        <v>0</v>
      </c>
    </row>
    <row r="455" spans="1:17" x14ac:dyDescent="0.2">
      <c r="A455" s="294" t="s">
        <v>213</v>
      </c>
      <c r="B455" s="299">
        <v>148710.70000000001</v>
      </c>
      <c r="C455" s="299">
        <v>0</v>
      </c>
      <c r="D455" s="295"/>
      <c r="E455" s="299">
        <v>0</v>
      </c>
      <c r="F455" s="299">
        <v>0</v>
      </c>
      <c r="G455" s="295"/>
      <c r="H455" s="300">
        <f t="shared" si="30"/>
        <v>148710.70000000001</v>
      </c>
      <c r="I455" s="299">
        <f t="shared" si="31"/>
        <v>0</v>
      </c>
      <c r="M455" s="319">
        <f>VLOOKUP(A455,[4]Sheet1!$B:$D,2,FALSE)</f>
        <v>148710.70000000001</v>
      </c>
      <c r="N455" s="319">
        <f>VLOOKUP(A455,[4]Sheet1!$B:$D,3,FALSE)</f>
        <v>0</v>
      </c>
      <c r="P455" s="320">
        <f t="shared" si="32"/>
        <v>0</v>
      </c>
      <c r="Q455" s="320">
        <f t="shared" si="33"/>
        <v>0</v>
      </c>
    </row>
    <row r="456" spans="1:17" x14ac:dyDescent="0.2">
      <c r="A456" s="294" t="s">
        <v>214</v>
      </c>
      <c r="B456" s="299">
        <v>0</v>
      </c>
      <c r="C456" s="299">
        <v>0</v>
      </c>
      <c r="D456" s="295"/>
      <c r="E456" s="299">
        <v>0</v>
      </c>
      <c r="F456" s="299">
        <v>0</v>
      </c>
      <c r="G456" s="295"/>
      <c r="H456" s="299">
        <f t="shared" si="30"/>
        <v>0</v>
      </c>
      <c r="I456" s="299">
        <f t="shared" si="31"/>
        <v>0</v>
      </c>
      <c r="M456" s="319">
        <f>VLOOKUP(A456,[4]Sheet1!$B:$D,2,FALSE)</f>
        <v>0</v>
      </c>
      <c r="N456" s="319">
        <f>VLOOKUP(A456,[4]Sheet1!$B:$D,3,FALSE)</f>
        <v>0</v>
      </c>
      <c r="P456" s="320">
        <f t="shared" si="32"/>
        <v>0</v>
      </c>
      <c r="Q456" s="320">
        <f t="shared" si="33"/>
        <v>0</v>
      </c>
    </row>
    <row r="457" spans="1:17" x14ac:dyDescent="0.2">
      <c r="A457" s="294" t="s">
        <v>215</v>
      </c>
      <c r="B457" s="299">
        <v>0</v>
      </c>
      <c r="C457" s="299">
        <v>18000</v>
      </c>
      <c r="D457" s="295"/>
      <c r="E457" s="299">
        <f>18000</f>
        <v>18000</v>
      </c>
      <c r="F457" s="299">
        <v>0</v>
      </c>
      <c r="G457" s="295"/>
      <c r="H457" s="299">
        <f t="shared" si="30"/>
        <v>0</v>
      </c>
      <c r="I457" s="300">
        <f>C457-E457</f>
        <v>0</v>
      </c>
      <c r="M457" s="319">
        <f>VLOOKUP(A457,[4]Sheet1!$B:$D,2,FALSE)</f>
        <v>0</v>
      </c>
      <c r="N457" s="319">
        <f>VLOOKUP(A457,[4]Sheet1!$B:$D,3,FALSE)</f>
        <v>18000</v>
      </c>
      <c r="P457" s="320">
        <f t="shared" si="32"/>
        <v>0</v>
      </c>
      <c r="Q457" s="320">
        <f t="shared" si="33"/>
        <v>-18000</v>
      </c>
    </row>
    <row r="458" spans="1:17" x14ac:dyDescent="0.2">
      <c r="A458" s="294" t="s">
        <v>216</v>
      </c>
      <c r="B458" s="299">
        <v>0</v>
      </c>
      <c r="C458" s="299">
        <v>0</v>
      </c>
      <c r="D458" s="295"/>
      <c r="E458" s="299">
        <v>0</v>
      </c>
      <c r="F458" s="299">
        <v>0</v>
      </c>
      <c r="G458" s="295"/>
      <c r="H458" s="299">
        <f t="shared" si="30"/>
        <v>0</v>
      </c>
      <c r="I458" s="299">
        <f t="shared" si="31"/>
        <v>0</v>
      </c>
      <c r="M458" s="319">
        <f>VLOOKUP(A458,[4]Sheet1!$B:$D,2,FALSE)</f>
        <v>0</v>
      </c>
      <c r="N458" s="319">
        <f>VLOOKUP(A458,[4]Sheet1!$B:$D,3,FALSE)</f>
        <v>0</v>
      </c>
      <c r="P458" s="320">
        <f t="shared" si="32"/>
        <v>0</v>
      </c>
      <c r="Q458" s="320">
        <f t="shared" si="33"/>
        <v>0</v>
      </c>
    </row>
    <row r="459" spans="1:17" x14ac:dyDescent="0.2">
      <c r="A459" s="294" t="s">
        <v>217</v>
      </c>
      <c r="B459" s="299">
        <v>0</v>
      </c>
      <c r="C459" s="299">
        <v>0</v>
      </c>
      <c r="D459" s="295"/>
      <c r="E459" s="299">
        <v>0</v>
      </c>
      <c r="F459" s="299">
        <v>0</v>
      </c>
      <c r="G459" s="295"/>
      <c r="H459" s="299">
        <f t="shared" si="30"/>
        <v>0</v>
      </c>
      <c r="I459" s="299">
        <f t="shared" si="31"/>
        <v>0</v>
      </c>
      <c r="M459" s="319">
        <f>VLOOKUP(A459,[4]Sheet1!$B:$D,2,FALSE)</f>
        <v>0</v>
      </c>
      <c r="N459" s="319">
        <f>VLOOKUP(A459,[4]Sheet1!$B:$D,3,FALSE)</f>
        <v>0</v>
      </c>
      <c r="P459" s="320">
        <f t="shared" si="32"/>
        <v>0</v>
      </c>
      <c r="Q459" s="320">
        <f t="shared" si="33"/>
        <v>0</v>
      </c>
    </row>
    <row r="460" spans="1:17" x14ac:dyDescent="0.2">
      <c r="A460" s="294" t="s">
        <v>294</v>
      </c>
      <c r="B460" s="299">
        <v>0</v>
      </c>
      <c r="C460" s="299">
        <v>0</v>
      </c>
      <c r="D460" s="295"/>
      <c r="E460" s="299">
        <v>0</v>
      </c>
      <c r="F460" s="299">
        <v>0</v>
      </c>
      <c r="G460" s="295"/>
      <c r="H460" s="299">
        <f t="shared" si="30"/>
        <v>0</v>
      </c>
      <c r="I460" s="299">
        <f t="shared" si="31"/>
        <v>0</v>
      </c>
      <c r="M460" s="319">
        <f>VLOOKUP(A460,[4]Sheet1!$B:$D,2,FALSE)</f>
        <v>0</v>
      </c>
      <c r="N460" s="319">
        <f>VLOOKUP(A460,[4]Sheet1!$B:$D,3,FALSE)</f>
        <v>0</v>
      </c>
      <c r="P460" s="320">
        <f t="shared" si="32"/>
        <v>0</v>
      </c>
      <c r="Q460" s="320">
        <f t="shared" si="33"/>
        <v>0</v>
      </c>
    </row>
    <row r="461" spans="1:17" x14ac:dyDescent="0.2">
      <c r="A461" s="294" t="s">
        <v>727</v>
      </c>
      <c r="B461" s="299">
        <v>0</v>
      </c>
      <c r="C461" s="299">
        <v>0</v>
      </c>
      <c r="D461" s="295"/>
      <c r="E461" s="299">
        <v>0</v>
      </c>
      <c r="F461" s="299">
        <v>0</v>
      </c>
      <c r="G461" s="295"/>
      <c r="H461" s="299">
        <f t="shared" si="30"/>
        <v>0</v>
      </c>
      <c r="I461" s="299">
        <f t="shared" si="31"/>
        <v>0</v>
      </c>
      <c r="M461" s="319">
        <f>VLOOKUP(A461,[4]Sheet1!$B:$D,2,FALSE)</f>
        <v>0</v>
      </c>
      <c r="N461" s="319">
        <f>VLOOKUP(A461,[4]Sheet1!$B:$D,3,FALSE)</f>
        <v>0</v>
      </c>
      <c r="P461" s="320">
        <f t="shared" si="32"/>
        <v>0</v>
      </c>
      <c r="Q461" s="320">
        <f t="shared" si="33"/>
        <v>0</v>
      </c>
    </row>
    <row r="462" spans="1:17" x14ac:dyDescent="0.2">
      <c r="A462" s="294" t="s">
        <v>728</v>
      </c>
      <c r="B462" s="299">
        <v>1472382.8</v>
      </c>
      <c r="C462" s="299">
        <v>0</v>
      </c>
      <c r="D462" s="295"/>
      <c r="E462" s="299">
        <v>0</v>
      </c>
      <c r="F462" s="299">
        <v>0</v>
      </c>
      <c r="G462" s="295"/>
      <c r="H462" s="300">
        <f t="shared" si="30"/>
        <v>1472382.8</v>
      </c>
      <c r="I462" s="299">
        <f t="shared" si="31"/>
        <v>0</v>
      </c>
      <c r="M462" s="319">
        <f>VLOOKUP(A462,[4]Sheet1!$B:$D,2,FALSE)</f>
        <v>1472382.8</v>
      </c>
      <c r="N462" s="319">
        <f>VLOOKUP(A462,[4]Sheet1!$B:$D,3,FALSE)</f>
        <v>0</v>
      </c>
      <c r="P462" s="320">
        <f t="shared" si="32"/>
        <v>0</v>
      </c>
      <c r="Q462" s="320">
        <f t="shared" si="33"/>
        <v>0</v>
      </c>
    </row>
    <row r="463" spans="1:17" x14ac:dyDescent="0.2">
      <c r="A463" s="294" t="s">
        <v>729</v>
      </c>
      <c r="B463" s="299">
        <v>200379</v>
      </c>
      <c r="C463" s="299">
        <v>0</v>
      </c>
      <c r="D463" s="295"/>
      <c r="E463" s="299">
        <v>0</v>
      </c>
      <c r="F463" s="299">
        <v>0</v>
      </c>
      <c r="G463" s="295"/>
      <c r="H463" s="300">
        <f t="shared" ref="H463:H508" si="34">B463</f>
        <v>200379</v>
      </c>
      <c r="I463" s="299">
        <f t="shared" ref="I463:I508" si="35">C463</f>
        <v>0</v>
      </c>
      <c r="M463" s="319">
        <f>VLOOKUP(A463,[4]Sheet1!$B:$D,2,FALSE)</f>
        <v>200379</v>
      </c>
      <c r="N463" s="319">
        <f>VLOOKUP(A463,[4]Sheet1!$B:$D,3,FALSE)</f>
        <v>0</v>
      </c>
      <c r="P463" s="320">
        <f t="shared" si="32"/>
        <v>0</v>
      </c>
      <c r="Q463" s="320">
        <f t="shared" si="33"/>
        <v>0</v>
      </c>
    </row>
    <row r="464" spans="1:17" x14ac:dyDescent="0.2">
      <c r="A464" s="294" t="s">
        <v>481</v>
      </c>
      <c r="B464" s="299">
        <v>0</v>
      </c>
      <c r="C464" s="299">
        <v>0</v>
      </c>
      <c r="D464" s="295"/>
      <c r="E464" s="299">
        <v>0</v>
      </c>
      <c r="F464" s="299">
        <v>0</v>
      </c>
      <c r="G464" s="295"/>
      <c r="H464" s="299">
        <f t="shared" si="34"/>
        <v>0</v>
      </c>
      <c r="I464" s="299">
        <f t="shared" si="35"/>
        <v>0</v>
      </c>
      <c r="M464" s="319">
        <f>VLOOKUP(A464,[4]Sheet1!$B:$D,2,FALSE)</f>
        <v>0</v>
      </c>
      <c r="N464" s="319">
        <f>VLOOKUP(A464,[4]Sheet1!$B:$D,3,FALSE)</f>
        <v>0</v>
      </c>
      <c r="P464" s="320">
        <f t="shared" si="32"/>
        <v>0</v>
      </c>
      <c r="Q464" s="320">
        <f t="shared" si="33"/>
        <v>0</v>
      </c>
    </row>
    <row r="465" spans="1:17" x14ac:dyDescent="0.2">
      <c r="A465" s="294" t="s">
        <v>218</v>
      </c>
      <c r="B465" s="299">
        <v>0</v>
      </c>
      <c r="C465" s="299">
        <v>0</v>
      </c>
      <c r="D465" s="295"/>
      <c r="E465" s="299">
        <v>0</v>
      </c>
      <c r="F465" s="299">
        <v>0</v>
      </c>
      <c r="G465" s="295"/>
      <c r="H465" s="299">
        <f t="shared" si="34"/>
        <v>0</v>
      </c>
      <c r="I465" s="299">
        <f t="shared" si="35"/>
        <v>0</v>
      </c>
      <c r="M465" s="319">
        <f>VLOOKUP(A465,[4]Sheet1!$B:$D,2,FALSE)</f>
        <v>0</v>
      </c>
      <c r="N465" s="319">
        <f>VLOOKUP(A465,[4]Sheet1!$B:$D,3,FALSE)</f>
        <v>0</v>
      </c>
      <c r="P465" s="320">
        <f t="shared" si="32"/>
        <v>0</v>
      </c>
      <c r="Q465" s="320">
        <f t="shared" si="33"/>
        <v>0</v>
      </c>
    </row>
    <row r="466" spans="1:17" x14ac:dyDescent="0.2">
      <c r="A466" s="294" t="s">
        <v>219</v>
      </c>
      <c r="B466" s="299">
        <v>0</v>
      </c>
      <c r="C466" s="299">
        <v>0</v>
      </c>
      <c r="D466" s="295"/>
      <c r="E466" s="299">
        <v>0</v>
      </c>
      <c r="F466" s="299">
        <v>0</v>
      </c>
      <c r="G466" s="295"/>
      <c r="H466" s="299">
        <f t="shared" si="34"/>
        <v>0</v>
      </c>
      <c r="I466" s="299">
        <f t="shared" si="35"/>
        <v>0</v>
      </c>
      <c r="M466" s="319">
        <f>VLOOKUP(A466,[4]Sheet1!$B:$D,2,FALSE)</f>
        <v>0</v>
      </c>
      <c r="N466" s="319">
        <f>VLOOKUP(A466,[4]Sheet1!$B:$D,3,FALSE)</f>
        <v>0</v>
      </c>
      <c r="P466" s="320">
        <f t="shared" si="32"/>
        <v>0</v>
      </c>
      <c r="Q466" s="320">
        <f t="shared" si="33"/>
        <v>0</v>
      </c>
    </row>
    <row r="467" spans="1:17" x14ac:dyDescent="0.2">
      <c r="A467" s="294" t="s">
        <v>220</v>
      </c>
      <c r="B467" s="299">
        <v>0</v>
      </c>
      <c r="C467" s="299">
        <v>0</v>
      </c>
      <c r="D467" s="295"/>
      <c r="E467" s="299">
        <v>0</v>
      </c>
      <c r="F467" s="299">
        <v>0</v>
      </c>
      <c r="G467" s="295"/>
      <c r="H467" s="299">
        <f t="shared" si="34"/>
        <v>0</v>
      </c>
      <c r="I467" s="299">
        <f t="shared" si="35"/>
        <v>0</v>
      </c>
      <c r="M467" s="319">
        <f>VLOOKUP(A467,[4]Sheet1!$B:$D,2,FALSE)</f>
        <v>0</v>
      </c>
      <c r="N467" s="319">
        <f>VLOOKUP(A467,[4]Sheet1!$B:$D,3,FALSE)</f>
        <v>0</v>
      </c>
      <c r="P467" s="320">
        <f t="shared" si="32"/>
        <v>0</v>
      </c>
      <c r="Q467" s="320">
        <f t="shared" si="33"/>
        <v>0</v>
      </c>
    </row>
    <row r="468" spans="1:17" x14ac:dyDescent="0.2">
      <c r="A468" s="294" t="s">
        <v>221</v>
      </c>
      <c r="B468" s="299">
        <v>0</v>
      </c>
      <c r="C468" s="299">
        <v>0</v>
      </c>
      <c r="D468" s="295"/>
      <c r="E468" s="299">
        <v>0</v>
      </c>
      <c r="F468" s="299">
        <v>0</v>
      </c>
      <c r="G468" s="295"/>
      <c r="H468" s="299">
        <f t="shared" si="34"/>
        <v>0</v>
      </c>
      <c r="I468" s="299">
        <f t="shared" si="35"/>
        <v>0</v>
      </c>
      <c r="M468" s="319">
        <f>VLOOKUP(A468,[4]Sheet1!$B:$D,2,FALSE)</f>
        <v>0</v>
      </c>
      <c r="N468" s="319">
        <f>VLOOKUP(A468,[4]Sheet1!$B:$D,3,FALSE)</f>
        <v>0</v>
      </c>
      <c r="P468" s="320">
        <f t="shared" si="32"/>
        <v>0</v>
      </c>
      <c r="Q468" s="320">
        <f t="shared" si="33"/>
        <v>0</v>
      </c>
    </row>
    <row r="469" spans="1:17" x14ac:dyDescent="0.2">
      <c r="A469" s="294" t="s">
        <v>222</v>
      </c>
      <c r="B469" s="299">
        <v>0</v>
      </c>
      <c r="C469" s="299">
        <v>0</v>
      </c>
      <c r="D469" s="295"/>
      <c r="E469" s="299">
        <v>0</v>
      </c>
      <c r="F469" s="299">
        <v>0</v>
      </c>
      <c r="G469" s="295"/>
      <c r="H469" s="299">
        <f t="shared" si="34"/>
        <v>0</v>
      </c>
      <c r="I469" s="299">
        <f t="shared" si="35"/>
        <v>0</v>
      </c>
      <c r="M469" s="319">
        <f>VLOOKUP(A469,[4]Sheet1!$B:$D,2,FALSE)</f>
        <v>0</v>
      </c>
      <c r="N469" s="319">
        <f>VLOOKUP(A469,[4]Sheet1!$B:$D,3,FALSE)</f>
        <v>0</v>
      </c>
      <c r="P469" s="320">
        <f t="shared" si="32"/>
        <v>0</v>
      </c>
      <c r="Q469" s="320">
        <f t="shared" si="33"/>
        <v>0</v>
      </c>
    </row>
    <row r="470" spans="1:17" x14ac:dyDescent="0.2">
      <c r="A470" s="294" t="s">
        <v>223</v>
      </c>
      <c r="B470" s="299">
        <v>0</v>
      </c>
      <c r="C470" s="299">
        <v>0</v>
      </c>
      <c r="D470" s="295"/>
      <c r="E470" s="299">
        <v>0</v>
      </c>
      <c r="F470" s="299">
        <v>0</v>
      </c>
      <c r="G470" s="295"/>
      <c r="H470" s="299">
        <f t="shared" si="34"/>
        <v>0</v>
      </c>
      <c r="I470" s="299">
        <f t="shared" si="35"/>
        <v>0</v>
      </c>
      <c r="M470" s="319">
        <f>VLOOKUP(A470,[4]Sheet1!$B:$D,2,FALSE)</f>
        <v>0</v>
      </c>
      <c r="N470" s="319">
        <f>VLOOKUP(A470,[4]Sheet1!$B:$D,3,FALSE)</f>
        <v>0</v>
      </c>
      <c r="P470" s="320">
        <f t="shared" si="32"/>
        <v>0</v>
      </c>
      <c r="Q470" s="320">
        <f t="shared" si="33"/>
        <v>0</v>
      </c>
    </row>
    <row r="471" spans="1:17" x14ac:dyDescent="0.2">
      <c r="A471" s="294" t="s">
        <v>604</v>
      </c>
      <c r="B471" s="299">
        <v>0</v>
      </c>
      <c r="C471" s="299">
        <v>0</v>
      </c>
      <c r="D471" s="295"/>
      <c r="E471" s="299">
        <v>0</v>
      </c>
      <c r="F471" s="299">
        <v>0</v>
      </c>
      <c r="G471" s="295"/>
      <c r="H471" s="299">
        <f t="shared" si="34"/>
        <v>0</v>
      </c>
      <c r="I471" s="299">
        <f t="shared" si="35"/>
        <v>0</v>
      </c>
      <c r="M471" s="319">
        <f>VLOOKUP(A471,[4]Sheet1!$B:$D,2,FALSE)</f>
        <v>0</v>
      </c>
      <c r="N471" s="319">
        <f>VLOOKUP(A471,[4]Sheet1!$B:$D,3,FALSE)</f>
        <v>0</v>
      </c>
      <c r="P471" s="320">
        <f t="shared" si="32"/>
        <v>0</v>
      </c>
      <c r="Q471" s="320">
        <f t="shared" si="33"/>
        <v>0</v>
      </c>
    </row>
    <row r="472" spans="1:17" x14ac:dyDescent="0.2">
      <c r="A472" s="294" t="s">
        <v>730</v>
      </c>
      <c r="B472" s="299">
        <v>0</v>
      </c>
      <c r="C472" s="299">
        <v>0</v>
      </c>
      <c r="D472" s="295"/>
      <c r="E472" s="299">
        <v>0</v>
      </c>
      <c r="F472" s="299">
        <v>0</v>
      </c>
      <c r="G472" s="295"/>
      <c r="H472" s="299">
        <f t="shared" si="34"/>
        <v>0</v>
      </c>
      <c r="I472" s="299">
        <f t="shared" si="35"/>
        <v>0</v>
      </c>
      <c r="M472" s="319">
        <f>VLOOKUP(A472,[4]Sheet1!$B:$D,2,FALSE)</f>
        <v>0</v>
      </c>
      <c r="N472" s="319">
        <f>VLOOKUP(A472,[4]Sheet1!$B:$D,3,FALSE)</f>
        <v>0</v>
      </c>
      <c r="P472" s="320">
        <f t="shared" si="32"/>
        <v>0</v>
      </c>
      <c r="Q472" s="320">
        <f t="shared" si="33"/>
        <v>0</v>
      </c>
    </row>
    <row r="473" spans="1:17" x14ac:dyDescent="0.2">
      <c r="A473" s="294" t="s">
        <v>224</v>
      </c>
      <c r="B473" s="299">
        <v>0</v>
      </c>
      <c r="C473" s="299">
        <v>0</v>
      </c>
      <c r="D473" s="295"/>
      <c r="E473" s="299">
        <v>0</v>
      </c>
      <c r="F473" s="299">
        <v>0</v>
      </c>
      <c r="G473" s="295"/>
      <c r="H473" s="299">
        <f t="shared" si="34"/>
        <v>0</v>
      </c>
      <c r="I473" s="299">
        <f t="shared" si="35"/>
        <v>0</v>
      </c>
      <c r="M473" s="319">
        <f>VLOOKUP(A473,[4]Sheet1!$B:$D,2,FALSE)</f>
        <v>0</v>
      </c>
      <c r="N473" s="319">
        <f>VLOOKUP(A473,[4]Sheet1!$B:$D,3,FALSE)</f>
        <v>0</v>
      </c>
      <c r="P473" s="320">
        <f t="shared" si="32"/>
        <v>0</v>
      </c>
      <c r="Q473" s="320">
        <f t="shared" si="33"/>
        <v>0</v>
      </c>
    </row>
    <row r="474" spans="1:17" x14ac:dyDescent="0.2">
      <c r="A474" s="294" t="s">
        <v>225</v>
      </c>
      <c r="B474" s="299">
        <v>0</v>
      </c>
      <c r="C474" s="299">
        <v>0</v>
      </c>
      <c r="D474" s="295"/>
      <c r="E474" s="299">
        <v>0</v>
      </c>
      <c r="F474" s="299">
        <v>0</v>
      </c>
      <c r="G474" s="295"/>
      <c r="H474" s="299">
        <f t="shared" si="34"/>
        <v>0</v>
      </c>
      <c r="I474" s="299">
        <f t="shared" si="35"/>
        <v>0</v>
      </c>
      <c r="M474" s="319">
        <f>VLOOKUP(A474,[4]Sheet1!$B:$D,2,FALSE)</f>
        <v>0</v>
      </c>
      <c r="N474" s="319">
        <f>VLOOKUP(A474,[4]Sheet1!$B:$D,3,FALSE)</f>
        <v>0</v>
      </c>
      <c r="P474" s="320">
        <f t="shared" si="32"/>
        <v>0</v>
      </c>
      <c r="Q474" s="320">
        <f t="shared" si="33"/>
        <v>0</v>
      </c>
    </row>
    <row r="475" spans="1:17" x14ac:dyDescent="0.2">
      <c r="A475" s="294" t="s">
        <v>226</v>
      </c>
      <c r="B475" s="299">
        <v>0</v>
      </c>
      <c r="C475" s="299">
        <v>0</v>
      </c>
      <c r="D475" s="295"/>
      <c r="E475" s="299">
        <v>0</v>
      </c>
      <c r="F475" s="299">
        <v>0</v>
      </c>
      <c r="G475" s="295"/>
      <c r="H475" s="299">
        <f t="shared" si="34"/>
        <v>0</v>
      </c>
      <c r="I475" s="299">
        <f t="shared" si="35"/>
        <v>0</v>
      </c>
      <c r="M475" s="319">
        <f>VLOOKUP(A475,[4]Sheet1!$B:$D,2,FALSE)</f>
        <v>0</v>
      </c>
      <c r="N475" s="319">
        <f>VLOOKUP(A475,[4]Sheet1!$B:$D,3,FALSE)</f>
        <v>0</v>
      </c>
      <c r="P475" s="320">
        <f t="shared" si="32"/>
        <v>0</v>
      </c>
      <c r="Q475" s="320">
        <f t="shared" si="33"/>
        <v>0</v>
      </c>
    </row>
    <row r="476" spans="1:17" x14ac:dyDescent="0.2">
      <c r="A476" s="294" t="s">
        <v>227</v>
      </c>
      <c r="B476" s="299">
        <v>0</v>
      </c>
      <c r="C476" s="299">
        <v>0</v>
      </c>
      <c r="D476" s="295"/>
      <c r="E476" s="299">
        <v>0</v>
      </c>
      <c r="F476" s="299">
        <v>0</v>
      </c>
      <c r="G476" s="295"/>
      <c r="H476" s="299">
        <f t="shared" si="34"/>
        <v>0</v>
      </c>
      <c r="I476" s="299">
        <f t="shared" si="35"/>
        <v>0</v>
      </c>
      <c r="M476" s="319">
        <f>VLOOKUP(A476,[4]Sheet1!$B:$D,2,FALSE)</f>
        <v>0</v>
      </c>
      <c r="N476" s="319">
        <f>VLOOKUP(A476,[4]Sheet1!$B:$D,3,FALSE)</f>
        <v>0</v>
      </c>
      <c r="P476" s="320">
        <f t="shared" si="32"/>
        <v>0</v>
      </c>
      <c r="Q476" s="320">
        <f t="shared" si="33"/>
        <v>0</v>
      </c>
    </row>
    <row r="477" spans="1:17" x14ac:dyDescent="0.2">
      <c r="A477" s="294" t="s">
        <v>731</v>
      </c>
      <c r="B477" s="299">
        <v>0</v>
      </c>
      <c r="C477" s="299">
        <v>0</v>
      </c>
      <c r="D477" s="295"/>
      <c r="E477" s="299">
        <v>0</v>
      </c>
      <c r="F477" s="299">
        <v>0</v>
      </c>
      <c r="G477" s="295"/>
      <c r="H477" s="299">
        <f t="shared" si="34"/>
        <v>0</v>
      </c>
      <c r="I477" s="299">
        <f t="shared" si="35"/>
        <v>0</v>
      </c>
      <c r="M477" s="319">
        <f>VLOOKUP(A477,[4]Sheet1!$B:$D,2,FALSE)</f>
        <v>0</v>
      </c>
      <c r="N477" s="319">
        <f>VLOOKUP(A477,[4]Sheet1!$B:$D,3,FALSE)</f>
        <v>0</v>
      </c>
      <c r="P477" s="320">
        <f t="shared" si="32"/>
        <v>0</v>
      </c>
      <c r="Q477" s="320">
        <f t="shared" si="33"/>
        <v>0</v>
      </c>
    </row>
    <row r="478" spans="1:17" x14ac:dyDescent="0.2">
      <c r="A478" s="294" t="s">
        <v>732</v>
      </c>
      <c r="B478" s="299">
        <v>0</v>
      </c>
      <c r="C478" s="299">
        <v>0</v>
      </c>
      <c r="D478" s="295"/>
      <c r="E478" s="299">
        <v>0</v>
      </c>
      <c r="F478" s="299">
        <v>0</v>
      </c>
      <c r="G478" s="295"/>
      <c r="H478" s="299">
        <f t="shared" si="34"/>
        <v>0</v>
      </c>
      <c r="I478" s="299">
        <f t="shared" si="35"/>
        <v>0</v>
      </c>
      <c r="M478" s="319">
        <f>VLOOKUP(A478,[4]Sheet1!$B:$D,2,FALSE)</f>
        <v>0</v>
      </c>
      <c r="N478" s="319">
        <f>VLOOKUP(A478,[4]Sheet1!$B:$D,3,FALSE)</f>
        <v>0</v>
      </c>
      <c r="P478" s="320">
        <f t="shared" si="32"/>
        <v>0</v>
      </c>
      <c r="Q478" s="320">
        <f t="shared" si="33"/>
        <v>0</v>
      </c>
    </row>
    <row r="479" spans="1:17" x14ac:dyDescent="0.2">
      <c r="A479" s="294" t="s">
        <v>228</v>
      </c>
      <c r="B479" s="299">
        <v>0</v>
      </c>
      <c r="C479" s="299">
        <v>0</v>
      </c>
      <c r="D479" s="295"/>
      <c r="E479" s="299">
        <v>0</v>
      </c>
      <c r="F479" s="299">
        <v>0</v>
      </c>
      <c r="G479" s="295"/>
      <c r="H479" s="299">
        <f t="shared" si="34"/>
        <v>0</v>
      </c>
      <c r="I479" s="299">
        <f t="shared" si="35"/>
        <v>0</v>
      </c>
      <c r="M479" s="319">
        <f>VLOOKUP(A479,[4]Sheet1!$B:$D,2,FALSE)</f>
        <v>0</v>
      </c>
      <c r="N479" s="319">
        <f>VLOOKUP(A479,[4]Sheet1!$B:$D,3,FALSE)</f>
        <v>0</v>
      </c>
      <c r="P479" s="320">
        <f t="shared" si="32"/>
        <v>0</v>
      </c>
      <c r="Q479" s="320">
        <f t="shared" si="33"/>
        <v>0</v>
      </c>
    </row>
    <row r="480" spans="1:17" x14ac:dyDescent="0.2">
      <c r="A480" s="294" t="s">
        <v>229</v>
      </c>
      <c r="B480" s="299">
        <v>0</v>
      </c>
      <c r="C480" s="299">
        <v>0</v>
      </c>
      <c r="D480" s="295"/>
      <c r="E480" s="299">
        <v>0</v>
      </c>
      <c r="F480" s="299">
        <v>0</v>
      </c>
      <c r="G480" s="295"/>
      <c r="H480" s="299">
        <f t="shared" si="34"/>
        <v>0</v>
      </c>
      <c r="I480" s="299">
        <f t="shared" si="35"/>
        <v>0</v>
      </c>
      <c r="M480" s="319">
        <f>VLOOKUP(A480,[4]Sheet1!$B:$D,2,FALSE)</f>
        <v>0</v>
      </c>
      <c r="N480" s="319">
        <f>VLOOKUP(A480,[4]Sheet1!$B:$D,3,FALSE)</f>
        <v>0</v>
      </c>
      <c r="P480" s="320">
        <f t="shared" si="32"/>
        <v>0</v>
      </c>
      <c r="Q480" s="320">
        <f t="shared" si="33"/>
        <v>0</v>
      </c>
    </row>
    <row r="481" spans="1:17" x14ac:dyDescent="0.2">
      <c r="A481" s="294" t="s">
        <v>733</v>
      </c>
      <c r="B481" s="299">
        <v>0</v>
      </c>
      <c r="C481" s="299">
        <v>0</v>
      </c>
      <c r="D481" s="295"/>
      <c r="E481" s="299">
        <v>0</v>
      </c>
      <c r="F481" s="299">
        <v>0</v>
      </c>
      <c r="G481" s="295"/>
      <c r="H481" s="299">
        <f t="shared" si="34"/>
        <v>0</v>
      </c>
      <c r="I481" s="299">
        <f t="shared" si="35"/>
        <v>0</v>
      </c>
      <c r="M481" s="319">
        <f>VLOOKUP(A481,[4]Sheet1!$B:$D,2,FALSE)</f>
        <v>0</v>
      </c>
      <c r="N481" s="319">
        <f>VLOOKUP(A481,[4]Sheet1!$B:$D,3,FALSE)</f>
        <v>0</v>
      </c>
      <c r="P481" s="320">
        <f t="shared" si="32"/>
        <v>0</v>
      </c>
      <c r="Q481" s="320">
        <f t="shared" si="33"/>
        <v>0</v>
      </c>
    </row>
    <row r="482" spans="1:17" x14ac:dyDescent="0.2">
      <c r="A482" s="294" t="s">
        <v>230</v>
      </c>
      <c r="B482" s="299">
        <v>0</v>
      </c>
      <c r="C482" s="299">
        <v>0</v>
      </c>
      <c r="D482" s="295"/>
      <c r="E482" s="299">
        <v>0</v>
      </c>
      <c r="F482" s="299">
        <v>0</v>
      </c>
      <c r="G482" s="295"/>
      <c r="H482" s="299">
        <f t="shared" si="34"/>
        <v>0</v>
      </c>
      <c r="I482" s="299">
        <f t="shared" si="35"/>
        <v>0</v>
      </c>
      <c r="M482" s="319">
        <f>VLOOKUP(A482,[4]Sheet1!$B:$D,2,FALSE)</f>
        <v>0</v>
      </c>
      <c r="N482" s="319">
        <f>VLOOKUP(A482,[4]Sheet1!$B:$D,3,FALSE)</f>
        <v>0</v>
      </c>
      <c r="P482" s="320">
        <f t="shared" si="32"/>
        <v>0</v>
      </c>
      <c r="Q482" s="320">
        <f t="shared" si="33"/>
        <v>0</v>
      </c>
    </row>
    <row r="483" spans="1:17" x14ac:dyDescent="0.2">
      <c r="A483" s="294" t="s">
        <v>295</v>
      </c>
      <c r="B483" s="299">
        <v>0</v>
      </c>
      <c r="C483" s="299">
        <v>0</v>
      </c>
      <c r="D483" s="295"/>
      <c r="E483" s="299">
        <v>0</v>
      </c>
      <c r="F483" s="299">
        <v>0</v>
      </c>
      <c r="G483" s="295"/>
      <c r="H483" s="299">
        <f t="shared" si="34"/>
        <v>0</v>
      </c>
      <c r="I483" s="299">
        <f t="shared" si="35"/>
        <v>0</v>
      </c>
      <c r="M483" s="319">
        <f>VLOOKUP(A483,[4]Sheet1!$B:$D,2,FALSE)</f>
        <v>0</v>
      </c>
      <c r="N483" s="319">
        <f>VLOOKUP(A483,[4]Sheet1!$B:$D,3,FALSE)</f>
        <v>0</v>
      </c>
      <c r="P483" s="320">
        <f t="shared" si="32"/>
        <v>0</v>
      </c>
      <c r="Q483" s="320">
        <f t="shared" si="33"/>
        <v>0</v>
      </c>
    </row>
    <row r="484" spans="1:17" x14ac:dyDescent="0.2">
      <c r="A484" s="294" t="s">
        <v>734</v>
      </c>
      <c r="B484" s="299">
        <v>1625</v>
      </c>
      <c r="C484" s="299">
        <v>0</v>
      </c>
      <c r="D484" s="295"/>
      <c r="E484" s="299">
        <v>0</v>
      </c>
      <c r="F484" s="299">
        <v>0</v>
      </c>
      <c r="G484" s="295"/>
      <c r="H484" s="300">
        <f t="shared" si="34"/>
        <v>1625</v>
      </c>
      <c r="I484" s="299">
        <f t="shared" si="35"/>
        <v>0</v>
      </c>
      <c r="M484" s="319">
        <f>VLOOKUP(A484,[4]Sheet1!$B:$D,2,FALSE)</f>
        <v>1625</v>
      </c>
      <c r="N484" s="319">
        <f>VLOOKUP(A484,[4]Sheet1!$B:$D,3,FALSE)</f>
        <v>0</v>
      </c>
      <c r="P484" s="320">
        <f t="shared" si="32"/>
        <v>0</v>
      </c>
      <c r="Q484" s="320">
        <f t="shared" si="33"/>
        <v>0</v>
      </c>
    </row>
    <row r="485" spans="1:17" x14ac:dyDescent="0.2">
      <c r="A485" s="294" t="s">
        <v>735</v>
      </c>
      <c r="B485" s="299">
        <v>0</v>
      </c>
      <c r="C485" s="299">
        <v>0</v>
      </c>
      <c r="D485" s="295"/>
      <c r="E485" s="299">
        <v>0</v>
      </c>
      <c r="F485" s="299">
        <v>0</v>
      </c>
      <c r="G485" s="295"/>
      <c r="H485" s="299">
        <f t="shared" si="34"/>
        <v>0</v>
      </c>
      <c r="I485" s="299">
        <f t="shared" si="35"/>
        <v>0</v>
      </c>
      <c r="M485" s="319">
        <f>VLOOKUP(A485,[4]Sheet1!$B:$D,2,FALSE)</f>
        <v>0</v>
      </c>
      <c r="N485" s="319">
        <f>VLOOKUP(A485,[4]Sheet1!$B:$D,3,FALSE)</f>
        <v>0</v>
      </c>
      <c r="P485" s="320">
        <f t="shared" si="32"/>
        <v>0</v>
      </c>
      <c r="Q485" s="320">
        <f t="shared" si="33"/>
        <v>0</v>
      </c>
    </row>
    <row r="486" spans="1:17" x14ac:dyDescent="0.2">
      <c r="A486" s="294" t="s">
        <v>736</v>
      </c>
      <c r="B486" s="299">
        <v>0</v>
      </c>
      <c r="C486" s="299">
        <v>0</v>
      </c>
      <c r="D486" s="295"/>
      <c r="E486" s="299">
        <v>0</v>
      </c>
      <c r="F486" s="299">
        <v>0</v>
      </c>
      <c r="G486" s="295"/>
      <c r="H486" s="299">
        <f t="shared" si="34"/>
        <v>0</v>
      </c>
      <c r="I486" s="299">
        <f t="shared" si="35"/>
        <v>0</v>
      </c>
      <c r="M486" s="319">
        <f>VLOOKUP(A486,[4]Sheet1!$B:$D,2,FALSE)</f>
        <v>0</v>
      </c>
      <c r="N486" s="319">
        <f>VLOOKUP(A486,[4]Sheet1!$B:$D,3,FALSE)</f>
        <v>0</v>
      </c>
      <c r="P486" s="320">
        <f t="shared" si="32"/>
        <v>0</v>
      </c>
      <c r="Q486" s="320">
        <f t="shared" si="33"/>
        <v>0</v>
      </c>
    </row>
    <row r="487" spans="1:17" x14ac:dyDescent="0.2">
      <c r="A487" s="294" t="s">
        <v>737</v>
      </c>
      <c r="B487" s="299">
        <v>0</v>
      </c>
      <c r="C487" s="299">
        <v>1625</v>
      </c>
      <c r="D487" s="295"/>
      <c r="E487" s="299">
        <v>0</v>
      </c>
      <c r="F487" s="299">
        <v>0</v>
      </c>
      <c r="G487" s="295"/>
      <c r="H487" s="299">
        <f t="shared" si="34"/>
        <v>0</v>
      </c>
      <c r="I487" s="300">
        <f t="shared" si="35"/>
        <v>1625</v>
      </c>
      <c r="M487" s="319">
        <f>VLOOKUP(A487,[4]Sheet1!$B:$D,2,FALSE)</f>
        <v>0</v>
      </c>
      <c r="N487" s="319">
        <f>VLOOKUP(A487,[4]Sheet1!$B:$D,3,FALSE)</f>
        <v>1625</v>
      </c>
      <c r="P487" s="320">
        <f t="shared" si="32"/>
        <v>0</v>
      </c>
      <c r="Q487" s="320">
        <f t="shared" si="33"/>
        <v>0</v>
      </c>
    </row>
    <row r="488" spans="1:17" x14ac:dyDescent="0.2">
      <c r="A488" s="316" t="s">
        <v>231</v>
      </c>
      <c r="B488" s="299">
        <v>1795263.72</v>
      </c>
      <c r="C488" s="299">
        <v>0</v>
      </c>
      <c r="D488" s="295"/>
      <c r="E488" s="299">
        <v>0</v>
      </c>
      <c r="F488" s="299">
        <v>0</v>
      </c>
      <c r="G488" s="295"/>
      <c r="H488" s="300">
        <f t="shared" si="34"/>
        <v>1795263.72</v>
      </c>
      <c r="I488" s="299">
        <f t="shared" si="35"/>
        <v>0</v>
      </c>
      <c r="M488" s="319">
        <f>VLOOKUP(A488,[4]Sheet1!$B:$D,2,FALSE)</f>
        <v>1795263.72</v>
      </c>
      <c r="N488" s="319">
        <f>VLOOKUP(A488,[4]Sheet1!$B:$D,3,FALSE)</f>
        <v>0</v>
      </c>
      <c r="P488" s="320">
        <f t="shared" si="32"/>
        <v>0</v>
      </c>
      <c r="Q488" s="320">
        <f t="shared" si="33"/>
        <v>0</v>
      </c>
    </row>
    <row r="489" spans="1:17" x14ac:dyDescent="0.2">
      <c r="A489" s="316" t="s">
        <v>232</v>
      </c>
      <c r="B489" s="299">
        <v>2225655.12</v>
      </c>
      <c r="C489" s="299">
        <v>0</v>
      </c>
      <c r="D489" s="295"/>
      <c r="E489" s="299">
        <v>0</v>
      </c>
      <c r="F489" s="299">
        <v>0</v>
      </c>
      <c r="G489" s="295"/>
      <c r="H489" s="300">
        <f t="shared" si="34"/>
        <v>2225655.12</v>
      </c>
      <c r="I489" s="299">
        <f t="shared" si="35"/>
        <v>0</v>
      </c>
      <c r="M489" s="319">
        <f>VLOOKUP(A489,[4]Sheet1!$B:$D,2,FALSE)</f>
        <v>2225655.12</v>
      </c>
      <c r="N489" s="319">
        <f>VLOOKUP(A489,[4]Sheet1!$B:$D,3,FALSE)</f>
        <v>0</v>
      </c>
      <c r="P489" s="320">
        <f t="shared" si="32"/>
        <v>0</v>
      </c>
      <c r="Q489" s="320">
        <f t="shared" si="33"/>
        <v>0</v>
      </c>
    </row>
    <row r="490" spans="1:17" x14ac:dyDescent="0.2">
      <c r="A490" s="316" t="s">
        <v>233</v>
      </c>
      <c r="B490" s="299">
        <v>428772.92</v>
      </c>
      <c r="C490" s="299">
        <v>0</v>
      </c>
      <c r="D490" s="295"/>
      <c r="E490" s="299">
        <v>0</v>
      </c>
      <c r="F490" s="299">
        <v>0</v>
      </c>
      <c r="G490" s="295"/>
      <c r="H490" s="300">
        <f t="shared" si="34"/>
        <v>428772.92</v>
      </c>
      <c r="I490" s="299">
        <f t="shared" si="35"/>
        <v>0</v>
      </c>
      <c r="M490" s="319">
        <f>VLOOKUP(A490,[4]Sheet1!$B:$D,2,FALSE)</f>
        <v>428772.92</v>
      </c>
      <c r="N490" s="319">
        <f>VLOOKUP(A490,[4]Sheet1!$B:$D,3,FALSE)</f>
        <v>0</v>
      </c>
      <c r="P490" s="320">
        <f t="shared" si="32"/>
        <v>0</v>
      </c>
      <c r="Q490" s="320">
        <f t="shared" si="33"/>
        <v>0</v>
      </c>
    </row>
    <row r="491" spans="1:17" x14ac:dyDescent="0.2">
      <c r="A491" s="316" t="s">
        <v>234</v>
      </c>
      <c r="B491" s="299">
        <v>575248.17000000004</v>
      </c>
      <c r="C491" s="299">
        <v>0</v>
      </c>
      <c r="D491" s="295"/>
      <c r="E491" s="299">
        <v>0</v>
      </c>
      <c r="F491" s="299">
        <v>0</v>
      </c>
      <c r="G491" s="295"/>
      <c r="H491" s="300">
        <f t="shared" si="34"/>
        <v>575248.17000000004</v>
      </c>
      <c r="I491" s="299">
        <f t="shared" si="35"/>
        <v>0</v>
      </c>
      <c r="M491" s="319">
        <f>VLOOKUP(A491,[4]Sheet1!$B:$D,2,FALSE)</f>
        <v>575248.17000000004</v>
      </c>
      <c r="N491" s="319">
        <f>VLOOKUP(A491,[4]Sheet1!$B:$D,3,FALSE)</f>
        <v>0</v>
      </c>
      <c r="P491" s="320">
        <f t="shared" si="32"/>
        <v>0</v>
      </c>
      <c r="Q491" s="320">
        <f t="shared" si="33"/>
        <v>0</v>
      </c>
    </row>
    <row r="492" spans="1:17" x14ac:dyDescent="0.2">
      <c r="A492" s="294" t="s">
        <v>235</v>
      </c>
      <c r="B492" s="299">
        <v>0</v>
      </c>
      <c r="C492" s="299">
        <v>0</v>
      </c>
      <c r="D492" s="295"/>
      <c r="E492" s="299">
        <v>0</v>
      </c>
      <c r="F492" s="299">
        <v>0</v>
      </c>
      <c r="G492" s="295"/>
      <c r="H492" s="299">
        <f t="shared" si="34"/>
        <v>0</v>
      </c>
      <c r="I492" s="299">
        <f t="shared" si="35"/>
        <v>0</v>
      </c>
      <c r="M492" s="319">
        <f>VLOOKUP(A492,[4]Sheet1!$B:$D,2,FALSE)</f>
        <v>0</v>
      </c>
      <c r="N492" s="319">
        <f>VLOOKUP(A492,[4]Sheet1!$B:$D,3,FALSE)</f>
        <v>0</v>
      </c>
      <c r="P492" s="320">
        <f t="shared" si="32"/>
        <v>0</v>
      </c>
      <c r="Q492" s="320">
        <f t="shared" si="33"/>
        <v>0</v>
      </c>
    </row>
    <row r="493" spans="1:17" x14ac:dyDescent="0.2">
      <c r="A493" s="294" t="s">
        <v>236</v>
      </c>
      <c r="B493" s="299">
        <v>5020.3500000000004</v>
      </c>
      <c r="C493" s="299">
        <v>0</v>
      </c>
      <c r="D493" s="295"/>
      <c r="E493" s="299">
        <v>0</v>
      </c>
      <c r="F493" s="299">
        <v>0</v>
      </c>
      <c r="G493" s="295"/>
      <c r="H493" s="300">
        <f t="shared" si="34"/>
        <v>5020.3500000000004</v>
      </c>
      <c r="I493" s="299">
        <f t="shared" si="35"/>
        <v>0</v>
      </c>
      <c r="M493" s="319">
        <f>VLOOKUP(A493,[4]Sheet1!$B:$D,2,FALSE)</f>
        <v>5020.3500000000004</v>
      </c>
      <c r="N493" s="319">
        <f>VLOOKUP(A493,[4]Sheet1!$B:$D,3,FALSE)</f>
        <v>0</v>
      </c>
      <c r="P493" s="320">
        <f t="shared" si="32"/>
        <v>0</v>
      </c>
      <c r="Q493" s="320">
        <f t="shared" si="33"/>
        <v>0</v>
      </c>
    </row>
    <row r="494" spans="1:17" x14ac:dyDescent="0.2">
      <c r="A494" s="294" t="s">
        <v>237</v>
      </c>
      <c r="B494" s="299">
        <v>1016320.33</v>
      </c>
      <c r="C494" s="299">
        <v>0</v>
      </c>
      <c r="D494" s="295"/>
      <c r="E494" s="299">
        <v>0</v>
      </c>
      <c r="F494" s="299">
        <v>0</v>
      </c>
      <c r="G494" s="295"/>
      <c r="H494" s="300">
        <f t="shared" si="34"/>
        <v>1016320.33</v>
      </c>
      <c r="I494" s="299">
        <f t="shared" si="35"/>
        <v>0</v>
      </c>
      <c r="M494" s="319">
        <f>VLOOKUP(A494,[4]Sheet1!$B:$D,2,FALSE)</f>
        <v>1016320.33</v>
      </c>
      <c r="N494" s="319">
        <f>VLOOKUP(A494,[4]Sheet1!$B:$D,3,FALSE)</f>
        <v>0</v>
      </c>
      <c r="P494" s="320">
        <f t="shared" si="32"/>
        <v>0</v>
      </c>
      <c r="Q494" s="320">
        <f t="shared" si="33"/>
        <v>0</v>
      </c>
    </row>
    <row r="495" spans="1:17" x14ac:dyDescent="0.2">
      <c r="A495" s="294" t="s">
        <v>238</v>
      </c>
      <c r="B495" s="299">
        <v>0</v>
      </c>
      <c r="C495" s="299">
        <v>0</v>
      </c>
      <c r="D495" s="295"/>
      <c r="E495" s="299">
        <v>1850124.67</v>
      </c>
      <c r="F495" s="299">
        <v>0</v>
      </c>
      <c r="G495" s="295"/>
      <c r="H495" s="334">
        <f>E495</f>
        <v>1850124.67</v>
      </c>
      <c r="I495" s="299">
        <f t="shared" si="35"/>
        <v>0</v>
      </c>
      <c r="M495" s="319">
        <f>VLOOKUP(A495,[4]Sheet1!$B:$D,2,FALSE)</f>
        <v>1850124.67</v>
      </c>
      <c r="N495" s="319">
        <f>VLOOKUP(A495,[4]Sheet1!$B:$D,3,FALSE)</f>
        <v>0</v>
      </c>
      <c r="P495" s="320">
        <f t="shared" si="32"/>
        <v>0</v>
      </c>
      <c r="Q495" s="320">
        <f t="shared" si="33"/>
        <v>0</v>
      </c>
    </row>
    <row r="496" spans="1:17" x14ac:dyDescent="0.2">
      <c r="A496" s="294" t="s">
        <v>239</v>
      </c>
      <c r="B496" s="299">
        <v>7145540.9800000004</v>
      </c>
      <c r="C496" s="299">
        <v>0</v>
      </c>
      <c r="D496" s="295"/>
      <c r="E496" s="299">
        <f>3593732.08+3810229</f>
        <v>7403961.0800000001</v>
      </c>
      <c r="F496" s="299">
        <v>0</v>
      </c>
      <c r="G496" s="295"/>
      <c r="H496" s="300">
        <f>B496+E496</f>
        <v>14549502.060000001</v>
      </c>
      <c r="I496" s="299">
        <f t="shared" si="35"/>
        <v>0</v>
      </c>
      <c r="M496" s="319">
        <f>VLOOKUP(A496,[4]Sheet1!$B:$D,2,FALSE)</f>
        <v>14549502.060000001</v>
      </c>
      <c r="N496" s="319">
        <f>VLOOKUP(A496,[4]Sheet1!$B:$D,3,FALSE)</f>
        <v>0</v>
      </c>
      <c r="P496" s="320">
        <f t="shared" si="32"/>
        <v>0</v>
      </c>
      <c r="Q496" s="320">
        <f t="shared" si="33"/>
        <v>0</v>
      </c>
    </row>
    <row r="497" spans="1:17" x14ac:dyDescent="0.2">
      <c r="A497" s="294" t="s">
        <v>482</v>
      </c>
      <c r="B497" s="299">
        <v>0</v>
      </c>
      <c r="C497" s="299">
        <v>0</v>
      </c>
      <c r="D497" s="295"/>
      <c r="E497" s="299">
        <f>493542.32</f>
        <v>493542.32</v>
      </c>
      <c r="F497" s="299">
        <v>0</v>
      </c>
      <c r="G497" s="295"/>
      <c r="H497" s="334">
        <f>E497</f>
        <v>493542.32</v>
      </c>
      <c r="I497" s="299">
        <f t="shared" si="35"/>
        <v>0</v>
      </c>
      <c r="M497" s="319">
        <f>VLOOKUP(A497,[4]Sheet1!$B:$D,2,FALSE)</f>
        <v>493542.32</v>
      </c>
      <c r="N497" s="319">
        <f>VLOOKUP(A497,[4]Sheet1!$B:$D,3,FALSE)</f>
        <v>0</v>
      </c>
      <c r="P497" s="320">
        <f t="shared" si="32"/>
        <v>0</v>
      </c>
      <c r="Q497" s="320">
        <f t="shared" si="33"/>
        <v>0</v>
      </c>
    </row>
    <row r="498" spans="1:17" x14ac:dyDescent="0.2">
      <c r="A498" s="294" t="s">
        <v>297</v>
      </c>
      <c r="B498" s="299">
        <v>0</v>
      </c>
      <c r="C498" s="299">
        <v>0</v>
      </c>
      <c r="D498" s="295"/>
      <c r="E498" s="299">
        <v>0</v>
      </c>
      <c r="F498" s="299">
        <v>0</v>
      </c>
      <c r="G498" s="295"/>
      <c r="H498" s="299">
        <f t="shared" si="34"/>
        <v>0</v>
      </c>
      <c r="I498" s="299">
        <f t="shared" si="35"/>
        <v>0</v>
      </c>
      <c r="M498" s="319">
        <f>VLOOKUP(A498,[4]Sheet1!$B:$D,2,FALSE)</f>
        <v>0</v>
      </c>
      <c r="N498" s="319">
        <f>VLOOKUP(A498,[4]Sheet1!$B:$D,3,FALSE)</f>
        <v>0</v>
      </c>
      <c r="P498" s="320">
        <f t="shared" si="32"/>
        <v>0</v>
      </c>
      <c r="Q498" s="320">
        <f t="shared" si="33"/>
        <v>0</v>
      </c>
    </row>
    <row r="499" spans="1:17" x14ac:dyDescent="0.2">
      <c r="A499" s="294" t="s">
        <v>607</v>
      </c>
      <c r="B499" s="299">
        <v>0</v>
      </c>
      <c r="C499" s="299">
        <v>0</v>
      </c>
      <c r="D499" s="295"/>
      <c r="E499" s="299">
        <v>0</v>
      </c>
      <c r="F499" s="299">
        <v>0</v>
      </c>
      <c r="G499" s="295"/>
      <c r="H499" s="299">
        <f t="shared" si="34"/>
        <v>0</v>
      </c>
      <c r="I499" s="299">
        <f t="shared" si="35"/>
        <v>0</v>
      </c>
      <c r="M499" s="319">
        <f>VLOOKUP(A499,[4]Sheet1!$B:$D,2,FALSE)</f>
        <v>0</v>
      </c>
      <c r="N499" s="319">
        <f>VLOOKUP(A499,[4]Sheet1!$B:$D,3,FALSE)</f>
        <v>0</v>
      </c>
      <c r="P499" s="320">
        <f t="shared" si="32"/>
        <v>0</v>
      </c>
      <c r="Q499" s="320">
        <f t="shared" si="33"/>
        <v>0</v>
      </c>
    </row>
    <row r="500" spans="1:17" x14ac:dyDescent="0.2">
      <c r="A500" s="294" t="s">
        <v>240</v>
      </c>
      <c r="B500" s="299">
        <v>0</v>
      </c>
      <c r="C500" s="299">
        <v>0</v>
      </c>
      <c r="D500" s="295"/>
      <c r="E500" s="299">
        <v>0</v>
      </c>
      <c r="F500" s="299">
        <v>0</v>
      </c>
      <c r="G500" s="295"/>
      <c r="H500" s="299">
        <f t="shared" si="34"/>
        <v>0</v>
      </c>
      <c r="I500" s="299">
        <f t="shared" si="35"/>
        <v>0</v>
      </c>
      <c r="M500" s="319">
        <f>VLOOKUP(A500,[4]Sheet1!$B:$D,2,FALSE)</f>
        <v>0</v>
      </c>
      <c r="N500" s="319">
        <f>VLOOKUP(A500,[4]Sheet1!$B:$D,3,FALSE)</f>
        <v>0</v>
      </c>
      <c r="P500" s="320">
        <f t="shared" si="32"/>
        <v>0</v>
      </c>
      <c r="Q500" s="320">
        <f t="shared" si="33"/>
        <v>0</v>
      </c>
    </row>
    <row r="501" spans="1:17" x14ac:dyDescent="0.2">
      <c r="A501" s="294" t="s">
        <v>243</v>
      </c>
      <c r="B501" s="299">
        <v>0</v>
      </c>
      <c r="C501" s="299">
        <v>0</v>
      </c>
      <c r="D501" s="295"/>
      <c r="E501" s="299">
        <f>7254.4+7851.59</f>
        <v>15105.99</v>
      </c>
      <c r="F501" s="299">
        <f>1137155.5+1408164.14</f>
        <v>2545319.6399999997</v>
      </c>
      <c r="G501" s="295"/>
      <c r="H501" s="299">
        <f>B501</f>
        <v>0</v>
      </c>
      <c r="I501" s="299">
        <f>F501-E501</f>
        <v>2530213.6499999994</v>
      </c>
      <c r="M501" s="319">
        <f>VLOOKUP(A501,[4]Sheet1!$B:$D,2,FALSE)</f>
        <v>0</v>
      </c>
      <c r="N501" s="319">
        <f>VLOOKUP(A501,[4]Sheet1!$B:$D,3,FALSE)</f>
        <v>4141436.94</v>
      </c>
      <c r="P501" s="320">
        <f t="shared" si="32"/>
        <v>0</v>
      </c>
      <c r="Q501" s="320">
        <f t="shared" si="33"/>
        <v>-1611223.2900000005</v>
      </c>
    </row>
    <row r="502" spans="1:17" x14ac:dyDescent="0.2">
      <c r="A502" s="294" t="s">
        <v>241</v>
      </c>
      <c r="B502" s="299">
        <v>0</v>
      </c>
      <c r="C502" s="299">
        <v>9700</v>
      </c>
      <c r="D502" s="295"/>
      <c r="E502" s="299">
        <v>0</v>
      </c>
      <c r="F502" s="299">
        <v>0</v>
      </c>
      <c r="G502" s="295"/>
      <c r="H502" s="299">
        <f t="shared" si="34"/>
        <v>0</v>
      </c>
      <c r="I502" s="300">
        <f>C502</f>
        <v>9700</v>
      </c>
      <c r="M502" s="319">
        <f>VLOOKUP(A502,[4]Sheet1!$B:$D,2,FALSE)</f>
        <v>0</v>
      </c>
      <c r="N502" s="319">
        <f>VLOOKUP(A502,[4]Sheet1!$B:$D,3,FALSE)</f>
        <v>9700</v>
      </c>
      <c r="P502" s="320">
        <f t="shared" si="32"/>
        <v>0</v>
      </c>
      <c r="Q502" s="320">
        <f t="shared" si="33"/>
        <v>0</v>
      </c>
    </row>
    <row r="503" spans="1:17" x14ac:dyDescent="0.2">
      <c r="A503" s="294" t="s">
        <v>242</v>
      </c>
      <c r="B503" s="299">
        <v>0</v>
      </c>
      <c r="C503" s="299">
        <v>77340</v>
      </c>
      <c r="D503" s="295"/>
      <c r="E503" s="299">
        <v>0</v>
      </c>
      <c r="F503" s="299">
        <v>0</v>
      </c>
      <c r="G503" s="295"/>
      <c r="H503" s="299">
        <f t="shared" si="34"/>
        <v>0</v>
      </c>
      <c r="I503" s="300">
        <f t="shared" si="35"/>
        <v>77340</v>
      </c>
      <c r="M503" s="319">
        <f>VLOOKUP(A503,[4]Sheet1!$B:$D,2,FALSE)</f>
        <v>0</v>
      </c>
      <c r="N503" s="319">
        <f>VLOOKUP(A503,[4]Sheet1!$B:$D,3,FALSE)</f>
        <v>77340</v>
      </c>
      <c r="P503" s="320">
        <f t="shared" si="32"/>
        <v>0</v>
      </c>
      <c r="Q503" s="320">
        <f t="shared" si="33"/>
        <v>0</v>
      </c>
    </row>
    <row r="504" spans="1:17" x14ac:dyDescent="0.2">
      <c r="A504" s="294" t="s">
        <v>738</v>
      </c>
      <c r="B504" s="299">
        <v>0</v>
      </c>
      <c r="C504" s="299">
        <v>266.33</v>
      </c>
      <c r="D504" s="295"/>
      <c r="E504" s="299">
        <v>0</v>
      </c>
      <c r="F504" s="299">
        <v>0</v>
      </c>
      <c r="G504" s="295"/>
      <c r="H504" s="299">
        <f t="shared" si="34"/>
        <v>0</v>
      </c>
      <c r="I504" s="300">
        <f t="shared" si="35"/>
        <v>266.33</v>
      </c>
      <c r="M504" s="319">
        <f>VLOOKUP(A504,[4]Sheet1!$B:$D,2,FALSE)</f>
        <v>0</v>
      </c>
      <c r="N504" s="319">
        <f>VLOOKUP(A504,[4]Sheet1!$B:$D,3,FALSE)</f>
        <v>266.33</v>
      </c>
      <c r="P504" s="320">
        <f t="shared" si="32"/>
        <v>0</v>
      </c>
      <c r="Q504" s="320">
        <f t="shared" si="33"/>
        <v>0</v>
      </c>
    </row>
    <row r="505" spans="1:17" x14ac:dyDescent="0.2">
      <c r="A505" s="294" t="s">
        <v>739</v>
      </c>
      <c r="B505" s="299">
        <v>0</v>
      </c>
      <c r="C505" s="299">
        <v>2851287.3</v>
      </c>
      <c r="D505" s="295"/>
      <c r="E505" s="299">
        <v>0</v>
      </c>
      <c r="F505" s="299">
        <v>0</v>
      </c>
      <c r="G505" s="295"/>
      <c r="H505" s="299">
        <f t="shared" si="34"/>
        <v>0</v>
      </c>
      <c r="I505" s="300">
        <f t="shared" si="35"/>
        <v>2851287.3</v>
      </c>
      <c r="M505" s="319">
        <f>VLOOKUP(A505,[4]Sheet1!$B:$D,2,FALSE)</f>
        <v>0</v>
      </c>
      <c r="N505" s="319">
        <f>VLOOKUP(A505,[4]Sheet1!$B:$D,3,FALSE)</f>
        <v>2851287.3</v>
      </c>
      <c r="P505" s="320">
        <f t="shared" si="32"/>
        <v>0</v>
      </c>
      <c r="Q505" s="320">
        <f t="shared" si="33"/>
        <v>0</v>
      </c>
    </row>
    <row r="506" spans="1:17" x14ac:dyDescent="0.2">
      <c r="A506" s="294" t="s">
        <v>740</v>
      </c>
      <c r="B506" s="299">
        <v>0</v>
      </c>
      <c r="C506" s="299">
        <v>32372.13</v>
      </c>
      <c r="D506" s="295"/>
      <c r="E506" s="299">
        <v>0</v>
      </c>
      <c r="F506" s="299">
        <v>0</v>
      </c>
      <c r="G506" s="295"/>
      <c r="H506" s="299">
        <f t="shared" si="34"/>
        <v>0</v>
      </c>
      <c r="I506" s="300">
        <f t="shared" si="35"/>
        <v>32372.13</v>
      </c>
      <c r="M506" s="319">
        <f>VLOOKUP(A506,[4]Sheet1!$B:$D,2,FALSE)</f>
        <v>0</v>
      </c>
      <c r="N506" s="319">
        <f>VLOOKUP(A506,[4]Sheet1!$B:$D,3,FALSE)</f>
        <v>32372.13</v>
      </c>
      <c r="P506" s="320">
        <f t="shared" si="32"/>
        <v>0</v>
      </c>
      <c r="Q506" s="320">
        <f t="shared" si="33"/>
        <v>0</v>
      </c>
    </row>
    <row r="507" spans="1:17" x14ac:dyDescent="0.2">
      <c r="A507" s="294" t="s">
        <v>741</v>
      </c>
      <c r="B507" s="299">
        <v>0</v>
      </c>
      <c r="C507" s="299">
        <v>1000</v>
      </c>
      <c r="D507" s="295"/>
      <c r="E507" s="299">
        <v>0</v>
      </c>
      <c r="F507" s="299">
        <v>0</v>
      </c>
      <c r="G507" s="295"/>
      <c r="H507" s="299">
        <f t="shared" si="34"/>
        <v>0</v>
      </c>
      <c r="I507" s="300">
        <f t="shared" si="35"/>
        <v>1000</v>
      </c>
      <c r="M507" s="319">
        <f>VLOOKUP(A507,[4]Sheet1!$B:$D,2,FALSE)</f>
        <v>0</v>
      </c>
      <c r="N507" s="319">
        <f>VLOOKUP(A507,[4]Sheet1!$B:$D,3,FALSE)</f>
        <v>1000</v>
      </c>
      <c r="P507" s="320">
        <f t="shared" si="32"/>
        <v>0</v>
      </c>
      <c r="Q507" s="320">
        <f t="shared" si="33"/>
        <v>0</v>
      </c>
    </row>
    <row r="508" spans="1:17" x14ac:dyDescent="0.2">
      <c r="A508" s="294" t="s">
        <v>245</v>
      </c>
      <c r="B508" s="299">
        <v>0</v>
      </c>
      <c r="C508" s="299">
        <v>0</v>
      </c>
      <c r="D508" s="295"/>
      <c r="E508" s="299">
        <v>0</v>
      </c>
      <c r="F508" s="299">
        <v>0</v>
      </c>
      <c r="G508" s="295"/>
      <c r="H508" s="299">
        <f t="shared" si="34"/>
        <v>0</v>
      </c>
      <c r="I508" s="299">
        <f t="shared" si="35"/>
        <v>0</v>
      </c>
      <c r="M508" s="319">
        <f>VLOOKUP(A508,[4]Sheet1!$B:$D,2,FALSE)</f>
        <v>0</v>
      </c>
      <c r="N508" s="319">
        <f>VLOOKUP(A508,[4]Sheet1!$B:$D,3,FALSE)</f>
        <v>0</v>
      </c>
      <c r="P508" s="320">
        <f t="shared" si="32"/>
        <v>0</v>
      </c>
      <c r="Q508" s="320">
        <f t="shared" si="33"/>
        <v>0</v>
      </c>
    </row>
  </sheetData>
  <mergeCells count="3">
    <mergeCell ref="B1:C1"/>
    <mergeCell ref="E1:F1"/>
    <mergeCell ref="H1:I1"/>
  </mergeCells>
  <pageMargins left="0.7" right="0.7" top="0.75" bottom="0.75" header="0.25" footer="0.3"/>
  <pageSetup paperSize="9" orientation="landscape" r:id="rId1"/>
  <headerFooter>
    <oddHeader>&amp;L&amp;"Arial,Bold"&amp;8 11:06 PM&amp;"Arial,Bold"&amp;8 06/19/16&amp;"Arial,Bold"&amp;8 Accrual Basis&amp;C&amp;"Arial,Bold"&amp;12 Tropical Fish International (Pvt) Limited&amp;"Arial,Bold"&amp;14 Trial Balance&amp;"Arial,Bold"&amp;10 As of December 31, 2015</oddHeader>
    <oddFooter>&amp;R&amp;"Arial,Bold"&amp;8 Page &amp;P of &amp;N</oddFooter>
  </headerFooter>
  <drawing r:id="rId2"/>
  <legacyDrawing r:id="rId3"/>
  <controls>
    <mc:AlternateContent xmlns:mc="http://schemas.openxmlformats.org/markup-compatibility/2006">
      <mc:Choice Requires="x14">
        <control shapeId="2050" r:id="rId4" name="HEADER">
          <controlPr defaultSize="0" autoLine="0" r:id="rId5">
            <anchor moveWithCells="1">
              <from>
                <xdr:col>0</xdr:col>
                <xdr:colOff>0</xdr:colOff>
                <xdr:row>3</xdr:row>
                <xdr:rowOff>0</xdr:rowOff>
              </from>
              <to>
                <xdr:col>0</xdr:col>
                <xdr:colOff>914400</xdr:colOff>
                <xdr:row>4</xdr:row>
                <xdr:rowOff>66675</xdr:rowOff>
              </to>
            </anchor>
          </controlPr>
        </control>
      </mc:Choice>
      <mc:Fallback>
        <control shapeId="2050" r:id="rId4" name="HEADER"/>
      </mc:Fallback>
    </mc:AlternateContent>
    <mc:AlternateContent xmlns:mc="http://schemas.openxmlformats.org/markup-compatibility/2006">
      <mc:Choice Requires="x14">
        <control shapeId="2049" r:id="rId6" name="FILTER">
          <controlPr defaultSize="0" autoLine="0" r:id="rId7">
            <anchor moveWithCells="1">
              <from>
                <xdr:col>0</xdr:col>
                <xdr:colOff>0</xdr:colOff>
                <xdr:row>3</xdr:row>
                <xdr:rowOff>0</xdr:rowOff>
              </from>
              <to>
                <xdr:col>0</xdr:col>
                <xdr:colOff>914400</xdr:colOff>
                <xdr:row>4</xdr:row>
                <xdr:rowOff>66675</xdr:rowOff>
              </to>
            </anchor>
          </controlPr>
        </control>
      </mc:Choice>
      <mc:Fallback>
        <control shapeId="2049" r:id="rId6" name="FILTER"/>
      </mc:Fallback>
    </mc:AlternateContent>
  </controls>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2"/>
  <dimension ref="A1:L278"/>
  <sheetViews>
    <sheetView workbookViewId="0">
      <pane xSplit="7" ySplit="1" topLeftCell="H2" activePane="bottomRight" state="frozenSplit"/>
      <selection pane="topRight" activeCell="H1" sqref="H1"/>
      <selection pane="bottomLeft" activeCell="A2" sqref="A2"/>
      <selection pane="bottomRight" activeCell="J14" sqref="J14"/>
    </sheetView>
  </sheetViews>
  <sheetFormatPr defaultRowHeight="15" x14ac:dyDescent="0.25"/>
  <cols>
    <col min="1" max="6" width="3" style="360" customWidth="1"/>
    <col min="7" max="7" width="36.85546875" style="360" customWidth="1"/>
    <col min="8" max="8" width="12.85546875" style="361" bestFit="1" customWidth="1"/>
    <col min="9" max="10" width="9.140625" style="353"/>
    <col min="11" max="11" width="18.5703125" style="353" customWidth="1"/>
    <col min="12" max="12" width="15.28515625" style="353" bestFit="1" customWidth="1"/>
    <col min="13" max="16384" width="9.140625" style="353"/>
  </cols>
  <sheetData>
    <row r="1" spans="1:8" s="350" customFormat="1" ht="15.75" thickBot="1" x14ac:dyDescent="0.3">
      <c r="A1" s="348"/>
      <c r="B1" s="348"/>
      <c r="C1" s="348"/>
      <c r="D1" s="348"/>
      <c r="E1" s="348"/>
      <c r="F1" s="348"/>
      <c r="G1" s="348"/>
      <c r="H1" s="349" t="s">
        <v>856</v>
      </c>
    </row>
    <row r="2" spans="1:8" ht="15.75" thickTop="1" x14ac:dyDescent="0.25">
      <c r="A2" s="351" t="s">
        <v>60</v>
      </c>
      <c r="B2" s="351"/>
      <c r="C2" s="351"/>
      <c r="D2" s="351"/>
      <c r="E2" s="351"/>
      <c r="F2" s="351"/>
      <c r="G2" s="351"/>
      <c r="H2" s="352"/>
    </row>
    <row r="3" spans="1:8" x14ac:dyDescent="0.25">
      <c r="A3" s="351"/>
      <c r="B3" s="351" t="s">
        <v>50</v>
      </c>
      <c r="C3" s="351"/>
      <c r="D3" s="351"/>
      <c r="E3" s="351"/>
      <c r="F3" s="351"/>
      <c r="G3" s="351"/>
      <c r="H3" s="352"/>
    </row>
    <row r="4" spans="1:8" x14ac:dyDescent="0.25">
      <c r="A4" s="351"/>
      <c r="B4" s="351"/>
      <c r="C4" s="351" t="s">
        <v>857</v>
      </c>
      <c r="D4" s="351"/>
      <c r="E4" s="351"/>
      <c r="F4" s="351"/>
      <c r="G4" s="351"/>
      <c r="H4" s="352"/>
    </row>
    <row r="5" spans="1:8" x14ac:dyDescent="0.25">
      <c r="A5" s="351"/>
      <c r="B5" s="351"/>
      <c r="C5" s="351"/>
      <c r="D5" s="351" t="s">
        <v>651</v>
      </c>
      <c r="E5" s="351"/>
      <c r="F5" s="351"/>
      <c r="G5" s="351"/>
      <c r="H5" s="352"/>
    </row>
    <row r="6" spans="1:8" x14ac:dyDescent="0.25">
      <c r="A6" s="351"/>
      <c r="B6" s="351"/>
      <c r="C6" s="351"/>
      <c r="D6" s="351"/>
      <c r="E6" s="351" t="s">
        <v>858</v>
      </c>
      <c r="F6" s="351"/>
      <c r="G6" s="351"/>
      <c r="H6" s="352">
        <v>68988.100000000006</v>
      </c>
    </row>
    <row r="7" spans="1:8" x14ac:dyDescent="0.25">
      <c r="A7" s="351"/>
      <c r="B7" s="351"/>
      <c r="C7" s="351"/>
      <c r="D7" s="351"/>
      <c r="E7" s="351" t="s">
        <v>859</v>
      </c>
      <c r="F7" s="351"/>
      <c r="G7" s="351"/>
      <c r="H7" s="352">
        <v>96459.97</v>
      </c>
    </row>
    <row r="8" spans="1:8" x14ac:dyDescent="0.25">
      <c r="A8" s="351"/>
      <c r="B8" s="351"/>
      <c r="C8" s="351"/>
      <c r="D8" s="351"/>
      <c r="E8" s="351" t="s">
        <v>860</v>
      </c>
      <c r="F8" s="351"/>
      <c r="G8" s="351"/>
      <c r="H8" s="352">
        <v>61034.34</v>
      </c>
    </row>
    <row r="9" spans="1:8" x14ac:dyDescent="0.25">
      <c r="A9" s="351"/>
      <c r="B9" s="351"/>
      <c r="C9" s="351"/>
      <c r="D9" s="351"/>
      <c r="E9" s="351" t="s">
        <v>861</v>
      </c>
      <c r="F9" s="351"/>
      <c r="G9" s="351"/>
      <c r="H9" s="352">
        <v>-18493640.899999999</v>
      </c>
    </row>
    <row r="10" spans="1:8" x14ac:dyDescent="0.25">
      <c r="A10" s="351"/>
      <c r="B10" s="351"/>
      <c r="C10" s="351"/>
      <c r="D10" s="351"/>
      <c r="E10" s="351" t="s">
        <v>862</v>
      </c>
      <c r="F10" s="351"/>
      <c r="G10" s="351"/>
      <c r="H10" s="352">
        <v>-2609476.38</v>
      </c>
    </row>
    <row r="11" spans="1:8" x14ac:dyDescent="0.25">
      <c r="A11" s="351"/>
      <c r="B11" s="351"/>
      <c r="C11" s="351"/>
      <c r="D11" s="351"/>
      <c r="E11" s="351" t="s">
        <v>863</v>
      </c>
      <c r="F11" s="351"/>
      <c r="G11" s="351"/>
      <c r="H11" s="352">
        <v>36289004.850000001</v>
      </c>
    </row>
    <row r="12" spans="1:8" x14ac:dyDescent="0.25">
      <c r="A12" s="351"/>
      <c r="B12" s="351"/>
      <c r="C12" s="351"/>
      <c r="D12" s="351"/>
      <c r="E12" s="351" t="s">
        <v>864</v>
      </c>
      <c r="F12" s="351"/>
      <c r="G12" s="351"/>
      <c r="H12" s="352">
        <v>18403300</v>
      </c>
    </row>
    <row r="13" spans="1:8" x14ac:dyDescent="0.25">
      <c r="A13" s="351"/>
      <c r="B13" s="351"/>
      <c r="C13" s="351"/>
      <c r="D13" s="351"/>
      <c r="E13" s="351" t="s">
        <v>865</v>
      </c>
      <c r="F13" s="351"/>
      <c r="G13" s="351"/>
      <c r="H13" s="352">
        <v>25695.45</v>
      </c>
    </row>
    <row r="14" spans="1:8" x14ac:dyDescent="0.25">
      <c r="A14" s="351"/>
      <c r="B14" s="351"/>
      <c r="C14" s="351"/>
      <c r="D14" s="351"/>
      <c r="E14" s="351" t="s">
        <v>866</v>
      </c>
      <c r="F14" s="351"/>
      <c r="G14" s="351"/>
      <c r="H14" s="352">
        <v>8878.65</v>
      </c>
    </row>
    <row r="15" spans="1:8" x14ac:dyDescent="0.25">
      <c r="A15" s="351"/>
      <c r="B15" s="351"/>
      <c r="C15" s="351"/>
      <c r="D15" s="351"/>
      <c r="E15" s="351" t="s">
        <v>867</v>
      </c>
      <c r="F15" s="351"/>
      <c r="G15" s="351"/>
      <c r="H15" s="352">
        <v>600000</v>
      </c>
    </row>
    <row r="16" spans="1:8" x14ac:dyDescent="0.25">
      <c r="A16" s="351"/>
      <c r="B16" s="351"/>
      <c r="C16" s="351"/>
      <c r="D16" s="351"/>
      <c r="E16" s="351" t="s">
        <v>868</v>
      </c>
      <c r="F16" s="351"/>
      <c r="G16" s="351"/>
      <c r="H16" s="352">
        <v>155000</v>
      </c>
    </row>
    <row r="17" spans="1:8" x14ac:dyDescent="0.25">
      <c r="A17" s="351"/>
      <c r="B17" s="351"/>
      <c r="C17" s="351"/>
      <c r="D17" s="351"/>
      <c r="E17" s="351" t="s">
        <v>869</v>
      </c>
      <c r="F17" s="351"/>
      <c r="G17" s="351"/>
      <c r="H17" s="352">
        <v>293446.21999999997</v>
      </c>
    </row>
    <row r="18" spans="1:8" x14ac:dyDescent="0.25">
      <c r="A18" s="351"/>
      <c r="B18" s="351"/>
      <c r="C18" s="351"/>
      <c r="D18" s="351"/>
      <c r="E18" s="351" t="s">
        <v>870</v>
      </c>
      <c r="F18" s="351"/>
      <c r="G18" s="351"/>
      <c r="H18" s="352">
        <v>16267.75</v>
      </c>
    </row>
    <row r="19" spans="1:8" x14ac:dyDescent="0.25">
      <c r="A19" s="351"/>
      <c r="B19" s="351"/>
      <c r="C19" s="351"/>
      <c r="D19" s="351"/>
      <c r="E19" s="351" t="s">
        <v>871</v>
      </c>
      <c r="F19" s="351"/>
      <c r="G19" s="351"/>
      <c r="H19" s="352">
        <v>-12876432.59</v>
      </c>
    </row>
    <row r="20" spans="1:8" x14ac:dyDescent="0.25">
      <c r="A20" s="351"/>
      <c r="B20" s="351"/>
      <c r="C20" s="351"/>
      <c r="D20" s="351"/>
      <c r="E20" s="351" t="s">
        <v>872</v>
      </c>
      <c r="F20" s="351"/>
      <c r="G20" s="351"/>
      <c r="H20" s="352">
        <v>380869.21</v>
      </c>
    </row>
    <row r="21" spans="1:8" x14ac:dyDescent="0.25">
      <c r="A21" s="351"/>
      <c r="B21" s="351"/>
      <c r="C21" s="351"/>
      <c r="D21" s="351"/>
      <c r="E21" s="351" t="s">
        <v>873</v>
      </c>
      <c r="F21" s="351"/>
      <c r="G21" s="351"/>
      <c r="H21" s="352">
        <v>11500000</v>
      </c>
    </row>
    <row r="22" spans="1:8" x14ac:dyDescent="0.25">
      <c r="A22" s="351"/>
      <c r="B22" s="351"/>
      <c r="C22" s="351"/>
      <c r="D22" s="351"/>
      <c r="E22" s="351" t="s">
        <v>874</v>
      </c>
      <c r="F22" s="351"/>
      <c r="G22" s="351"/>
      <c r="H22" s="352">
        <v>-18718.93</v>
      </c>
    </row>
    <row r="23" spans="1:8" x14ac:dyDescent="0.25">
      <c r="A23" s="351"/>
      <c r="B23" s="351"/>
      <c r="C23" s="351"/>
      <c r="D23" s="351"/>
      <c r="E23" s="351" t="s">
        <v>875</v>
      </c>
      <c r="F23" s="351"/>
      <c r="G23" s="351"/>
      <c r="H23" s="352">
        <v>5000000</v>
      </c>
    </row>
    <row r="24" spans="1:8" x14ac:dyDescent="0.25">
      <c r="A24" s="351"/>
      <c r="B24" s="351"/>
      <c r="C24" s="351"/>
      <c r="D24" s="351"/>
      <c r="E24" s="351" t="s">
        <v>876</v>
      </c>
      <c r="F24" s="351"/>
      <c r="G24" s="351"/>
      <c r="H24" s="352">
        <v>336633.47</v>
      </c>
    </row>
    <row r="25" spans="1:8" x14ac:dyDescent="0.25">
      <c r="A25" s="351"/>
      <c r="B25" s="351"/>
      <c r="C25" s="351"/>
      <c r="D25" s="351"/>
      <c r="E25" s="351" t="s">
        <v>877</v>
      </c>
      <c r="F25" s="351"/>
      <c r="G25" s="351"/>
      <c r="H25" s="352"/>
    </row>
    <row r="26" spans="1:8" x14ac:dyDescent="0.25">
      <c r="A26" s="351"/>
      <c r="B26" s="351"/>
      <c r="C26" s="351"/>
      <c r="D26" s="351"/>
      <c r="E26" s="351"/>
      <c r="F26" s="351" t="s">
        <v>878</v>
      </c>
      <c r="G26" s="351"/>
      <c r="H26" s="352">
        <v>48369.24</v>
      </c>
    </row>
    <row r="27" spans="1:8" x14ac:dyDescent="0.25">
      <c r="A27" s="351"/>
      <c r="B27" s="351"/>
      <c r="C27" s="351"/>
      <c r="D27" s="351"/>
      <c r="E27" s="351"/>
      <c r="F27" s="351" t="s">
        <v>879</v>
      </c>
      <c r="G27" s="351"/>
      <c r="H27" s="352">
        <v>-1400</v>
      </c>
    </row>
    <row r="28" spans="1:8" x14ac:dyDescent="0.25">
      <c r="A28" s="351"/>
      <c r="B28" s="351"/>
      <c r="C28" s="351"/>
      <c r="D28" s="351"/>
      <c r="E28" s="351"/>
      <c r="F28" s="351" t="s">
        <v>880</v>
      </c>
      <c r="G28" s="351"/>
      <c r="H28" s="352">
        <v>5000</v>
      </c>
    </row>
    <row r="29" spans="1:8" x14ac:dyDescent="0.25">
      <c r="A29" s="351"/>
      <c r="B29" s="351"/>
      <c r="C29" s="351"/>
      <c r="D29" s="351"/>
      <c r="E29" s="351"/>
      <c r="F29" s="351" t="s">
        <v>881</v>
      </c>
      <c r="G29" s="351"/>
      <c r="H29" s="352">
        <v>-1125.42</v>
      </c>
    </row>
    <row r="30" spans="1:8" x14ac:dyDescent="0.25">
      <c r="A30" s="351"/>
      <c r="B30" s="351"/>
      <c r="C30" s="351"/>
      <c r="D30" s="351"/>
      <c r="E30" s="351"/>
      <c r="F30" s="351" t="s">
        <v>882</v>
      </c>
      <c r="G30" s="351"/>
      <c r="H30" s="352">
        <v>828254.97</v>
      </c>
    </row>
    <row r="31" spans="1:8" x14ac:dyDescent="0.25">
      <c r="A31" s="351"/>
      <c r="B31" s="351"/>
      <c r="C31" s="351"/>
      <c r="D31" s="351"/>
      <c r="E31" s="351"/>
      <c r="F31" s="351" t="s">
        <v>883</v>
      </c>
      <c r="G31" s="351"/>
      <c r="H31" s="352">
        <v>-113405.46</v>
      </c>
    </row>
    <row r="32" spans="1:8" x14ac:dyDescent="0.25">
      <c r="A32" s="351"/>
      <c r="B32" s="351"/>
      <c r="C32" s="351"/>
      <c r="D32" s="351"/>
      <c r="E32" s="351"/>
      <c r="F32" s="351" t="s">
        <v>884</v>
      </c>
      <c r="G32" s="351"/>
      <c r="H32" s="352">
        <v>511326.79</v>
      </c>
    </row>
    <row r="33" spans="1:8" x14ac:dyDescent="0.25">
      <c r="A33" s="351"/>
      <c r="B33" s="351"/>
      <c r="C33" s="351"/>
      <c r="D33" s="351"/>
      <c r="E33" s="351"/>
      <c r="F33" s="351" t="s">
        <v>885</v>
      </c>
      <c r="G33" s="351"/>
      <c r="H33" s="352">
        <v>22293.5</v>
      </c>
    </row>
    <row r="34" spans="1:8" x14ac:dyDescent="0.25">
      <c r="A34" s="351"/>
      <c r="B34" s="351"/>
      <c r="C34" s="351"/>
      <c r="D34" s="351"/>
      <c r="E34" s="351"/>
      <c r="F34" s="351" t="s">
        <v>886</v>
      </c>
      <c r="G34" s="351"/>
      <c r="H34" s="352">
        <v>-458</v>
      </c>
    </row>
    <row r="35" spans="1:8" x14ac:dyDescent="0.25">
      <c r="A35" s="351"/>
      <c r="B35" s="351"/>
      <c r="C35" s="351"/>
      <c r="D35" s="351"/>
      <c r="E35" s="351"/>
      <c r="F35" s="351" t="s">
        <v>887</v>
      </c>
      <c r="G35" s="351"/>
      <c r="H35" s="352">
        <v>9445.92</v>
      </c>
    </row>
    <row r="36" spans="1:8" x14ac:dyDescent="0.25">
      <c r="A36" s="351"/>
      <c r="B36" s="351"/>
      <c r="C36" s="351"/>
      <c r="D36" s="351"/>
      <c r="E36" s="351"/>
      <c r="F36" s="351" t="s">
        <v>888</v>
      </c>
      <c r="G36" s="351"/>
      <c r="H36" s="352">
        <v>18450</v>
      </c>
    </row>
    <row r="37" spans="1:8" x14ac:dyDescent="0.25">
      <c r="A37" s="351"/>
      <c r="B37" s="351"/>
      <c r="C37" s="351"/>
      <c r="D37" s="351"/>
      <c r="E37" s="351"/>
      <c r="F37" s="351" t="s">
        <v>889</v>
      </c>
      <c r="G37" s="351"/>
      <c r="H37" s="352">
        <v>557352.9</v>
      </c>
    </row>
    <row r="38" spans="1:8" x14ac:dyDescent="0.25">
      <c r="A38" s="351"/>
      <c r="B38" s="351"/>
      <c r="C38" s="351"/>
      <c r="D38" s="351"/>
      <c r="E38" s="351"/>
      <c r="F38" s="351" t="s">
        <v>890</v>
      </c>
      <c r="G38" s="351"/>
      <c r="H38" s="352">
        <v>-25800</v>
      </c>
    </row>
    <row r="39" spans="1:8" x14ac:dyDescent="0.25">
      <c r="A39" s="351"/>
      <c r="B39" s="351"/>
      <c r="C39" s="351"/>
      <c r="D39" s="351"/>
      <c r="E39" s="351"/>
      <c r="F39" s="351" t="s">
        <v>891</v>
      </c>
      <c r="G39" s="351"/>
      <c r="H39" s="352">
        <v>1396143.56</v>
      </c>
    </row>
    <row r="40" spans="1:8" x14ac:dyDescent="0.25">
      <c r="A40" s="351"/>
      <c r="B40" s="351"/>
      <c r="C40" s="351"/>
      <c r="D40" s="351"/>
      <c r="E40" s="351"/>
      <c r="F40" s="351" t="s">
        <v>892</v>
      </c>
      <c r="G40" s="351"/>
      <c r="H40" s="352">
        <v>463898.5</v>
      </c>
    </row>
    <row r="41" spans="1:8" x14ac:dyDescent="0.25">
      <c r="A41" s="351"/>
      <c r="B41" s="351"/>
      <c r="C41" s="351"/>
      <c r="D41" s="351"/>
      <c r="E41" s="351"/>
      <c r="F41" s="351" t="s">
        <v>893</v>
      </c>
      <c r="G41" s="351"/>
      <c r="H41" s="352">
        <v>6085</v>
      </c>
    </row>
    <row r="42" spans="1:8" x14ac:dyDescent="0.25">
      <c r="A42" s="351"/>
      <c r="B42" s="351"/>
      <c r="C42" s="351"/>
      <c r="D42" s="351"/>
      <c r="E42" s="351"/>
      <c r="F42" s="351" t="s">
        <v>894</v>
      </c>
      <c r="G42" s="351"/>
      <c r="H42" s="352">
        <v>24685</v>
      </c>
    </row>
    <row r="43" spans="1:8" ht="15.75" thickBot="1" x14ac:dyDescent="0.3">
      <c r="A43" s="351"/>
      <c r="B43" s="351"/>
      <c r="C43" s="351"/>
      <c r="D43" s="351"/>
      <c r="E43" s="351"/>
      <c r="F43" s="351" t="s">
        <v>895</v>
      </c>
      <c r="G43" s="351"/>
      <c r="H43" s="354">
        <v>9995</v>
      </c>
    </row>
    <row r="44" spans="1:8" x14ac:dyDescent="0.25">
      <c r="A44" s="351"/>
      <c r="B44" s="351"/>
      <c r="C44" s="351"/>
      <c r="D44" s="351"/>
      <c r="E44" s="351" t="s">
        <v>896</v>
      </c>
      <c r="F44" s="351"/>
      <c r="G44" s="351"/>
      <c r="H44" s="352">
        <f>ROUND(SUM(H25:H43),5)</f>
        <v>3759111.5</v>
      </c>
    </row>
    <row r="45" spans="1:8" ht="15.75" thickBot="1" x14ac:dyDescent="0.3">
      <c r="A45" s="351"/>
      <c r="B45" s="351"/>
      <c r="C45" s="351"/>
      <c r="D45" s="351"/>
      <c r="E45" s="351" t="s">
        <v>897</v>
      </c>
      <c r="F45" s="351"/>
      <c r="G45" s="351"/>
      <c r="H45" s="355">
        <v>-78120</v>
      </c>
    </row>
    <row r="46" spans="1:8" ht="15.75" thickBot="1" x14ac:dyDescent="0.3">
      <c r="A46" s="351"/>
      <c r="B46" s="351"/>
      <c r="C46" s="351"/>
      <c r="D46" s="351" t="s">
        <v>898</v>
      </c>
      <c r="E46" s="351"/>
      <c r="F46" s="351"/>
      <c r="G46" s="351"/>
      <c r="H46" s="356">
        <f>ROUND(SUM(H5:H24)+SUM(H44:H45),5)</f>
        <v>42918300.710000001</v>
      </c>
    </row>
    <row r="47" spans="1:8" x14ac:dyDescent="0.25">
      <c r="A47" s="351"/>
      <c r="B47" s="351"/>
      <c r="C47" s="351" t="s">
        <v>899</v>
      </c>
      <c r="D47" s="351"/>
      <c r="E47" s="351"/>
      <c r="F47" s="351"/>
      <c r="G47" s="351"/>
      <c r="H47" s="440">
        <f>ROUND(H4+H46,5)</f>
        <v>42918300.710000001</v>
      </c>
    </row>
    <row r="48" spans="1:8" x14ac:dyDescent="0.25">
      <c r="A48" s="351"/>
      <c r="B48" s="351"/>
      <c r="C48" s="351" t="s">
        <v>900</v>
      </c>
      <c r="D48" s="351"/>
      <c r="E48" s="351"/>
      <c r="F48" s="351"/>
      <c r="G48" s="351"/>
      <c r="H48" s="352"/>
    </row>
    <row r="49" spans="1:12" ht="15.75" thickBot="1" x14ac:dyDescent="0.3">
      <c r="A49" s="351"/>
      <c r="B49" s="351"/>
      <c r="C49" s="351"/>
      <c r="D49" s="351" t="s">
        <v>97</v>
      </c>
      <c r="E49" s="351"/>
      <c r="F49" s="351"/>
      <c r="G49" s="351"/>
      <c r="H49" s="445">
        <v>14545333.380000001</v>
      </c>
    </row>
    <row r="50" spans="1:12" x14ac:dyDescent="0.25">
      <c r="A50" s="351"/>
      <c r="B50" s="351"/>
      <c r="C50" s="351" t="s">
        <v>901</v>
      </c>
      <c r="D50" s="351"/>
      <c r="E50" s="351"/>
      <c r="F50" s="351"/>
      <c r="G50" s="351"/>
      <c r="H50" s="352">
        <f>ROUND(SUM(H48:H49),5)</f>
        <v>14545333.380000001</v>
      </c>
    </row>
    <row r="51" spans="1:12" x14ac:dyDescent="0.25">
      <c r="A51" s="351"/>
      <c r="B51" s="351"/>
      <c r="C51" s="351" t="s">
        <v>902</v>
      </c>
      <c r="D51" s="351"/>
      <c r="E51" s="351"/>
      <c r="F51" s="351"/>
      <c r="G51" s="351"/>
      <c r="H51" s="352"/>
    </row>
    <row r="52" spans="1:12" x14ac:dyDescent="0.25">
      <c r="A52" s="351"/>
      <c r="B52" s="351"/>
      <c r="C52" s="351"/>
      <c r="D52" s="351" t="s">
        <v>345</v>
      </c>
      <c r="E52" s="351"/>
      <c r="F52" s="351"/>
      <c r="G52" s="351"/>
      <c r="H52" s="440">
        <v>3771595.61</v>
      </c>
    </row>
    <row r="53" spans="1:12" x14ac:dyDescent="0.25">
      <c r="A53" s="351"/>
      <c r="B53" s="351"/>
      <c r="C53" s="351"/>
      <c r="D53" s="351" t="s">
        <v>903</v>
      </c>
      <c r="E53" s="351"/>
      <c r="F53" s="351"/>
      <c r="G53" s="351"/>
      <c r="H53" s="440"/>
    </row>
    <row r="54" spans="1:12" x14ac:dyDescent="0.25">
      <c r="A54" s="351"/>
      <c r="B54" s="351"/>
      <c r="C54" s="351"/>
      <c r="D54" s="351"/>
      <c r="E54" s="351" t="s">
        <v>904</v>
      </c>
      <c r="F54" s="351"/>
      <c r="G54" s="351"/>
      <c r="H54" s="440">
        <v>-3771595.65</v>
      </c>
    </row>
    <row r="55" spans="1:12" x14ac:dyDescent="0.25">
      <c r="A55" s="351"/>
      <c r="B55" s="351"/>
      <c r="C55" s="351"/>
      <c r="D55" s="351"/>
      <c r="E55" s="351" t="s">
        <v>905</v>
      </c>
      <c r="F55" s="351"/>
      <c r="G55" s="351"/>
      <c r="H55" s="440">
        <v>6823967.1600000001</v>
      </c>
    </row>
    <row r="56" spans="1:12" x14ac:dyDescent="0.25">
      <c r="A56" s="351"/>
      <c r="B56" s="351"/>
      <c r="C56" s="351"/>
      <c r="D56" s="351"/>
      <c r="E56" s="351" t="s">
        <v>906</v>
      </c>
      <c r="F56" s="351"/>
      <c r="G56" s="351"/>
      <c r="H56" s="440">
        <v>3645959.18</v>
      </c>
    </row>
    <row r="57" spans="1:12" x14ac:dyDescent="0.25">
      <c r="A57" s="351"/>
      <c r="B57" s="351"/>
      <c r="C57" s="351"/>
      <c r="D57" s="351"/>
      <c r="E57" s="351" t="s">
        <v>907</v>
      </c>
      <c r="F57" s="351"/>
      <c r="G57" s="351"/>
      <c r="H57" s="440">
        <v>2517499.54</v>
      </c>
    </row>
    <row r="58" spans="1:12" x14ac:dyDescent="0.25">
      <c r="A58" s="351"/>
      <c r="B58" s="351"/>
      <c r="C58" s="351"/>
      <c r="D58" s="351"/>
      <c r="E58" s="351" t="s">
        <v>908</v>
      </c>
      <c r="F58" s="351"/>
      <c r="G58" s="351"/>
      <c r="H58" s="440">
        <v>3542720.11</v>
      </c>
    </row>
    <row r="59" spans="1:12" x14ac:dyDescent="0.25">
      <c r="A59" s="351"/>
      <c r="B59" s="351"/>
      <c r="C59" s="351"/>
      <c r="D59" s="351"/>
      <c r="E59" s="351" t="s">
        <v>909</v>
      </c>
      <c r="F59" s="351"/>
      <c r="G59" s="351"/>
      <c r="H59" s="352"/>
    </row>
    <row r="60" spans="1:12" x14ac:dyDescent="0.25">
      <c r="A60" s="351"/>
      <c r="B60" s="351"/>
      <c r="C60" s="351"/>
      <c r="D60" s="351"/>
      <c r="E60" s="351"/>
      <c r="F60" s="351" t="s">
        <v>910</v>
      </c>
      <c r="G60" s="351"/>
      <c r="H60" s="446">
        <v>136400</v>
      </c>
    </row>
    <row r="61" spans="1:12" x14ac:dyDescent="0.25">
      <c r="A61" s="351"/>
      <c r="B61" s="351"/>
      <c r="C61" s="351"/>
      <c r="D61" s="351"/>
      <c r="E61" s="351"/>
      <c r="F61" s="351" t="s">
        <v>911</v>
      </c>
      <c r="G61" s="351"/>
      <c r="H61" s="446">
        <v>276500</v>
      </c>
      <c r="K61" s="437">
        <f>H49+H60+H61+H63+H64+H66+H65+H68+H70+H71+H73+H74+H76+H77+H78+H88+H89+H90+H92+H93+H94+H104</f>
        <v>25773515.790000003</v>
      </c>
      <c r="L61" s="437">
        <f>K61-FP!C19</f>
        <v>-30667037.320000004</v>
      </c>
    </row>
    <row r="62" spans="1:12" x14ac:dyDescent="0.25">
      <c r="A62" s="351"/>
      <c r="B62" s="351"/>
      <c r="C62" s="351"/>
      <c r="D62" s="351"/>
      <c r="E62" s="351"/>
      <c r="F62" s="351" t="s">
        <v>912</v>
      </c>
      <c r="G62" s="351"/>
      <c r="H62" s="352"/>
      <c r="L62" s="437">
        <f>500000-L61</f>
        <v>31167037.320000004</v>
      </c>
    </row>
    <row r="63" spans="1:12" x14ac:dyDescent="0.25">
      <c r="A63" s="351"/>
      <c r="B63" s="351"/>
      <c r="C63" s="351"/>
      <c r="D63" s="351"/>
      <c r="E63" s="351"/>
      <c r="F63" s="351"/>
      <c r="G63" s="351" t="s">
        <v>913</v>
      </c>
      <c r="H63" s="446">
        <v>1000000</v>
      </c>
    </row>
    <row r="64" spans="1:12" x14ac:dyDescent="0.25">
      <c r="A64" s="351"/>
      <c r="B64" s="351"/>
      <c r="C64" s="351"/>
      <c r="D64" s="351"/>
      <c r="E64" s="351"/>
      <c r="F64" s="351"/>
      <c r="G64" s="351" t="s">
        <v>914</v>
      </c>
      <c r="H64" s="446">
        <v>184772</v>
      </c>
    </row>
    <row r="65" spans="1:8" x14ac:dyDescent="0.25">
      <c r="A65" s="351"/>
      <c r="B65" s="351"/>
      <c r="C65" s="351"/>
      <c r="D65" s="351"/>
      <c r="E65" s="351"/>
      <c r="F65" s="351"/>
      <c r="G65" s="351" t="s">
        <v>915</v>
      </c>
      <c r="H65" s="446">
        <v>551383.5</v>
      </c>
    </row>
    <row r="66" spans="1:8" ht="15.75" thickBot="1" x14ac:dyDescent="0.3">
      <c r="A66" s="351"/>
      <c r="B66" s="351"/>
      <c r="C66" s="351"/>
      <c r="D66" s="351"/>
      <c r="E66" s="351"/>
      <c r="F66" s="351"/>
      <c r="G66" s="351" t="s">
        <v>916</v>
      </c>
      <c r="H66" s="445">
        <v>1484322.02</v>
      </c>
    </row>
    <row r="67" spans="1:8" x14ac:dyDescent="0.25">
      <c r="A67" s="351"/>
      <c r="B67" s="351"/>
      <c r="C67" s="351"/>
      <c r="D67" s="351"/>
      <c r="E67" s="351"/>
      <c r="F67" s="351" t="s">
        <v>917</v>
      </c>
      <c r="G67" s="351"/>
      <c r="H67" s="352">
        <f>ROUND(SUM(H62:H66),5)</f>
        <v>3220477.52</v>
      </c>
    </row>
    <row r="68" spans="1:8" x14ac:dyDescent="0.25">
      <c r="A68" s="351"/>
      <c r="B68" s="351"/>
      <c r="C68" s="351"/>
      <c r="D68" s="351"/>
      <c r="E68" s="351"/>
      <c r="F68" s="351" t="s">
        <v>918</v>
      </c>
      <c r="G68" s="351"/>
      <c r="H68" s="446">
        <v>1068716.8999999999</v>
      </c>
    </row>
    <row r="69" spans="1:8" x14ac:dyDescent="0.25">
      <c r="A69" s="351"/>
      <c r="B69" s="351"/>
      <c r="C69" s="351"/>
      <c r="D69" s="351"/>
      <c r="E69" s="351"/>
      <c r="F69" s="351" t="s">
        <v>919</v>
      </c>
      <c r="G69" s="351"/>
      <c r="H69" s="352"/>
    </row>
    <row r="70" spans="1:8" x14ac:dyDescent="0.25">
      <c r="A70" s="351"/>
      <c r="B70" s="351"/>
      <c r="C70" s="351"/>
      <c r="D70" s="351"/>
      <c r="E70" s="351"/>
      <c r="F70" s="351"/>
      <c r="G70" s="351" t="s">
        <v>920</v>
      </c>
      <c r="H70" s="446">
        <v>1039925</v>
      </c>
    </row>
    <row r="71" spans="1:8" ht="15.75" thickBot="1" x14ac:dyDescent="0.3">
      <c r="A71" s="351"/>
      <c r="B71" s="351"/>
      <c r="C71" s="351"/>
      <c r="D71" s="351"/>
      <c r="E71" s="351"/>
      <c r="F71" s="351"/>
      <c r="G71" s="351" t="s">
        <v>921</v>
      </c>
      <c r="H71" s="445">
        <v>800</v>
      </c>
    </row>
    <row r="72" spans="1:8" x14ac:dyDescent="0.25">
      <c r="A72" s="351"/>
      <c r="B72" s="351"/>
      <c r="C72" s="351"/>
      <c r="D72" s="351"/>
      <c r="E72" s="351"/>
      <c r="F72" s="351" t="s">
        <v>922</v>
      </c>
      <c r="G72" s="351"/>
      <c r="H72" s="352">
        <f>ROUND(SUM(H69:H71),5)</f>
        <v>1040725</v>
      </c>
    </row>
    <row r="73" spans="1:8" x14ac:dyDescent="0.25">
      <c r="A73" s="351"/>
      <c r="B73" s="351"/>
      <c r="C73" s="351"/>
      <c r="D73" s="351"/>
      <c r="E73" s="351"/>
      <c r="F73" s="351" t="s">
        <v>923</v>
      </c>
      <c r="G73" s="351"/>
      <c r="H73" s="446">
        <v>2000</v>
      </c>
    </row>
    <row r="74" spans="1:8" ht="15.75" thickBot="1" x14ac:dyDescent="0.3">
      <c r="A74" s="351"/>
      <c r="B74" s="351"/>
      <c r="C74" s="351"/>
      <c r="D74" s="351"/>
      <c r="E74" s="351"/>
      <c r="F74" s="351" t="s">
        <v>924</v>
      </c>
      <c r="G74" s="351"/>
      <c r="H74" s="445">
        <v>370888</v>
      </c>
    </row>
    <row r="75" spans="1:8" x14ac:dyDescent="0.25">
      <c r="A75" s="351"/>
      <c r="B75" s="351"/>
      <c r="C75" s="351"/>
      <c r="D75" s="351"/>
      <c r="E75" s="351" t="s">
        <v>925</v>
      </c>
      <c r="F75" s="351"/>
      <c r="G75" s="351"/>
      <c r="H75" s="352">
        <f>ROUND(SUM(H59:H61)+SUM(H67:H68)+SUM(H72:H74),5)</f>
        <v>6115707.4199999999</v>
      </c>
    </row>
    <row r="76" spans="1:8" x14ac:dyDescent="0.25">
      <c r="A76" s="351"/>
      <c r="B76" s="351"/>
      <c r="C76" s="351"/>
      <c r="D76" s="351"/>
      <c r="E76" s="351" t="s">
        <v>926</v>
      </c>
      <c r="F76" s="351"/>
      <c r="G76" s="351"/>
      <c r="H76" s="446">
        <v>210552.51</v>
      </c>
    </row>
    <row r="77" spans="1:8" x14ac:dyDescent="0.25">
      <c r="A77" s="351"/>
      <c r="B77" s="351"/>
      <c r="C77" s="351"/>
      <c r="D77" s="351"/>
      <c r="E77" s="351" t="s">
        <v>927</v>
      </c>
      <c r="F77" s="351"/>
      <c r="G77" s="351"/>
      <c r="H77" s="446">
        <v>77907.89</v>
      </c>
    </row>
    <row r="78" spans="1:8" x14ac:dyDescent="0.25">
      <c r="A78" s="351"/>
      <c r="B78" s="351"/>
      <c r="C78" s="351"/>
      <c r="D78" s="351"/>
      <c r="E78" s="351" t="s">
        <v>928</v>
      </c>
      <c r="F78" s="351"/>
      <c r="G78" s="351"/>
      <c r="H78" s="446">
        <v>3567.5</v>
      </c>
    </row>
    <row r="79" spans="1:8" x14ac:dyDescent="0.25">
      <c r="A79" s="351"/>
      <c r="B79" s="351"/>
      <c r="C79" s="351"/>
      <c r="D79" s="351"/>
      <c r="E79" s="351" t="s">
        <v>929</v>
      </c>
      <c r="F79" s="351"/>
      <c r="G79" s="351"/>
      <c r="H79" s="352"/>
    </row>
    <row r="80" spans="1:8" x14ac:dyDescent="0.25">
      <c r="A80" s="351"/>
      <c r="B80" s="351"/>
      <c r="C80" s="351"/>
      <c r="D80" s="351"/>
      <c r="E80" s="351"/>
      <c r="F80" s="351" t="s">
        <v>930</v>
      </c>
      <c r="G80" s="351"/>
      <c r="H80" s="352">
        <v>1230000</v>
      </c>
    </row>
    <row r="81" spans="1:8" x14ac:dyDescent="0.25">
      <c r="A81" s="351"/>
      <c r="B81" s="351"/>
      <c r="C81" s="351"/>
      <c r="D81" s="351"/>
      <c r="E81" s="351"/>
      <c r="F81" s="351" t="s">
        <v>931</v>
      </c>
      <c r="G81" s="351"/>
      <c r="H81" s="352">
        <v>14500</v>
      </c>
    </row>
    <row r="82" spans="1:8" x14ac:dyDescent="0.25">
      <c r="A82" s="351"/>
      <c r="B82" s="351"/>
      <c r="C82" s="351"/>
      <c r="D82" s="351"/>
      <c r="E82" s="351"/>
      <c r="F82" s="351" t="s">
        <v>932</v>
      </c>
      <c r="G82" s="351"/>
      <c r="H82" s="352">
        <v>64167</v>
      </c>
    </row>
    <row r="83" spans="1:8" x14ac:dyDescent="0.25">
      <c r="A83" s="351"/>
      <c r="B83" s="351"/>
      <c r="C83" s="351"/>
      <c r="D83" s="351"/>
      <c r="E83" s="351"/>
      <c r="F83" s="351" t="s">
        <v>933</v>
      </c>
      <c r="G83" s="351"/>
      <c r="H83" s="352">
        <v>15000</v>
      </c>
    </row>
    <row r="84" spans="1:8" x14ac:dyDescent="0.25">
      <c r="A84" s="351"/>
      <c r="B84" s="351"/>
      <c r="C84" s="351"/>
      <c r="D84" s="351"/>
      <c r="E84" s="351"/>
      <c r="F84" s="351" t="s">
        <v>934</v>
      </c>
      <c r="G84" s="351"/>
      <c r="H84" s="352">
        <v>72000</v>
      </c>
    </row>
    <row r="85" spans="1:8" x14ac:dyDescent="0.25">
      <c r="A85" s="351"/>
      <c r="B85" s="351"/>
      <c r="C85" s="351"/>
      <c r="D85" s="351"/>
      <c r="E85" s="351"/>
      <c r="F85" s="351" t="s">
        <v>935</v>
      </c>
      <c r="G85" s="351"/>
      <c r="H85" s="352">
        <v>64000</v>
      </c>
    </row>
    <row r="86" spans="1:8" x14ac:dyDescent="0.25">
      <c r="A86" s="351"/>
      <c r="B86" s="351"/>
      <c r="C86" s="351"/>
      <c r="D86" s="351"/>
      <c r="E86" s="351"/>
      <c r="F86" s="351" t="s">
        <v>936</v>
      </c>
      <c r="G86" s="351"/>
      <c r="H86" s="352">
        <v>72300</v>
      </c>
    </row>
    <row r="87" spans="1:8" ht="15.75" thickBot="1" x14ac:dyDescent="0.3">
      <c r="A87" s="351"/>
      <c r="B87" s="351"/>
      <c r="C87" s="351"/>
      <c r="D87" s="351"/>
      <c r="E87" s="351"/>
      <c r="F87" s="351" t="s">
        <v>937</v>
      </c>
      <c r="G87" s="351"/>
      <c r="H87" s="354">
        <v>8080</v>
      </c>
    </row>
    <row r="88" spans="1:8" x14ac:dyDescent="0.25">
      <c r="A88" s="351"/>
      <c r="B88" s="351"/>
      <c r="C88" s="351"/>
      <c r="D88" s="351"/>
      <c r="E88" s="351" t="s">
        <v>938</v>
      </c>
      <c r="F88" s="351"/>
      <c r="G88" s="351"/>
      <c r="H88" s="446">
        <f>ROUND(SUM(H79:H87),5)</f>
        <v>1540047</v>
      </c>
    </row>
    <row r="89" spans="1:8" x14ac:dyDescent="0.25">
      <c r="A89" s="351"/>
      <c r="B89" s="351"/>
      <c r="C89" s="351"/>
      <c r="D89" s="351"/>
      <c r="E89" s="351" t="s">
        <v>939</v>
      </c>
      <c r="F89" s="351"/>
      <c r="G89" s="351"/>
      <c r="H89" s="446">
        <v>1988860.07</v>
      </c>
    </row>
    <row r="90" spans="1:8" x14ac:dyDescent="0.25">
      <c r="A90" s="351"/>
      <c r="B90" s="351"/>
      <c r="C90" s="351"/>
      <c r="D90" s="351"/>
      <c r="E90" s="351" t="s">
        <v>940</v>
      </c>
      <c r="F90" s="351"/>
      <c r="G90" s="351"/>
      <c r="H90" s="446">
        <v>237808</v>
      </c>
    </row>
    <row r="91" spans="1:8" x14ac:dyDescent="0.25">
      <c r="A91" s="351"/>
      <c r="B91" s="351"/>
      <c r="C91" s="351"/>
      <c r="D91" s="351"/>
      <c r="E91" s="351" t="s">
        <v>941</v>
      </c>
      <c r="F91" s="351"/>
      <c r="G91" s="351"/>
      <c r="H91" s="352"/>
    </row>
    <row r="92" spans="1:8" x14ac:dyDescent="0.25">
      <c r="A92" s="351"/>
      <c r="B92" s="351"/>
      <c r="C92" s="351"/>
      <c r="D92" s="351"/>
      <c r="E92" s="351"/>
      <c r="F92" s="351" t="s">
        <v>942</v>
      </c>
      <c r="G92" s="351"/>
      <c r="H92" s="446">
        <v>317097.78999999998</v>
      </c>
    </row>
    <row r="93" spans="1:8" x14ac:dyDescent="0.25">
      <c r="A93" s="351"/>
      <c r="B93" s="351"/>
      <c r="C93" s="351"/>
      <c r="D93" s="351"/>
      <c r="E93" s="351"/>
      <c r="F93" s="351" t="s">
        <v>943</v>
      </c>
      <c r="G93" s="351"/>
      <c r="H93" s="446">
        <v>202397.09</v>
      </c>
    </row>
    <row r="94" spans="1:8" ht="15.75" thickBot="1" x14ac:dyDescent="0.3">
      <c r="A94" s="351"/>
      <c r="B94" s="351"/>
      <c r="C94" s="351"/>
      <c r="D94" s="351"/>
      <c r="E94" s="351"/>
      <c r="F94" s="351" t="s">
        <v>944</v>
      </c>
      <c r="G94" s="351"/>
      <c r="H94" s="445">
        <v>63755.88</v>
      </c>
    </row>
    <row r="95" spans="1:8" x14ac:dyDescent="0.25">
      <c r="A95" s="351"/>
      <c r="B95" s="351"/>
      <c r="C95" s="351"/>
      <c r="D95" s="351"/>
      <c r="E95" s="351" t="s">
        <v>945</v>
      </c>
      <c r="F95" s="351"/>
      <c r="G95" s="351"/>
      <c r="H95" s="352">
        <f>ROUND(SUM(H91:H94),5)</f>
        <v>583250.76</v>
      </c>
    </row>
    <row r="96" spans="1:8" x14ac:dyDescent="0.25">
      <c r="A96" s="351"/>
      <c r="B96" s="351"/>
      <c r="C96" s="351"/>
      <c r="D96" s="351"/>
      <c r="E96" s="351" t="s">
        <v>946</v>
      </c>
      <c r="F96" s="351"/>
      <c r="G96" s="351"/>
      <c r="H96" s="440">
        <v>17606645.649999999</v>
      </c>
    </row>
    <row r="97" spans="1:11" x14ac:dyDescent="0.25">
      <c r="A97" s="351"/>
      <c r="B97" s="351"/>
      <c r="C97" s="351"/>
      <c r="D97" s="351"/>
      <c r="E97" s="351" t="s">
        <v>947</v>
      </c>
      <c r="F97" s="351"/>
      <c r="G97" s="351"/>
      <c r="H97" s="440">
        <v>97633229.799999997</v>
      </c>
      <c r="K97" s="437">
        <f>H96+H97+H99+H100+H101+H102</f>
        <v>138887221.60999998</v>
      </c>
    </row>
    <row r="98" spans="1:11" x14ac:dyDescent="0.25">
      <c r="A98" s="351"/>
      <c r="B98" s="351"/>
      <c r="C98" s="351"/>
      <c r="D98" s="351"/>
      <c r="E98" s="351" t="s">
        <v>948</v>
      </c>
      <c r="F98" s="351"/>
      <c r="G98" s="351"/>
      <c r="H98" s="352">
        <v>-13218575.16</v>
      </c>
      <c r="K98" s="437">
        <f>-(H237+H238)</f>
        <v>21761090.950000003</v>
      </c>
    </row>
    <row r="99" spans="1:11" x14ac:dyDescent="0.25">
      <c r="A99" s="351"/>
      <c r="B99" s="351"/>
      <c r="C99" s="351"/>
      <c r="D99" s="351"/>
      <c r="E99" s="351" t="s">
        <v>949</v>
      </c>
      <c r="F99" s="351"/>
      <c r="G99" s="351"/>
      <c r="H99" s="440">
        <v>10733554.800000001</v>
      </c>
      <c r="K99" s="437">
        <f>K97+K98</f>
        <v>160648312.56</v>
      </c>
    </row>
    <row r="100" spans="1:11" x14ac:dyDescent="0.25">
      <c r="A100" s="351"/>
      <c r="B100" s="351"/>
      <c r="C100" s="351"/>
      <c r="D100" s="351"/>
      <c r="E100" s="351" t="s">
        <v>950</v>
      </c>
      <c r="F100" s="351"/>
      <c r="G100" s="351"/>
      <c r="H100" s="440">
        <v>136501</v>
      </c>
    </row>
    <row r="101" spans="1:11" x14ac:dyDescent="0.25">
      <c r="A101" s="351"/>
      <c r="B101" s="351"/>
      <c r="C101" s="351"/>
      <c r="D101" s="351"/>
      <c r="E101" s="351" t="s">
        <v>951</v>
      </c>
      <c r="F101" s="351"/>
      <c r="G101" s="351"/>
      <c r="H101" s="440">
        <v>10902230.76</v>
      </c>
    </row>
    <row r="102" spans="1:11" ht="15.75" thickBot="1" x14ac:dyDescent="0.3">
      <c r="A102" s="351"/>
      <c r="B102" s="351"/>
      <c r="C102" s="351"/>
      <c r="D102" s="351"/>
      <c r="E102" s="351" t="s">
        <v>952</v>
      </c>
      <c r="F102" s="351"/>
      <c r="G102" s="351"/>
      <c r="H102" s="443">
        <v>1875059.6</v>
      </c>
    </row>
    <row r="103" spans="1:11" x14ac:dyDescent="0.25">
      <c r="A103" s="351"/>
      <c r="B103" s="351"/>
      <c r="C103" s="351"/>
      <c r="D103" s="351" t="s">
        <v>953</v>
      </c>
      <c r="E103" s="351"/>
      <c r="F103" s="351"/>
      <c r="G103" s="351"/>
      <c r="H103" s="352">
        <f>ROUND(SUM(H53:H58)+SUM(H75:H78)+SUM(H88:H90)+SUM(H95:H102),5)</f>
        <v>149184897.94</v>
      </c>
    </row>
    <row r="104" spans="1:11" ht="15.75" thickBot="1" x14ac:dyDescent="0.3">
      <c r="A104" s="351"/>
      <c r="B104" s="351"/>
      <c r="C104" s="351"/>
      <c r="D104" s="351" t="s">
        <v>954</v>
      </c>
      <c r="E104" s="351"/>
      <c r="F104" s="351"/>
      <c r="G104" s="351"/>
      <c r="H104" s="447">
        <v>470481.26</v>
      </c>
    </row>
    <row r="105" spans="1:11" ht="15.75" thickBot="1" x14ac:dyDescent="0.3">
      <c r="A105" s="351"/>
      <c r="B105" s="351"/>
      <c r="C105" s="351" t="s">
        <v>955</v>
      </c>
      <c r="D105" s="351"/>
      <c r="E105" s="351"/>
      <c r="F105" s="351"/>
      <c r="G105" s="351"/>
      <c r="H105" s="356">
        <f>ROUND(SUM(H51:H52)+SUM(H103:H104),5)</f>
        <v>153426974.81</v>
      </c>
    </row>
    <row r="106" spans="1:11" x14ac:dyDescent="0.25">
      <c r="A106" s="351"/>
      <c r="B106" s="351" t="s">
        <v>1</v>
      </c>
      <c r="C106" s="351"/>
      <c r="D106" s="351"/>
      <c r="E106" s="351"/>
      <c r="F106" s="351"/>
      <c r="G106" s="351"/>
      <c r="H106" s="352">
        <f>ROUND(H3+H47+H50+H105,5)</f>
        <v>210890608.90000001</v>
      </c>
    </row>
    <row r="107" spans="1:11" x14ac:dyDescent="0.25">
      <c r="A107" s="351"/>
      <c r="B107" s="351" t="s">
        <v>956</v>
      </c>
      <c r="C107" s="351"/>
      <c r="D107" s="351"/>
      <c r="E107" s="351"/>
      <c r="F107" s="351"/>
      <c r="G107" s="351"/>
      <c r="H107" s="352"/>
    </row>
    <row r="108" spans="1:11" x14ac:dyDescent="0.25">
      <c r="A108" s="351"/>
      <c r="B108" s="351"/>
      <c r="C108" s="351" t="s">
        <v>521</v>
      </c>
      <c r="D108" s="351"/>
      <c r="E108" s="351"/>
      <c r="F108" s="351"/>
      <c r="G108" s="351"/>
      <c r="H108" s="352"/>
    </row>
    <row r="109" spans="1:11" x14ac:dyDescent="0.25">
      <c r="A109" s="351"/>
      <c r="B109" s="351"/>
      <c r="C109" s="351"/>
      <c r="D109" s="351" t="s">
        <v>957</v>
      </c>
      <c r="E109" s="351"/>
      <c r="F109" s="351"/>
      <c r="G109" s="351"/>
      <c r="H109" s="352"/>
    </row>
    <row r="110" spans="1:11" x14ac:dyDescent="0.25">
      <c r="A110" s="351"/>
      <c r="B110" s="351"/>
      <c r="C110" s="351"/>
      <c r="D110" s="351"/>
      <c r="E110" s="351" t="s">
        <v>958</v>
      </c>
      <c r="F110" s="351"/>
      <c r="G110" s="351"/>
      <c r="H110" s="352"/>
    </row>
    <row r="111" spans="1:11" x14ac:dyDescent="0.25">
      <c r="A111" s="351"/>
      <c r="B111" s="351"/>
      <c r="C111" s="351"/>
      <c r="D111" s="351"/>
      <c r="E111" s="351"/>
      <c r="F111" s="351" t="s">
        <v>959</v>
      </c>
      <c r="G111" s="351"/>
      <c r="H111" s="352">
        <v>2305600</v>
      </c>
    </row>
    <row r="112" spans="1:11" x14ac:dyDescent="0.25">
      <c r="A112" s="351"/>
      <c r="B112" s="351"/>
      <c r="C112" s="351"/>
      <c r="D112" s="351"/>
      <c r="E112" s="351"/>
      <c r="F112" s="351" t="s">
        <v>960</v>
      </c>
      <c r="G112" s="351"/>
      <c r="H112" s="352">
        <v>3681068</v>
      </c>
    </row>
    <row r="113" spans="1:8" x14ac:dyDescent="0.25">
      <c r="A113" s="351"/>
      <c r="B113" s="351"/>
      <c r="C113" s="351"/>
      <c r="D113" s="351"/>
      <c r="E113" s="351"/>
      <c r="F113" s="351" t="s">
        <v>961</v>
      </c>
      <c r="G113" s="351"/>
      <c r="H113" s="352" t="e">
        <f>#REF!</f>
        <v>#REF!</v>
      </c>
    </row>
    <row r="114" spans="1:8" x14ac:dyDescent="0.25">
      <c r="A114" s="351"/>
      <c r="B114" s="351"/>
      <c r="C114" s="351"/>
      <c r="D114" s="351"/>
      <c r="E114" s="351"/>
      <c r="F114" s="351" t="s">
        <v>962</v>
      </c>
      <c r="G114" s="351"/>
      <c r="H114" s="352">
        <v>3389962</v>
      </c>
    </row>
    <row r="115" spans="1:8" x14ac:dyDescent="0.25">
      <c r="A115" s="351"/>
      <c r="B115" s="351"/>
      <c r="C115" s="351"/>
      <c r="D115" s="351"/>
      <c r="E115" s="351"/>
      <c r="F115" s="351" t="s">
        <v>963</v>
      </c>
      <c r="G115" s="351"/>
      <c r="H115" s="352">
        <v>2942736</v>
      </c>
    </row>
    <row r="116" spans="1:8" x14ac:dyDescent="0.25">
      <c r="A116" s="351"/>
      <c r="B116" s="351"/>
      <c r="C116" s="351"/>
      <c r="D116" s="351"/>
      <c r="E116" s="351"/>
      <c r="F116" s="351" t="s">
        <v>964</v>
      </c>
      <c r="G116" s="351"/>
      <c r="H116" s="352">
        <v>1191000</v>
      </c>
    </row>
    <row r="117" spans="1:8" x14ac:dyDescent="0.25">
      <c r="A117" s="351"/>
      <c r="B117" s="351"/>
      <c r="C117" s="351"/>
      <c r="D117" s="351"/>
      <c r="E117" s="351"/>
      <c r="F117" s="351" t="s">
        <v>965</v>
      </c>
      <c r="G117" s="351"/>
      <c r="H117" s="352">
        <v>104500</v>
      </c>
    </row>
    <row r="118" spans="1:8" x14ac:dyDescent="0.25">
      <c r="A118" s="351"/>
      <c r="B118" s="351"/>
      <c r="C118" s="351"/>
      <c r="D118" s="351"/>
      <c r="E118" s="351"/>
      <c r="F118" s="351" t="s">
        <v>966</v>
      </c>
      <c r="G118" s="351"/>
      <c r="H118" s="352">
        <v>12559000</v>
      </c>
    </row>
    <row r="119" spans="1:8" x14ac:dyDescent="0.25">
      <c r="A119" s="351"/>
      <c r="B119" s="351"/>
      <c r="C119" s="351"/>
      <c r="D119" s="351"/>
      <c r="E119" s="351"/>
      <c r="F119" s="351" t="s">
        <v>967</v>
      </c>
      <c r="G119" s="351"/>
      <c r="H119" s="352">
        <v>3768000</v>
      </c>
    </row>
    <row r="120" spans="1:8" x14ac:dyDescent="0.25">
      <c r="A120" s="351"/>
      <c r="B120" s="351"/>
      <c r="C120" s="351"/>
      <c r="D120" s="351"/>
      <c r="E120" s="351"/>
      <c r="F120" s="351" t="s">
        <v>968</v>
      </c>
      <c r="G120" s="351"/>
      <c r="H120" s="352">
        <v>46919800</v>
      </c>
    </row>
    <row r="121" spans="1:8" x14ac:dyDescent="0.25">
      <c r="A121" s="351"/>
      <c r="B121" s="351"/>
      <c r="C121" s="351"/>
      <c r="D121" s="351"/>
      <c r="E121" s="351"/>
      <c r="F121" s="351" t="s">
        <v>969</v>
      </c>
      <c r="G121" s="351"/>
      <c r="H121" s="352">
        <v>5462728.5</v>
      </c>
    </row>
    <row r="122" spans="1:8" x14ac:dyDescent="0.25">
      <c r="A122" s="351"/>
      <c r="B122" s="351"/>
      <c r="C122" s="351"/>
      <c r="D122" s="351"/>
      <c r="E122" s="351"/>
      <c r="F122" s="351" t="s">
        <v>970</v>
      </c>
      <c r="G122" s="351"/>
      <c r="H122" s="352">
        <v>1215000</v>
      </c>
    </row>
    <row r="123" spans="1:8" x14ac:dyDescent="0.25">
      <c r="A123" s="351"/>
      <c r="B123" s="351"/>
      <c r="C123" s="351"/>
      <c r="D123" s="351"/>
      <c r="E123" s="351"/>
      <c r="F123" s="351" t="s">
        <v>971</v>
      </c>
      <c r="G123" s="351"/>
      <c r="H123" s="352">
        <v>973873</v>
      </c>
    </row>
    <row r="124" spans="1:8" x14ac:dyDescent="0.25">
      <c r="A124" s="351"/>
      <c r="B124" s="351"/>
      <c r="C124" s="351"/>
      <c r="D124" s="351"/>
      <c r="E124" s="351"/>
      <c r="F124" s="351" t="s">
        <v>972</v>
      </c>
      <c r="G124" s="351"/>
      <c r="H124" s="352">
        <v>11098350.4</v>
      </c>
    </row>
    <row r="125" spans="1:8" x14ac:dyDescent="0.25">
      <c r="A125" s="351"/>
      <c r="B125" s="351"/>
      <c r="C125" s="351"/>
      <c r="D125" s="351"/>
      <c r="E125" s="351"/>
      <c r="F125" s="351" t="s">
        <v>973</v>
      </c>
      <c r="G125" s="351"/>
      <c r="H125" s="352">
        <v>5941467.7400000002</v>
      </c>
    </row>
    <row r="126" spans="1:8" x14ac:dyDescent="0.25">
      <c r="A126" s="351"/>
      <c r="B126" s="351"/>
      <c r="C126" s="351"/>
      <c r="D126" s="351"/>
      <c r="E126" s="351"/>
      <c r="F126" s="351" t="s">
        <v>974</v>
      </c>
      <c r="G126" s="351"/>
      <c r="H126" s="352">
        <v>1129916</v>
      </c>
    </row>
    <row r="127" spans="1:8" x14ac:dyDescent="0.25">
      <c r="A127" s="351"/>
      <c r="B127" s="351"/>
      <c r="C127" s="351"/>
      <c r="D127" s="351"/>
      <c r="E127" s="351"/>
      <c r="F127" s="351" t="s">
        <v>975</v>
      </c>
      <c r="G127" s="351"/>
      <c r="H127" s="352">
        <v>9077116.2899999991</v>
      </c>
    </row>
    <row r="128" spans="1:8" x14ac:dyDescent="0.25">
      <c r="A128" s="351"/>
      <c r="B128" s="351"/>
      <c r="C128" s="351"/>
      <c r="D128" s="351"/>
      <c r="E128" s="351"/>
      <c r="F128" s="351" t="s">
        <v>976</v>
      </c>
      <c r="G128" s="351"/>
      <c r="H128" s="352">
        <v>1351039.9</v>
      </c>
    </row>
    <row r="129" spans="1:8" x14ac:dyDescent="0.25">
      <c r="A129" s="351"/>
      <c r="B129" s="351"/>
      <c r="C129" s="351"/>
      <c r="D129" s="351"/>
      <c r="E129" s="351"/>
      <c r="F129" s="351" t="s">
        <v>977</v>
      </c>
      <c r="G129" s="351"/>
      <c r="H129" s="352">
        <v>1701432.81</v>
      </c>
    </row>
    <row r="130" spans="1:8" x14ac:dyDescent="0.25">
      <c r="A130" s="351"/>
      <c r="B130" s="351"/>
      <c r="C130" s="351"/>
      <c r="D130" s="351"/>
      <c r="E130" s="351"/>
      <c r="F130" s="351" t="s">
        <v>978</v>
      </c>
      <c r="G130" s="351"/>
      <c r="H130" s="352">
        <v>-15073724.869999999</v>
      </c>
    </row>
    <row r="131" spans="1:8" ht="15.75" thickBot="1" x14ac:dyDescent="0.3">
      <c r="A131" s="351"/>
      <c r="B131" s="351"/>
      <c r="C131" s="351"/>
      <c r="D131" s="351"/>
      <c r="E131" s="351"/>
      <c r="F131" s="351" t="s">
        <v>979</v>
      </c>
      <c r="G131" s="351"/>
      <c r="H131" s="354">
        <v>647775</v>
      </c>
    </row>
    <row r="132" spans="1:8" x14ac:dyDescent="0.25">
      <c r="A132" s="351"/>
      <c r="B132" s="351"/>
      <c r="C132" s="351"/>
      <c r="D132" s="351"/>
      <c r="E132" s="351" t="s">
        <v>980</v>
      </c>
      <c r="F132" s="351"/>
      <c r="G132" s="351"/>
      <c r="H132" s="352" t="e">
        <f>ROUND(SUM(H110:H131),5)</f>
        <v>#REF!</v>
      </c>
    </row>
    <row r="133" spans="1:8" x14ac:dyDescent="0.25">
      <c r="A133" s="351"/>
      <c r="B133" s="351"/>
      <c r="C133" s="351"/>
      <c r="D133" s="351"/>
      <c r="E133" s="351" t="s">
        <v>981</v>
      </c>
      <c r="F133" s="351"/>
      <c r="G133" s="351"/>
      <c r="H133" s="352"/>
    </row>
    <row r="134" spans="1:8" x14ac:dyDescent="0.25">
      <c r="A134" s="351"/>
      <c r="B134" s="351"/>
      <c r="C134" s="351"/>
      <c r="D134" s="351"/>
      <c r="E134" s="351"/>
      <c r="F134" s="351" t="s">
        <v>982</v>
      </c>
      <c r="G134" s="351"/>
      <c r="H134" s="352">
        <v>9323685</v>
      </c>
    </row>
    <row r="135" spans="1:8" x14ac:dyDescent="0.25">
      <c r="A135" s="351"/>
      <c r="B135" s="351"/>
      <c r="C135" s="351"/>
      <c r="D135" s="351"/>
      <c r="E135" s="351"/>
      <c r="F135" s="351" t="s">
        <v>983</v>
      </c>
      <c r="G135" s="351"/>
      <c r="H135" s="352">
        <v>533200</v>
      </c>
    </row>
    <row r="136" spans="1:8" x14ac:dyDescent="0.25">
      <c r="A136" s="351"/>
      <c r="B136" s="351"/>
      <c r="C136" s="351"/>
      <c r="D136" s="351"/>
      <c r="E136" s="351"/>
      <c r="F136" s="351" t="s">
        <v>984</v>
      </c>
      <c r="G136" s="351"/>
      <c r="H136" s="352">
        <v>2981100</v>
      </c>
    </row>
    <row r="137" spans="1:8" x14ac:dyDescent="0.25">
      <c r="A137" s="351"/>
      <c r="B137" s="351"/>
      <c r="C137" s="351"/>
      <c r="D137" s="351"/>
      <c r="E137" s="351"/>
      <c r="F137" s="351" t="s">
        <v>985</v>
      </c>
      <c r="G137" s="351"/>
      <c r="H137" s="352">
        <v>136390</v>
      </c>
    </row>
    <row r="138" spans="1:8" x14ac:dyDescent="0.25">
      <c r="A138" s="351"/>
      <c r="B138" s="351"/>
      <c r="C138" s="351"/>
      <c r="D138" s="351"/>
      <c r="E138" s="351"/>
      <c r="F138" s="351" t="s">
        <v>986</v>
      </c>
      <c r="G138" s="351"/>
      <c r="H138" s="352">
        <v>3927826</v>
      </c>
    </row>
    <row r="139" spans="1:8" x14ac:dyDescent="0.25">
      <c r="A139" s="351"/>
      <c r="B139" s="351"/>
      <c r="C139" s="351"/>
      <c r="D139" s="351"/>
      <c r="E139" s="351"/>
      <c r="F139" s="351" t="s">
        <v>987</v>
      </c>
      <c r="G139" s="351"/>
      <c r="H139" s="352">
        <v>2229013</v>
      </c>
    </row>
    <row r="140" spans="1:8" x14ac:dyDescent="0.25">
      <c r="A140" s="351"/>
      <c r="B140" s="351"/>
      <c r="C140" s="351"/>
      <c r="D140" s="351"/>
      <c r="E140" s="351"/>
      <c r="F140" s="351" t="s">
        <v>988</v>
      </c>
      <c r="G140" s="351"/>
      <c r="H140" s="352">
        <v>636000</v>
      </c>
    </row>
    <row r="141" spans="1:8" x14ac:dyDescent="0.25">
      <c r="A141" s="351"/>
      <c r="B141" s="351"/>
      <c r="C141" s="351"/>
      <c r="D141" s="351"/>
      <c r="E141" s="351"/>
      <c r="F141" s="351" t="s">
        <v>989</v>
      </c>
      <c r="G141" s="351"/>
      <c r="H141" s="352">
        <v>287680</v>
      </c>
    </row>
    <row r="142" spans="1:8" ht="15.75" thickBot="1" x14ac:dyDescent="0.3">
      <c r="A142" s="351"/>
      <c r="B142" s="351"/>
      <c r="C142" s="351"/>
      <c r="D142" s="351"/>
      <c r="E142" s="351"/>
      <c r="F142" s="351" t="s">
        <v>990</v>
      </c>
      <c r="G142" s="351"/>
      <c r="H142" s="354">
        <v>-16619206.66</v>
      </c>
    </row>
    <row r="143" spans="1:8" x14ac:dyDescent="0.25">
      <c r="A143" s="351"/>
      <c r="B143" s="351"/>
      <c r="C143" s="351"/>
      <c r="D143" s="351"/>
      <c r="E143" s="351" t="s">
        <v>991</v>
      </c>
      <c r="F143" s="351"/>
      <c r="G143" s="351"/>
      <c r="H143" s="352">
        <f>ROUND(SUM(H133:H142),5)</f>
        <v>3435687.34</v>
      </c>
    </row>
    <row r="144" spans="1:8" x14ac:dyDescent="0.25">
      <c r="A144" s="351"/>
      <c r="B144" s="351"/>
      <c r="C144" s="351"/>
      <c r="D144" s="351"/>
      <c r="E144" s="351" t="s">
        <v>992</v>
      </c>
      <c r="F144" s="351"/>
      <c r="G144" s="351"/>
      <c r="H144" s="352"/>
    </row>
    <row r="145" spans="1:8" x14ac:dyDescent="0.25">
      <c r="A145" s="351"/>
      <c r="B145" s="351"/>
      <c r="C145" s="351"/>
      <c r="D145" s="351"/>
      <c r="E145" s="351"/>
      <c r="F145" s="351" t="s">
        <v>993</v>
      </c>
      <c r="G145" s="351"/>
      <c r="H145" s="352">
        <v>9017779.0999999996</v>
      </c>
    </row>
    <row r="146" spans="1:8" x14ac:dyDescent="0.25">
      <c r="A146" s="351"/>
      <c r="B146" s="351"/>
      <c r="C146" s="351"/>
      <c r="D146" s="351"/>
      <c r="E146" s="351"/>
      <c r="F146" s="351" t="s">
        <v>994</v>
      </c>
      <c r="G146" s="351"/>
      <c r="H146" s="352">
        <v>1414657.14</v>
      </c>
    </row>
    <row r="147" spans="1:8" x14ac:dyDescent="0.25">
      <c r="A147" s="351"/>
      <c r="B147" s="351"/>
      <c r="C147" s="351"/>
      <c r="D147" s="351"/>
      <c r="E147" s="351"/>
      <c r="F147" s="351" t="s">
        <v>995</v>
      </c>
      <c r="G147" s="351"/>
      <c r="H147" s="352">
        <v>821480.01</v>
      </c>
    </row>
    <row r="148" spans="1:8" x14ac:dyDescent="0.25">
      <c r="A148" s="351"/>
      <c r="B148" s="351"/>
      <c r="C148" s="351"/>
      <c r="D148" s="351"/>
      <c r="E148" s="351"/>
      <c r="F148" s="351" t="s">
        <v>996</v>
      </c>
      <c r="G148" s="351"/>
      <c r="H148" s="352">
        <v>780451.89</v>
      </c>
    </row>
    <row r="149" spans="1:8" x14ac:dyDescent="0.25">
      <c r="A149" s="351"/>
      <c r="B149" s="351"/>
      <c r="C149" s="351"/>
      <c r="D149" s="351"/>
      <c r="E149" s="351"/>
      <c r="F149" s="351" t="s">
        <v>997</v>
      </c>
      <c r="G149" s="351"/>
      <c r="H149" s="352">
        <v>-10805553.17</v>
      </c>
    </row>
    <row r="150" spans="1:8" ht="15.75" thickBot="1" x14ac:dyDescent="0.3">
      <c r="A150" s="351"/>
      <c r="B150" s="351"/>
      <c r="C150" s="351"/>
      <c r="D150" s="351"/>
      <c r="E150" s="351"/>
      <c r="F150" s="351" t="s">
        <v>998</v>
      </c>
      <c r="G150" s="351"/>
      <c r="H150" s="354">
        <v>39100</v>
      </c>
    </row>
    <row r="151" spans="1:8" x14ac:dyDescent="0.25">
      <c r="A151" s="351"/>
      <c r="B151" s="351"/>
      <c r="C151" s="351"/>
      <c r="D151" s="351"/>
      <c r="E151" s="351" t="s">
        <v>999</v>
      </c>
      <c r="F151" s="351"/>
      <c r="G151" s="351"/>
      <c r="H151" s="352">
        <f>ROUND(SUM(H144:H150),5)</f>
        <v>1267914.97</v>
      </c>
    </row>
    <row r="152" spans="1:8" x14ac:dyDescent="0.25">
      <c r="A152" s="351"/>
      <c r="B152" s="351"/>
      <c r="C152" s="351"/>
      <c r="D152" s="351"/>
      <c r="E152" s="351" t="s">
        <v>1000</v>
      </c>
      <c r="F152" s="351"/>
      <c r="G152" s="351"/>
      <c r="H152" s="352"/>
    </row>
    <row r="153" spans="1:8" x14ac:dyDescent="0.25">
      <c r="A153" s="351"/>
      <c r="B153" s="351"/>
      <c r="C153" s="351"/>
      <c r="D153" s="351"/>
      <c r="E153" s="351"/>
      <c r="F153" s="351" t="s">
        <v>1001</v>
      </c>
      <c r="G153" s="351"/>
      <c r="H153" s="352">
        <v>3717446.18</v>
      </c>
    </row>
    <row r="154" spans="1:8" x14ac:dyDescent="0.25">
      <c r="A154" s="351"/>
      <c r="B154" s="351"/>
      <c r="C154" s="351"/>
      <c r="D154" s="351"/>
      <c r="E154" s="351"/>
      <c r="F154" s="351" t="s">
        <v>1002</v>
      </c>
      <c r="G154" s="351"/>
      <c r="H154" s="352">
        <v>-3500949.04</v>
      </c>
    </row>
    <row r="155" spans="1:8" ht="15.75" thickBot="1" x14ac:dyDescent="0.3">
      <c r="A155" s="351"/>
      <c r="B155" s="351"/>
      <c r="C155" s="351"/>
      <c r="D155" s="351"/>
      <c r="E155" s="351"/>
      <c r="F155" s="351" t="s">
        <v>1003</v>
      </c>
      <c r="G155" s="351"/>
      <c r="H155" s="354">
        <v>5399150.6399999997</v>
      </c>
    </row>
    <row r="156" spans="1:8" x14ac:dyDescent="0.25">
      <c r="A156" s="351"/>
      <c r="B156" s="351"/>
      <c r="C156" s="351"/>
      <c r="D156" s="351"/>
      <c r="E156" s="351" t="s">
        <v>1004</v>
      </c>
      <c r="F156" s="351"/>
      <c r="G156" s="351"/>
      <c r="H156" s="352">
        <f>ROUND(SUM(H152:H155),5)</f>
        <v>5615647.7800000003</v>
      </c>
    </row>
    <row r="157" spans="1:8" x14ac:dyDescent="0.25">
      <c r="A157" s="351"/>
      <c r="B157" s="351"/>
      <c r="C157" s="351"/>
      <c r="D157" s="351"/>
      <c r="E157" s="351" t="s">
        <v>1005</v>
      </c>
      <c r="F157" s="351"/>
      <c r="G157" s="351"/>
      <c r="H157" s="352"/>
    </row>
    <row r="158" spans="1:8" x14ac:dyDescent="0.25">
      <c r="A158" s="351"/>
      <c r="B158" s="351"/>
      <c r="C158" s="351"/>
      <c r="D158" s="351"/>
      <c r="E158" s="351"/>
      <c r="F158" s="351" t="s">
        <v>1006</v>
      </c>
      <c r="G158" s="351"/>
      <c r="H158" s="352">
        <v>3850212.45</v>
      </c>
    </row>
    <row r="159" spans="1:8" x14ac:dyDescent="0.25">
      <c r="A159" s="351"/>
      <c r="B159" s="351"/>
      <c r="C159" s="351"/>
      <c r="D159" s="351"/>
      <c r="E159" s="351"/>
      <c r="F159" s="351" t="s">
        <v>1007</v>
      </c>
      <c r="G159" s="351"/>
      <c r="H159" s="352">
        <v>-2913443.26</v>
      </c>
    </row>
    <row r="160" spans="1:8" ht="15.75" thickBot="1" x14ac:dyDescent="0.3">
      <c r="A160" s="351"/>
      <c r="B160" s="351"/>
      <c r="C160" s="351"/>
      <c r="D160" s="351"/>
      <c r="E160" s="351"/>
      <c r="F160" s="351" t="s">
        <v>1008</v>
      </c>
      <c r="G160" s="351"/>
      <c r="H160" s="354">
        <v>17610</v>
      </c>
    </row>
    <row r="161" spans="1:11" x14ac:dyDescent="0.25">
      <c r="A161" s="351"/>
      <c r="B161" s="351"/>
      <c r="C161" s="351"/>
      <c r="D161" s="351"/>
      <c r="E161" s="351" t="s">
        <v>1009</v>
      </c>
      <c r="F161" s="351"/>
      <c r="G161" s="351"/>
      <c r="H161" s="352">
        <f>ROUND(SUM(H157:H160),5)</f>
        <v>954379.19</v>
      </c>
    </row>
    <row r="162" spans="1:11" x14ac:dyDescent="0.25">
      <c r="A162" s="351"/>
      <c r="B162" s="351"/>
      <c r="C162" s="351"/>
      <c r="D162" s="351"/>
      <c r="E162" s="351" t="s">
        <v>1010</v>
      </c>
      <c r="F162" s="351"/>
      <c r="G162" s="351"/>
      <c r="H162" s="352"/>
    </row>
    <row r="163" spans="1:11" x14ac:dyDescent="0.25">
      <c r="A163" s="351"/>
      <c r="B163" s="351"/>
      <c r="C163" s="351"/>
      <c r="D163" s="351"/>
      <c r="E163" s="351"/>
      <c r="F163" s="351" t="s">
        <v>1011</v>
      </c>
      <c r="G163" s="351"/>
      <c r="H163" s="352">
        <v>7035752.8399999999</v>
      </c>
    </row>
    <row r="164" spans="1:11" x14ac:dyDescent="0.25">
      <c r="A164" s="351"/>
      <c r="B164" s="351"/>
      <c r="C164" s="351"/>
      <c r="D164" s="351"/>
      <c r="E164" s="351"/>
      <c r="F164" s="351" t="s">
        <v>1012</v>
      </c>
      <c r="G164" s="351"/>
      <c r="H164" s="352">
        <v>1245339.33</v>
      </c>
    </row>
    <row r="165" spans="1:11" x14ac:dyDescent="0.25">
      <c r="A165" s="351"/>
      <c r="B165" s="351"/>
      <c r="C165" s="351"/>
      <c r="D165" s="351"/>
      <c r="E165" s="351"/>
      <c r="F165" s="351" t="s">
        <v>1013</v>
      </c>
      <c r="G165" s="351"/>
      <c r="H165" s="352">
        <v>846532.92</v>
      </c>
    </row>
    <row r="166" spans="1:11" ht="15.75" thickBot="1" x14ac:dyDescent="0.3">
      <c r="A166" s="351"/>
      <c r="B166" s="351"/>
      <c r="C166" s="351"/>
      <c r="D166" s="351"/>
      <c r="E166" s="351"/>
      <c r="F166" s="351" t="s">
        <v>1014</v>
      </c>
      <c r="G166" s="351"/>
      <c r="H166" s="354">
        <v>-7924077.9800000004</v>
      </c>
    </row>
    <row r="167" spans="1:11" x14ac:dyDescent="0.25">
      <c r="A167" s="351"/>
      <c r="B167" s="351"/>
      <c r="C167" s="351"/>
      <c r="D167" s="351"/>
      <c r="E167" s="351" t="s">
        <v>1015</v>
      </c>
      <c r="F167" s="351"/>
      <c r="G167" s="351"/>
      <c r="H167" s="352">
        <f>ROUND(SUM(H162:H166),5)</f>
        <v>1203547.1100000001</v>
      </c>
    </row>
    <row r="168" spans="1:11" x14ac:dyDescent="0.25">
      <c r="A168" s="351"/>
      <c r="B168" s="351"/>
      <c r="C168" s="351"/>
      <c r="D168" s="351"/>
      <c r="E168" s="351" t="s">
        <v>1016</v>
      </c>
      <c r="F168" s="351"/>
      <c r="G168" s="351"/>
      <c r="H168" s="352"/>
    </row>
    <row r="169" spans="1:11" x14ac:dyDescent="0.25">
      <c r="A169" s="351"/>
      <c r="B169" s="351"/>
      <c r="C169" s="351"/>
      <c r="D169" s="351"/>
      <c r="E169" s="351"/>
      <c r="F169" s="351" t="s">
        <v>1017</v>
      </c>
      <c r="G169" s="351"/>
      <c r="H169" s="352">
        <v>3864863.1</v>
      </c>
    </row>
    <row r="170" spans="1:11" x14ac:dyDescent="0.25">
      <c r="A170" s="351"/>
      <c r="B170" s="351"/>
      <c r="C170" s="351"/>
      <c r="D170" s="351"/>
      <c r="E170" s="351"/>
      <c r="F170" s="351" t="s">
        <v>1018</v>
      </c>
      <c r="G170" s="351"/>
      <c r="H170" s="352">
        <v>100672.5</v>
      </c>
    </row>
    <row r="171" spans="1:11" x14ac:dyDescent="0.25">
      <c r="A171" s="351"/>
      <c r="B171" s="351"/>
      <c r="C171" s="351"/>
      <c r="D171" s="351"/>
      <c r="E171" s="351"/>
      <c r="F171" s="351" t="s">
        <v>1019</v>
      </c>
      <c r="G171" s="351"/>
      <c r="H171" s="352">
        <v>9976778</v>
      </c>
    </row>
    <row r="172" spans="1:11" x14ac:dyDescent="0.25">
      <c r="A172" s="351"/>
      <c r="B172" s="351"/>
      <c r="C172" s="351"/>
      <c r="D172" s="351"/>
      <c r="E172" s="351"/>
      <c r="F172" s="351" t="s">
        <v>1020</v>
      </c>
      <c r="G172" s="351"/>
      <c r="H172" s="352">
        <v>-2857888.51</v>
      </c>
    </row>
    <row r="173" spans="1:11" ht="15.75" thickBot="1" x14ac:dyDescent="0.3">
      <c r="A173" s="351"/>
      <c r="B173" s="351"/>
      <c r="C173" s="351"/>
      <c r="D173" s="351"/>
      <c r="E173" s="351"/>
      <c r="F173" s="351" t="s">
        <v>1021</v>
      </c>
      <c r="G173" s="351"/>
      <c r="H173" s="355">
        <v>-665119</v>
      </c>
    </row>
    <row r="174" spans="1:11" ht="15.75" thickBot="1" x14ac:dyDescent="0.3">
      <c r="A174" s="351"/>
      <c r="B174" s="351"/>
      <c r="C174" s="351"/>
      <c r="D174" s="351"/>
      <c r="E174" s="351" t="s">
        <v>1022</v>
      </c>
      <c r="F174" s="351"/>
      <c r="G174" s="351"/>
      <c r="H174" s="356">
        <f>ROUND(SUM(H168:H173),5)</f>
        <v>10419306.09</v>
      </c>
    </row>
    <row r="175" spans="1:11" x14ac:dyDescent="0.25">
      <c r="A175" s="351"/>
      <c r="B175" s="351"/>
      <c r="C175" s="351"/>
      <c r="D175" s="351" t="s">
        <v>1023</v>
      </c>
      <c r="E175" s="351"/>
      <c r="F175" s="351"/>
      <c r="G175" s="351"/>
      <c r="H175" s="440" t="e">
        <f>ROUND(H109+H132+H143+H151+H156+H161+H167+H174,5)</f>
        <v>#REF!</v>
      </c>
    </row>
    <row r="176" spans="1:11" x14ac:dyDescent="0.25">
      <c r="A176" s="351"/>
      <c r="B176" s="351"/>
      <c r="C176" s="351"/>
      <c r="D176" s="351" t="s">
        <v>1024</v>
      </c>
      <c r="E176" s="351"/>
      <c r="F176" s="351"/>
      <c r="G176" s="351"/>
      <c r="H176" s="352"/>
      <c r="K176" s="438"/>
    </row>
    <row r="177" spans="1:12" x14ac:dyDescent="0.25">
      <c r="A177" s="351"/>
      <c r="B177" s="351"/>
      <c r="C177" s="351"/>
      <c r="D177" s="351"/>
      <c r="E177" s="351" t="s">
        <v>1025</v>
      </c>
      <c r="F177" s="351"/>
      <c r="G177" s="351"/>
      <c r="H177" s="352">
        <v>774735</v>
      </c>
      <c r="K177" s="438"/>
    </row>
    <row r="178" spans="1:12" x14ac:dyDescent="0.25">
      <c r="A178" s="351"/>
      <c r="B178" s="351"/>
      <c r="C178" s="351"/>
      <c r="D178" s="351"/>
      <c r="E178" s="351" t="s">
        <v>1026</v>
      </c>
      <c r="F178" s="351"/>
      <c r="G178" s="351"/>
      <c r="H178" s="352">
        <v>5709278.1699999999</v>
      </c>
      <c r="K178" s="438"/>
    </row>
    <row r="179" spans="1:12" x14ac:dyDescent="0.25">
      <c r="A179" s="351"/>
      <c r="B179" s="351"/>
      <c r="C179" s="351"/>
      <c r="D179" s="351"/>
      <c r="E179" s="351" t="s">
        <v>1027</v>
      </c>
      <c r="F179" s="351"/>
      <c r="G179" s="351"/>
      <c r="H179" s="352">
        <v>1324113.5900000001</v>
      </c>
      <c r="K179" s="438"/>
    </row>
    <row r="180" spans="1:12" x14ac:dyDescent="0.25">
      <c r="A180" s="351"/>
      <c r="B180" s="351"/>
      <c r="C180" s="351"/>
      <c r="D180" s="351"/>
      <c r="E180" s="351" t="s">
        <v>1028</v>
      </c>
      <c r="F180" s="351"/>
      <c r="G180" s="351"/>
      <c r="H180" s="352">
        <v>706531.5</v>
      </c>
      <c r="K180" s="438"/>
    </row>
    <row r="181" spans="1:12" x14ac:dyDescent="0.25">
      <c r="A181" s="351"/>
      <c r="B181" s="351"/>
      <c r="C181" s="351"/>
      <c r="D181" s="351"/>
      <c r="E181" s="351" t="s">
        <v>1029</v>
      </c>
      <c r="F181" s="351"/>
      <c r="G181" s="351"/>
      <c r="H181" s="352">
        <v>2389341</v>
      </c>
      <c r="K181" s="438"/>
    </row>
    <row r="182" spans="1:12" x14ac:dyDescent="0.25">
      <c r="A182" s="351"/>
      <c r="B182" s="351"/>
      <c r="C182" s="351"/>
      <c r="D182" s="351"/>
      <c r="E182" s="351" t="s">
        <v>1030</v>
      </c>
      <c r="F182" s="351"/>
      <c r="G182" s="351"/>
      <c r="H182" s="352">
        <v>1376683</v>
      </c>
      <c r="K182" s="438"/>
    </row>
    <row r="183" spans="1:12" x14ac:dyDescent="0.25">
      <c r="A183" s="351"/>
      <c r="B183" s="351"/>
      <c r="C183" s="351"/>
      <c r="D183" s="351"/>
      <c r="E183" s="351" t="s">
        <v>1031</v>
      </c>
      <c r="F183" s="351"/>
      <c r="G183" s="351"/>
      <c r="H183" s="352" t="e">
        <f>#REF!</f>
        <v>#REF!</v>
      </c>
      <c r="K183" s="438"/>
    </row>
    <row r="184" spans="1:12" x14ac:dyDescent="0.25">
      <c r="A184" s="351"/>
      <c r="B184" s="351"/>
      <c r="C184" s="351"/>
      <c r="D184" s="351"/>
      <c r="E184" s="351" t="s">
        <v>1032</v>
      </c>
      <c r="F184" s="351"/>
      <c r="G184" s="351"/>
      <c r="H184" s="352">
        <v>451915</v>
      </c>
      <c r="K184" s="438"/>
    </row>
    <row r="185" spans="1:12" x14ac:dyDescent="0.25">
      <c r="A185" s="351"/>
      <c r="B185" s="351"/>
      <c r="C185" s="351"/>
      <c r="D185" s="351"/>
      <c r="E185" s="351" t="s">
        <v>1033</v>
      </c>
      <c r="F185" s="351"/>
      <c r="G185" s="351"/>
      <c r="H185" s="352">
        <v>150000</v>
      </c>
      <c r="K185" s="438"/>
    </row>
    <row r="186" spans="1:12" x14ac:dyDescent="0.25">
      <c r="A186" s="351"/>
      <c r="B186" s="351"/>
      <c r="C186" s="351"/>
      <c r="D186" s="351"/>
      <c r="E186" s="351" t="s">
        <v>1034</v>
      </c>
      <c r="F186" s="351"/>
      <c r="G186" s="351"/>
      <c r="H186" s="352">
        <v>2837772.44</v>
      </c>
      <c r="K186" s="438"/>
      <c r="L186" s="437" t="e">
        <f>H195+H199</f>
        <v>#REF!</v>
      </c>
    </row>
    <row r="187" spans="1:12" ht="15.75" thickBot="1" x14ac:dyDescent="0.3">
      <c r="A187" s="351"/>
      <c r="B187" s="351"/>
      <c r="C187" s="351"/>
      <c r="D187" s="351"/>
      <c r="E187" s="351" t="s">
        <v>1035</v>
      </c>
      <c r="F187" s="351"/>
      <c r="G187" s="351"/>
      <c r="H187" s="354">
        <v>233100</v>
      </c>
      <c r="K187" s="438"/>
      <c r="L187" s="353" t="e">
        <f>#REF!</f>
        <v>#REF!</v>
      </c>
    </row>
    <row r="188" spans="1:12" x14ac:dyDescent="0.25">
      <c r="A188" s="351"/>
      <c r="B188" s="351"/>
      <c r="C188" s="351"/>
      <c r="D188" s="351" t="s">
        <v>1036</v>
      </c>
      <c r="E188" s="351"/>
      <c r="F188" s="351"/>
      <c r="G188" s="351"/>
      <c r="H188" s="440" t="e">
        <f>ROUND(SUM(H176:H187),5)</f>
        <v>#REF!</v>
      </c>
      <c r="K188" s="438">
        <v>0</v>
      </c>
      <c r="L188" s="437" t="e">
        <f>L186-L187</f>
        <v>#REF!</v>
      </c>
    </row>
    <row r="189" spans="1:12" x14ac:dyDescent="0.25">
      <c r="A189" s="351"/>
      <c r="B189" s="351"/>
      <c r="C189" s="351"/>
      <c r="D189" s="351" t="s">
        <v>1037</v>
      </c>
      <c r="E189" s="351"/>
      <c r="F189" s="351"/>
      <c r="G189" s="351"/>
      <c r="H189" s="352"/>
      <c r="L189" s="437"/>
    </row>
    <row r="190" spans="1:12" x14ac:dyDescent="0.25">
      <c r="A190" s="351"/>
      <c r="B190" s="351"/>
      <c r="C190" s="351"/>
      <c r="D190" s="351"/>
      <c r="E190" s="351" t="s">
        <v>1038</v>
      </c>
      <c r="F190" s="351"/>
      <c r="G190" s="351"/>
      <c r="H190" s="352">
        <v>2000000</v>
      </c>
    </row>
    <row r="191" spans="1:12" ht="15.75" thickBot="1" x14ac:dyDescent="0.3">
      <c r="A191" s="351"/>
      <c r="B191" s="351"/>
      <c r="C191" s="351"/>
      <c r="D191" s="351"/>
      <c r="E191" s="351" t="s">
        <v>1039</v>
      </c>
      <c r="F191" s="351"/>
      <c r="G191" s="351"/>
      <c r="H191" s="354">
        <v>-2000000</v>
      </c>
    </row>
    <row r="192" spans="1:12" x14ac:dyDescent="0.25">
      <c r="A192" s="351"/>
      <c r="B192" s="351"/>
      <c r="C192" s="351"/>
      <c r="D192" s="351" t="s">
        <v>1040</v>
      </c>
      <c r="E192" s="351"/>
      <c r="F192" s="351"/>
      <c r="G192" s="351"/>
      <c r="H192" s="352">
        <f>ROUND(SUM(H189:H191),5)</f>
        <v>0</v>
      </c>
    </row>
    <row r="193" spans="1:12" ht="15.75" thickBot="1" x14ac:dyDescent="0.3">
      <c r="A193" s="351"/>
      <c r="B193" s="351"/>
      <c r="C193" s="351"/>
      <c r="D193" s="351" t="s">
        <v>1041</v>
      </c>
      <c r="E193" s="351"/>
      <c r="F193" s="351"/>
      <c r="G193" s="351"/>
      <c r="H193" s="442">
        <v>-500000</v>
      </c>
    </row>
    <row r="194" spans="1:12" ht="15.75" thickBot="1" x14ac:dyDescent="0.3">
      <c r="A194" s="351"/>
      <c r="B194" s="351"/>
      <c r="C194" s="351" t="s">
        <v>1042</v>
      </c>
      <c r="D194" s="351"/>
      <c r="E194" s="351"/>
      <c r="F194" s="351"/>
      <c r="G194" s="351"/>
      <c r="H194" s="356" t="e">
        <f>ROUND(H108+H175+H188+SUM(H192:H193),5)</f>
        <v>#REF!</v>
      </c>
    </row>
    <row r="195" spans="1:12" x14ac:dyDescent="0.25">
      <c r="A195" s="351"/>
      <c r="B195" s="351" t="s">
        <v>1043</v>
      </c>
      <c r="C195" s="351"/>
      <c r="D195" s="351"/>
      <c r="E195" s="351"/>
      <c r="F195" s="351"/>
      <c r="G195" s="351"/>
      <c r="H195" s="352" t="e">
        <f>ROUND(H107+H194,5)</f>
        <v>#REF!</v>
      </c>
    </row>
    <row r="196" spans="1:12" x14ac:dyDescent="0.25">
      <c r="A196" s="351"/>
      <c r="B196" s="351" t="s">
        <v>1044</v>
      </c>
      <c r="C196" s="351"/>
      <c r="D196" s="351"/>
      <c r="E196" s="351"/>
      <c r="F196" s="351"/>
      <c r="G196" s="351"/>
      <c r="H196" s="352"/>
    </row>
    <row r="197" spans="1:12" x14ac:dyDescent="0.25">
      <c r="A197" s="351"/>
      <c r="B197" s="351"/>
      <c r="C197" s="351" t="s">
        <v>1045</v>
      </c>
      <c r="D197" s="351"/>
      <c r="E197" s="351"/>
      <c r="F197" s="351"/>
      <c r="G197" s="351"/>
      <c r="H197" s="352">
        <v>-397337</v>
      </c>
    </row>
    <row r="198" spans="1:12" x14ac:dyDescent="0.25">
      <c r="A198" s="351"/>
      <c r="B198" s="351"/>
      <c r="C198" s="351" t="s">
        <v>1046</v>
      </c>
      <c r="D198" s="351"/>
      <c r="E198" s="351"/>
      <c r="F198" s="351"/>
      <c r="G198" s="351"/>
      <c r="H198" s="352"/>
      <c r="L198" s="437" t="e">
        <f>H188+H199+H175</f>
        <v>#REF!</v>
      </c>
    </row>
    <row r="199" spans="1:12" ht="15.75" thickBot="1" x14ac:dyDescent="0.3">
      <c r="A199" s="351"/>
      <c r="B199" s="351"/>
      <c r="C199" s="351"/>
      <c r="D199" s="351" t="s">
        <v>1047</v>
      </c>
      <c r="E199" s="351"/>
      <c r="F199" s="351"/>
      <c r="G199" s="351"/>
      <c r="H199" s="441">
        <v>138105</v>
      </c>
    </row>
    <row r="200" spans="1:12" ht="15.75" thickBot="1" x14ac:dyDescent="0.3">
      <c r="A200" s="351"/>
      <c r="B200" s="351"/>
      <c r="C200" s="351" t="s">
        <v>1048</v>
      </c>
      <c r="D200" s="351"/>
      <c r="E200" s="351"/>
      <c r="F200" s="351"/>
      <c r="G200" s="351"/>
      <c r="H200" s="357">
        <f>ROUND(SUM(H198:H199),5)</f>
        <v>138105</v>
      </c>
    </row>
    <row r="201" spans="1:12" ht="15.75" thickBot="1" x14ac:dyDescent="0.3">
      <c r="A201" s="351"/>
      <c r="B201" s="351" t="s">
        <v>1049</v>
      </c>
      <c r="C201" s="351"/>
      <c r="D201" s="351"/>
      <c r="E201" s="351"/>
      <c r="F201" s="351"/>
      <c r="G201" s="351"/>
      <c r="H201" s="357">
        <f>ROUND(SUM(H196:H197)+H200,5)</f>
        <v>-259232</v>
      </c>
    </row>
    <row r="202" spans="1:12" s="359" customFormat="1" ht="12" thickBot="1" x14ac:dyDescent="0.25">
      <c r="A202" s="351" t="s">
        <v>1050</v>
      </c>
      <c r="B202" s="351"/>
      <c r="C202" s="351"/>
      <c r="D202" s="351"/>
      <c r="E202" s="351"/>
      <c r="F202" s="351"/>
      <c r="G202" s="351"/>
      <c r="H202" s="358" t="e">
        <f>ROUND(H2+H106+H195+H201,5)</f>
        <v>#REF!</v>
      </c>
    </row>
    <row r="203" spans="1:12" ht="15.75" thickTop="1" x14ac:dyDescent="0.25">
      <c r="A203" s="351" t="s">
        <v>1051</v>
      </c>
      <c r="B203" s="351"/>
      <c r="C203" s="351"/>
      <c r="D203" s="351"/>
      <c r="E203" s="351"/>
      <c r="F203" s="351"/>
      <c r="G203" s="351"/>
      <c r="H203" s="352"/>
    </row>
    <row r="204" spans="1:12" x14ac:dyDescent="0.25">
      <c r="A204" s="351"/>
      <c r="B204" s="351" t="s">
        <v>1052</v>
      </c>
      <c r="C204" s="351"/>
      <c r="D204" s="351"/>
      <c r="E204" s="351"/>
      <c r="F204" s="351"/>
      <c r="G204" s="351"/>
      <c r="H204" s="352"/>
    </row>
    <row r="205" spans="1:12" x14ac:dyDescent="0.25">
      <c r="A205" s="351"/>
      <c r="B205" s="351"/>
      <c r="C205" s="351" t="s">
        <v>52</v>
      </c>
      <c r="D205" s="351"/>
      <c r="E205" s="351"/>
      <c r="F205" s="351"/>
      <c r="G205" s="351"/>
      <c r="H205" s="352"/>
    </row>
    <row r="206" spans="1:12" x14ac:dyDescent="0.25">
      <c r="A206" s="351"/>
      <c r="B206" s="351"/>
      <c r="C206" s="351"/>
      <c r="D206" s="351" t="s">
        <v>1053</v>
      </c>
      <c r="E206" s="351"/>
      <c r="F206" s="351"/>
      <c r="G206" s="351"/>
      <c r="H206" s="352"/>
    </row>
    <row r="207" spans="1:12" x14ac:dyDescent="0.25">
      <c r="A207" s="351"/>
      <c r="B207" s="351"/>
      <c r="C207" s="351"/>
      <c r="D207" s="351"/>
      <c r="E207" s="351" t="s">
        <v>148</v>
      </c>
      <c r="F207" s="351"/>
      <c r="G207" s="351"/>
      <c r="H207" s="352">
        <v>70889297.150000006</v>
      </c>
    </row>
    <row r="208" spans="1:12" x14ac:dyDescent="0.25">
      <c r="A208" s="351"/>
      <c r="B208" s="351"/>
      <c r="C208" s="351"/>
      <c r="D208" s="351"/>
      <c r="E208" s="351" t="s">
        <v>673</v>
      </c>
      <c r="F208" s="351"/>
      <c r="G208" s="351"/>
      <c r="H208" s="352">
        <v>-65391.75</v>
      </c>
    </row>
    <row r="209" spans="1:8" ht="15.75" thickBot="1" x14ac:dyDescent="0.3">
      <c r="A209" s="351"/>
      <c r="B209" s="351"/>
      <c r="C209" s="351"/>
      <c r="D209" s="351"/>
      <c r="E209" s="351" t="s">
        <v>674</v>
      </c>
      <c r="F209" s="351"/>
      <c r="G209" s="351"/>
      <c r="H209" s="354">
        <v>35749332.969999999</v>
      </c>
    </row>
    <row r="210" spans="1:8" x14ac:dyDescent="0.25">
      <c r="A210" s="351"/>
      <c r="B210" s="351"/>
      <c r="C210" s="351"/>
      <c r="D210" s="351" t="s">
        <v>1054</v>
      </c>
      <c r="E210" s="351"/>
      <c r="F210" s="351"/>
      <c r="G210" s="351"/>
      <c r="H210" s="352">
        <f>ROUND(SUM(H206:H209),5)</f>
        <v>106573238.37</v>
      </c>
    </row>
    <row r="211" spans="1:8" x14ac:dyDescent="0.25">
      <c r="A211" s="351"/>
      <c r="B211" s="351"/>
      <c r="C211" s="351"/>
      <c r="D211" s="351" t="s">
        <v>490</v>
      </c>
      <c r="E211" s="351"/>
      <c r="F211" s="351"/>
      <c r="G211" s="351"/>
      <c r="H211" s="352"/>
    </row>
    <row r="212" spans="1:8" x14ac:dyDescent="0.25">
      <c r="A212" s="351"/>
      <c r="B212" s="351"/>
      <c r="C212" s="351"/>
      <c r="D212" s="351"/>
      <c r="E212" s="351" t="s">
        <v>1055</v>
      </c>
      <c r="F212" s="351"/>
      <c r="G212" s="351"/>
      <c r="H212" s="352"/>
    </row>
    <row r="213" spans="1:8" x14ac:dyDescent="0.25">
      <c r="A213" s="351"/>
      <c r="B213" s="351"/>
      <c r="C213" s="351"/>
      <c r="D213" s="351"/>
      <c r="E213" s="351"/>
      <c r="F213" s="351" t="s">
        <v>1056</v>
      </c>
      <c r="G213" s="351"/>
      <c r="H213" s="352">
        <v>336099.34</v>
      </c>
    </row>
    <row r="214" spans="1:8" ht="15.75" thickBot="1" x14ac:dyDescent="0.3">
      <c r="A214" s="351"/>
      <c r="B214" s="351"/>
      <c r="C214" s="351"/>
      <c r="D214" s="351"/>
      <c r="E214" s="351"/>
      <c r="F214" s="351" t="s">
        <v>1057</v>
      </c>
      <c r="G214" s="351"/>
      <c r="H214" s="355">
        <v>250652.26</v>
      </c>
    </row>
    <row r="215" spans="1:8" ht="15.75" thickBot="1" x14ac:dyDescent="0.3">
      <c r="A215" s="351"/>
      <c r="B215" s="351"/>
      <c r="C215" s="351"/>
      <c r="D215" s="351"/>
      <c r="E215" s="351" t="s">
        <v>1058</v>
      </c>
      <c r="F215" s="351"/>
      <c r="G215" s="351"/>
      <c r="H215" s="356">
        <f>ROUND(SUM(H212:H214),5)</f>
        <v>586751.6</v>
      </c>
    </row>
    <row r="216" spans="1:8" x14ac:dyDescent="0.25">
      <c r="A216" s="351"/>
      <c r="B216" s="351"/>
      <c r="C216" s="351"/>
      <c r="D216" s="351" t="s">
        <v>1059</v>
      </c>
      <c r="E216" s="351"/>
      <c r="F216" s="351"/>
      <c r="G216" s="351"/>
      <c r="H216" s="352">
        <f>ROUND(H211+H215,5)</f>
        <v>586751.6</v>
      </c>
    </row>
    <row r="217" spans="1:8" x14ac:dyDescent="0.25">
      <c r="A217" s="351"/>
      <c r="B217" s="351"/>
      <c r="C217" s="351"/>
      <c r="D217" s="351" t="s">
        <v>1060</v>
      </c>
      <c r="E217" s="351"/>
      <c r="F217" s="351"/>
      <c r="G217" s="351"/>
      <c r="H217" s="352"/>
    </row>
    <row r="218" spans="1:8" x14ac:dyDescent="0.25">
      <c r="A218" s="351"/>
      <c r="B218" s="351"/>
      <c r="C218" s="351"/>
      <c r="D218" s="351"/>
      <c r="E218" s="351" t="s">
        <v>1061</v>
      </c>
      <c r="F218" s="351"/>
      <c r="G218" s="351"/>
      <c r="H218" s="352"/>
    </row>
    <row r="219" spans="1:8" x14ac:dyDescent="0.25">
      <c r="A219" s="351"/>
      <c r="B219" s="351"/>
      <c r="C219" s="351"/>
      <c r="D219" s="351"/>
      <c r="E219" s="351"/>
      <c r="F219" s="351" t="s">
        <v>1062</v>
      </c>
      <c r="G219" s="351"/>
      <c r="H219" s="352">
        <v>12994677.689999999</v>
      </c>
    </row>
    <row r="220" spans="1:8" x14ac:dyDescent="0.25">
      <c r="A220" s="351"/>
      <c r="B220" s="351"/>
      <c r="C220" s="351"/>
      <c r="D220" s="351"/>
      <c r="E220" s="351"/>
      <c r="F220" s="351" t="s">
        <v>1063</v>
      </c>
      <c r="G220" s="351"/>
      <c r="H220" s="352">
        <v>112172</v>
      </c>
    </row>
    <row r="221" spans="1:8" x14ac:dyDescent="0.25">
      <c r="A221" s="351"/>
      <c r="B221" s="351"/>
      <c r="C221" s="351"/>
      <c r="D221" s="351"/>
      <c r="E221" s="351"/>
      <c r="F221" s="351" t="s">
        <v>1064</v>
      </c>
      <c r="G221" s="351"/>
      <c r="H221" s="352">
        <v>-850</v>
      </c>
    </row>
    <row r="222" spans="1:8" x14ac:dyDescent="0.25">
      <c r="A222" s="351"/>
      <c r="B222" s="351"/>
      <c r="C222" s="351"/>
      <c r="D222" s="351"/>
      <c r="E222" s="351"/>
      <c r="F222" s="351" t="s">
        <v>1065</v>
      </c>
      <c r="G222" s="351"/>
      <c r="H222" s="352">
        <v>813682.5</v>
      </c>
    </row>
    <row r="223" spans="1:8" x14ac:dyDescent="0.25">
      <c r="A223" s="351"/>
      <c r="B223" s="351"/>
      <c r="C223" s="351"/>
      <c r="D223" s="351"/>
      <c r="E223" s="351"/>
      <c r="F223" s="351" t="s">
        <v>1066</v>
      </c>
      <c r="G223" s="351"/>
      <c r="H223" s="352">
        <v>-74532.240000000005</v>
      </c>
    </row>
    <row r="224" spans="1:8" ht="15.75" thickBot="1" x14ac:dyDescent="0.3">
      <c r="A224" s="351"/>
      <c r="B224" s="351"/>
      <c r="C224" s="351"/>
      <c r="D224" s="351"/>
      <c r="E224" s="351"/>
      <c r="F224" s="351" t="s">
        <v>1067</v>
      </c>
      <c r="G224" s="351"/>
      <c r="H224" s="354">
        <v>1920389.5</v>
      </c>
    </row>
    <row r="225" spans="1:8" x14ac:dyDescent="0.25">
      <c r="A225" s="351"/>
      <c r="B225" s="351"/>
      <c r="C225" s="351"/>
      <c r="D225" s="351"/>
      <c r="E225" s="351" t="s">
        <v>1068</v>
      </c>
      <c r="F225" s="351"/>
      <c r="G225" s="351"/>
      <c r="H225" s="352">
        <f>ROUND(SUM(H218:H224),5)</f>
        <v>15765539.449999999</v>
      </c>
    </row>
    <row r="226" spans="1:8" x14ac:dyDescent="0.25">
      <c r="A226" s="351"/>
      <c r="B226" s="351"/>
      <c r="C226" s="351"/>
      <c r="D226" s="351"/>
      <c r="E226" s="351" t="s">
        <v>1069</v>
      </c>
      <c r="F226" s="351"/>
      <c r="G226" s="351"/>
      <c r="H226" s="352"/>
    </row>
    <row r="227" spans="1:8" x14ac:dyDescent="0.25">
      <c r="A227" s="351"/>
      <c r="B227" s="351"/>
      <c r="C227" s="351"/>
      <c r="D227" s="351"/>
      <c r="E227" s="351"/>
      <c r="F227" s="351" t="s">
        <v>1070</v>
      </c>
      <c r="G227" s="351"/>
      <c r="H227" s="352">
        <v>-2500</v>
      </c>
    </row>
    <row r="228" spans="1:8" x14ac:dyDescent="0.25">
      <c r="A228" s="351"/>
      <c r="B228" s="351"/>
      <c r="C228" s="351"/>
      <c r="D228" s="351"/>
      <c r="E228" s="351"/>
      <c r="F228" s="351" t="s">
        <v>1071</v>
      </c>
      <c r="G228" s="351"/>
      <c r="H228" s="352">
        <v>416000</v>
      </c>
    </row>
    <row r="229" spans="1:8" x14ac:dyDescent="0.25">
      <c r="A229" s="351"/>
      <c r="B229" s="351"/>
      <c r="C229" s="351"/>
      <c r="D229" s="351"/>
      <c r="E229" s="351"/>
      <c r="F229" s="351" t="s">
        <v>1072</v>
      </c>
      <c r="G229" s="351"/>
      <c r="H229" s="352">
        <v>295090.92</v>
      </c>
    </row>
    <row r="230" spans="1:8" x14ac:dyDescent="0.25">
      <c r="A230" s="351"/>
      <c r="B230" s="351"/>
      <c r="C230" s="351"/>
      <c r="D230" s="351"/>
      <c r="E230" s="351"/>
      <c r="F230" s="351" t="s">
        <v>1073</v>
      </c>
      <c r="G230" s="351"/>
      <c r="H230" s="352">
        <v>600892.18999999994</v>
      </c>
    </row>
    <row r="231" spans="1:8" x14ac:dyDescent="0.25">
      <c r="A231" s="351"/>
      <c r="B231" s="351"/>
      <c r="C231" s="351"/>
      <c r="D231" s="351"/>
      <c r="E231" s="351"/>
      <c r="F231" s="351" t="s">
        <v>1074</v>
      </c>
      <c r="G231" s="351"/>
      <c r="H231" s="352"/>
    </row>
    <row r="232" spans="1:8" x14ac:dyDescent="0.25">
      <c r="A232" s="351"/>
      <c r="B232" s="351"/>
      <c r="C232" s="351"/>
      <c r="D232" s="351"/>
      <c r="E232" s="351"/>
      <c r="F232" s="351"/>
      <c r="G232" s="351" t="s">
        <v>1075</v>
      </c>
      <c r="H232" s="352">
        <v>611989.84</v>
      </c>
    </row>
    <row r="233" spans="1:8" ht="15.75" thickBot="1" x14ac:dyDescent="0.3">
      <c r="A233" s="351"/>
      <c r="B233" s="351"/>
      <c r="C233" s="351"/>
      <c r="D233" s="351"/>
      <c r="E233" s="351"/>
      <c r="F233" s="351"/>
      <c r="G233" s="351" t="s">
        <v>1076</v>
      </c>
      <c r="H233" s="354">
        <v>7881289.4500000002</v>
      </c>
    </row>
    <row r="234" spans="1:8" x14ac:dyDescent="0.25">
      <c r="A234" s="351"/>
      <c r="B234" s="351"/>
      <c r="C234" s="351"/>
      <c r="D234" s="351"/>
      <c r="E234" s="351"/>
      <c r="F234" s="351" t="s">
        <v>1077</v>
      </c>
      <c r="G234" s="351"/>
      <c r="H234" s="352">
        <f>ROUND(SUM(H231:H233),5)</f>
        <v>8493279.2899999991</v>
      </c>
    </row>
    <row r="235" spans="1:8" x14ac:dyDescent="0.25">
      <c r="A235" s="351"/>
      <c r="B235" s="351"/>
      <c r="C235" s="351"/>
      <c r="D235" s="351"/>
      <c r="E235" s="351"/>
      <c r="F235" s="351" t="s">
        <v>1078</v>
      </c>
      <c r="G235" s="351"/>
      <c r="H235" s="352"/>
    </row>
    <row r="236" spans="1:8" x14ac:dyDescent="0.25">
      <c r="A236" s="351"/>
      <c r="B236" s="351"/>
      <c r="C236" s="351"/>
      <c r="D236" s="351"/>
      <c r="E236" s="351"/>
      <c r="F236" s="351"/>
      <c r="G236" s="351" t="s">
        <v>1079</v>
      </c>
      <c r="H236" s="352">
        <v>1874847</v>
      </c>
    </row>
    <row r="237" spans="1:8" x14ac:dyDescent="0.25">
      <c r="A237" s="351"/>
      <c r="B237" s="351"/>
      <c r="C237" s="351"/>
      <c r="D237" s="351"/>
      <c r="E237" s="351"/>
      <c r="F237" s="351"/>
      <c r="G237" s="351" t="s">
        <v>1080</v>
      </c>
      <c r="H237" s="440">
        <v>-21541647.600000001</v>
      </c>
    </row>
    <row r="238" spans="1:8" ht="15.75" thickBot="1" x14ac:dyDescent="0.3">
      <c r="A238" s="351"/>
      <c r="B238" s="351"/>
      <c r="C238" s="351"/>
      <c r="D238" s="351"/>
      <c r="E238" s="351"/>
      <c r="F238" s="351"/>
      <c r="G238" s="351" t="s">
        <v>1081</v>
      </c>
      <c r="H238" s="443">
        <v>-219443.35</v>
      </c>
    </row>
    <row r="239" spans="1:8" x14ac:dyDescent="0.25">
      <c r="A239" s="351"/>
      <c r="B239" s="351"/>
      <c r="C239" s="351"/>
      <c r="D239" s="351"/>
      <c r="E239" s="351"/>
      <c r="F239" s="351" t="s">
        <v>1082</v>
      </c>
      <c r="G239" s="351"/>
      <c r="H239" s="352">
        <f>ROUND(SUM(H235:H238),5)</f>
        <v>-19886243.949999999</v>
      </c>
    </row>
    <row r="240" spans="1:8" x14ac:dyDescent="0.25">
      <c r="A240" s="351"/>
      <c r="B240" s="351"/>
      <c r="C240" s="351"/>
      <c r="D240" s="351"/>
      <c r="E240" s="351"/>
      <c r="F240" s="351" t="s">
        <v>1083</v>
      </c>
      <c r="G240" s="351"/>
      <c r="H240" s="352">
        <v>54391022.689999998</v>
      </c>
    </row>
    <row r="241" spans="1:8" x14ac:dyDescent="0.25">
      <c r="A241" s="351"/>
      <c r="B241" s="351"/>
      <c r="C241" s="351"/>
      <c r="D241" s="351"/>
      <c r="E241" s="351"/>
      <c r="F241" s="351" t="s">
        <v>1084</v>
      </c>
      <c r="G241" s="351"/>
      <c r="H241" s="352">
        <v>1185289.92</v>
      </c>
    </row>
    <row r="242" spans="1:8" ht="15.75" thickBot="1" x14ac:dyDescent="0.3">
      <c r="A242" s="351"/>
      <c r="B242" s="351"/>
      <c r="C242" s="351"/>
      <c r="D242" s="351"/>
      <c r="E242" s="351"/>
      <c r="F242" s="351" t="s">
        <v>1085</v>
      </c>
      <c r="G242" s="351"/>
      <c r="H242" s="354">
        <v>-10409367.699999999</v>
      </c>
    </row>
    <row r="243" spans="1:8" x14ac:dyDescent="0.25">
      <c r="A243" s="351"/>
      <c r="B243" s="351"/>
      <c r="C243" s="351"/>
      <c r="D243" s="351"/>
      <c r="E243" s="351" t="s">
        <v>1086</v>
      </c>
      <c r="F243" s="351"/>
      <c r="G243" s="351"/>
      <c r="H243" s="352">
        <f>ROUND(SUM(H226:H230)+H234+SUM(H239:H242),5)</f>
        <v>35083463.359999999</v>
      </c>
    </row>
    <row r="244" spans="1:8" x14ac:dyDescent="0.25">
      <c r="A244" s="351"/>
      <c r="B244" s="351"/>
      <c r="C244" s="351"/>
      <c r="D244" s="351"/>
      <c r="E244" s="351" t="s">
        <v>522</v>
      </c>
      <c r="F244" s="351"/>
      <c r="G244" s="351"/>
      <c r="H244" s="352">
        <v>10000</v>
      </c>
    </row>
    <row r="245" spans="1:8" x14ac:dyDescent="0.25">
      <c r="A245" s="351"/>
      <c r="B245" s="351"/>
      <c r="C245" s="351"/>
      <c r="D245" s="351"/>
      <c r="E245" s="351" t="s">
        <v>684</v>
      </c>
      <c r="F245" s="351"/>
      <c r="G245" s="351"/>
      <c r="H245" s="352">
        <v>4307017.72</v>
      </c>
    </row>
    <row r="246" spans="1:8" ht="15.75" thickBot="1" x14ac:dyDescent="0.3">
      <c r="A246" s="351"/>
      <c r="B246" s="351"/>
      <c r="C246" s="351"/>
      <c r="D246" s="351"/>
      <c r="E246" s="351" t="s">
        <v>685</v>
      </c>
      <c r="F246" s="351"/>
      <c r="G246" s="351"/>
      <c r="H246" s="355">
        <v>13352356.07</v>
      </c>
    </row>
    <row r="247" spans="1:8" ht="15.75" thickBot="1" x14ac:dyDescent="0.3">
      <c r="A247" s="351"/>
      <c r="B247" s="351"/>
      <c r="C247" s="351"/>
      <c r="D247" s="351" t="s">
        <v>1087</v>
      </c>
      <c r="E247" s="351"/>
      <c r="F247" s="351"/>
      <c r="G247" s="351"/>
      <c r="H247" s="356">
        <f>ROUND(H217+H225+SUM(H243:H246),5)</f>
        <v>68518376.599999994</v>
      </c>
    </row>
    <row r="248" spans="1:8" x14ac:dyDescent="0.25">
      <c r="A248" s="351"/>
      <c r="B248" s="351"/>
      <c r="C248" s="351" t="s">
        <v>3</v>
      </c>
      <c r="D248" s="351"/>
      <c r="E248" s="351"/>
      <c r="F248" s="351"/>
      <c r="G248" s="351"/>
      <c r="H248" s="352">
        <f>ROUND(H205+H210+H216+H247,5)</f>
        <v>175678366.56999999</v>
      </c>
    </row>
    <row r="249" spans="1:8" x14ac:dyDescent="0.25">
      <c r="A249" s="351"/>
      <c r="B249" s="351"/>
      <c r="C249" s="351" t="s">
        <v>1088</v>
      </c>
      <c r="D249" s="351"/>
      <c r="E249" s="351"/>
      <c r="F249" s="351"/>
      <c r="G249" s="351"/>
      <c r="H249" s="352"/>
    </row>
    <row r="250" spans="1:8" x14ac:dyDescent="0.25">
      <c r="A250" s="351"/>
      <c r="B250" s="351"/>
      <c r="C250" s="351"/>
      <c r="D250" s="351" t="s">
        <v>1089</v>
      </c>
      <c r="E250" s="351"/>
      <c r="F250" s="351"/>
      <c r="G250" s="351"/>
      <c r="H250" s="352"/>
    </row>
    <row r="251" spans="1:8" x14ac:dyDescent="0.25">
      <c r="A251" s="351"/>
      <c r="B251" s="351"/>
      <c r="C251" s="351"/>
      <c r="D251" s="351"/>
      <c r="E251" s="351" t="s">
        <v>1090</v>
      </c>
      <c r="F251" s="351"/>
      <c r="G251" s="351"/>
      <c r="H251" s="352">
        <v>17309274.559999999</v>
      </c>
    </row>
    <row r="252" spans="1:8" x14ac:dyDescent="0.25">
      <c r="A252" s="351"/>
      <c r="B252" s="351"/>
      <c r="C252" s="351"/>
      <c r="D252" s="351"/>
      <c r="E252" s="351" t="s">
        <v>1091</v>
      </c>
      <c r="F252" s="351"/>
      <c r="G252" s="351"/>
      <c r="H252" s="352">
        <v>14564738.609999999</v>
      </c>
    </row>
    <row r="253" spans="1:8" x14ac:dyDescent="0.25">
      <c r="A253" s="351"/>
      <c r="B253" s="351"/>
      <c r="C253" s="351"/>
      <c r="D253" s="351"/>
      <c r="E253" s="351" t="s">
        <v>1092</v>
      </c>
      <c r="F253" s="351"/>
      <c r="G253" s="351"/>
      <c r="H253" s="352">
        <v>1360130.55</v>
      </c>
    </row>
    <row r="254" spans="1:8" x14ac:dyDescent="0.25">
      <c r="A254" s="351"/>
      <c r="B254" s="351"/>
      <c r="C254" s="351"/>
      <c r="D254" s="351"/>
      <c r="E254" s="351" t="s">
        <v>1093</v>
      </c>
      <c r="F254" s="351"/>
      <c r="G254" s="351"/>
      <c r="H254" s="352">
        <v>4153049.07</v>
      </c>
    </row>
    <row r="255" spans="1:8" x14ac:dyDescent="0.25">
      <c r="A255" s="351"/>
      <c r="B255" s="351"/>
      <c r="C255" s="351"/>
      <c r="D255" s="351"/>
      <c r="E255" s="351" t="s">
        <v>1094</v>
      </c>
      <c r="F255" s="351"/>
      <c r="G255" s="351"/>
      <c r="H255" s="352">
        <v>1905997</v>
      </c>
    </row>
    <row r="256" spans="1:8" x14ac:dyDescent="0.25">
      <c r="A256" s="351"/>
      <c r="B256" s="351"/>
      <c r="C256" s="351"/>
      <c r="D256" s="351"/>
      <c r="E256" s="351" t="s">
        <v>1095</v>
      </c>
      <c r="F256" s="351"/>
      <c r="G256" s="351"/>
      <c r="H256" s="352">
        <v>5000000</v>
      </c>
    </row>
    <row r="257" spans="1:11" x14ac:dyDescent="0.25">
      <c r="A257" s="351"/>
      <c r="B257" s="351"/>
      <c r="C257" s="351"/>
      <c r="D257" s="351"/>
      <c r="E257" s="351" t="s">
        <v>1096</v>
      </c>
      <c r="F257" s="351"/>
      <c r="G257" s="351"/>
      <c r="H257" s="352">
        <v>2718273</v>
      </c>
    </row>
    <row r="258" spans="1:11" x14ac:dyDescent="0.25">
      <c r="A258" s="351"/>
      <c r="B258" s="351"/>
      <c r="C258" s="351"/>
      <c r="D258" s="351"/>
      <c r="E258" s="351" t="s">
        <v>1097</v>
      </c>
      <c r="F258" s="351"/>
      <c r="G258" s="351"/>
      <c r="H258" s="352">
        <v>-972287</v>
      </c>
    </row>
    <row r="259" spans="1:11" x14ac:dyDescent="0.25">
      <c r="A259" s="351"/>
      <c r="B259" s="351"/>
      <c r="C259" s="351"/>
      <c r="D259" s="351"/>
      <c r="E259" s="351" t="s">
        <v>1098</v>
      </c>
      <c r="F259" s="351"/>
      <c r="G259" s="351"/>
      <c r="H259" s="352">
        <v>2416287</v>
      </c>
    </row>
    <row r="260" spans="1:11" x14ac:dyDescent="0.25">
      <c r="A260" s="351"/>
      <c r="B260" s="351"/>
      <c r="C260" s="351"/>
      <c r="D260" s="351"/>
      <c r="E260" s="351" t="s">
        <v>1099</v>
      </c>
      <c r="F260" s="351"/>
      <c r="G260" s="351"/>
      <c r="H260" s="352">
        <v>-864301</v>
      </c>
    </row>
    <row r="261" spans="1:11" ht="15.75" thickBot="1" x14ac:dyDescent="0.3">
      <c r="A261" s="351"/>
      <c r="B261" s="351"/>
      <c r="C261" s="351"/>
      <c r="D261" s="351"/>
      <c r="E261" s="351" t="s">
        <v>1100</v>
      </c>
      <c r="F261" s="351"/>
      <c r="G261" s="351"/>
      <c r="H261" s="355">
        <v>13055811.619999999</v>
      </c>
    </row>
    <row r="262" spans="1:11" ht="15.75" thickBot="1" x14ac:dyDescent="0.3">
      <c r="A262" s="351"/>
      <c r="B262" s="351"/>
      <c r="C262" s="351"/>
      <c r="D262" s="351" t="s">
        <v>1101</v>
      </c>
      <c r="E262" s="351"/>
      <c r="F262" s="351"/>
      <c r="G262" s="351"/>
      <c r="H262" s="357">
        <f>ROUND(SUM(H250:H261),5)</f>
        <v>60646973.409999996</v>
      </c>
    </row>
    <row r="263" spans="1:11" ht="15.75" thickBot="1" x14ac:dyDescent="0.3">
      <c r="A263" s="351"/>
      <c r="B263" s="351"/>
      <c r="C263" s="351" t="s">
        <v>1102</v>
      </c>
      <c r="D263" s="351"/>
      <c r="E263" s="351"/>
      <c r="F263" s="351"/>
      <c r="G263" s="351"/>
      <c r="H263" s="356">
        <f>ROUND(H249+H262,5)</f>
        <v>60646973.409999996</v>
      </c>
    </row>
    <row r="264" spans="1:11" x14ac:dyDescent="0.25">
      <c r="A264" s="351"/>
      <c r="B264" s="351" t="s">
        <v>1103</v>
      </c>
      <c r="C264" s="351"/>
      <c r="D264" s="351"/>
      <c r="E264" s="351"/>
      <c r="F264" s="351"/>
      <c r="G264" s="351"/>
      <c r="H264" s="352">
        <f>ROUND(H204+H248+H263,5)</f>
        <v>236325339.97999999</v>
      </c>
    </row>
    <row r="265" spans="1:11" x14ac:dyDescent="0.25">
      <c r="A265" s="351"/>
      <c r="B265" s="351" t="s">
        <v>2</v>
      </c>
      <c r="C265" s="351"/>
      <c r="D265" s="351"/>
      <c r="E265" s="351"/>
      <c r="F265" s="351"/>
      <c r="G265" s="351"/>
      <c r="H265" s="352"/>
    </row>
    <row r="266" spans="1:11" x14ac:dyDescent="0.25">
      <c r="A266" s="351"/>
      <c r="B266" s="351"/>
      <c r="C266" s="351" t="s">
        <v>175</v>
      </c>
      <c r="D266" s="351"/>
      <c r="E266" s="351"/>
      <c r="F266" s="351"/>
      <c r="G266" s="351"/>
      <c r="H266" s="352"/>
    </row>
    <row r="267" spans="1:11" x14ac:dyDescent="0.25">
      <c r="A267" s="351"/>
      <c r="B267" s="351"/>
      <c r="C267" s="351"/>
      <c r="D267" s="351" t="s">
        <v>1104</v>
      </c>
      <c r="E267" s="351"/>
      <c r="F267" s="351"/>
      <c r="G267" s="351"/>
      <c r="H267" s="352">
        <v>2000020</v>
      </c>
    </row>
    <row r="268" spans="1:11" x14ac:dyDescent="0.25">
      <c r="A268" s="351"/>
      <c r="B268" s="351"/>
      <c r="C268" s="351"/>
      <c r="D268" s="351" t="s">
        <v>1105</v>
      </c>
      <c r="E268" s="351"/>
      <c r="F268" s="351"/>
      <c r="G268" s="351"/>
      <c r="H268" s="352">
        <v>-33046</v>
      </c>
    </row>
    <row r="269" spans="1:11" x14ac:dyDescent="0.25">
      <c r="A269" s="351"/>
      <c r="B269" s="351"/>
      <c r="C269" s="351"/>
      <c r="D269" s="351" t="s">
        <v>1106</v>
      </c>
      <c r="E269" s="351"/>
      <c r="F269" s="351"/>
      <c r="G269" s="351"/>
      <c r="H269" s="352">
        <v>-137510.44</v>
      </c>
    </row>
    <row r="270" spans="1:11" ht="15.75" thickBot="1" x14ac:dyDescent="0.3">
      <c r="A270" s="351"/>
      <c r="B270" s="351"/>
      <c r="C270" s="351"/>
      <c r="D270" s="351" t="s">
        <v>1107</v>
      </c>
      <c r="E270" s="351"/>
      <c r="F270" s="351"/>
      <c r="G270" s="351"/>
      <c r="H270" s="354">
        <v>24639053.23</v>
      </c>
    </row>
    <row r="271" spans="1:11" x14ac:dyDescent="0.25">
      <c r="A271" s="351"/>
      <c r="B271" s="351"/>
      <c r="C271" s="351" t="s">
        <v>1108</v>
      </c>
      <c r="D271" s="351"/>
      <c r="E271" s="351"/>
      <c r="F271" s="351"/>
      <c r="G271" s="351"/>
      <c r="H271" s="352">
        <f>ROUND(SUM(H266:H270),5)</f>
        <v>26468516.789999999</v>
      </c>
    </row>
    <row r="272" spans="1:11" x14ac:dyDescent="0.25">
      <c r="A272" s="351"/>
      <c r="B272" s="351"/>
      <c r="C272" s="351" t="s">
        <v>178</v>
      </c>
      <c r="D272" s="351"/>
      <c r="E272" s="351"/>
      <c r="F272" s="351"/>
      <c r="G272" s="351"/>
      <c r="H272" s="352">
        <v>118632787.90000001</v>
      </c>
      <c r="K272" s="439">
        <f>H272+H269+H268</f>
        <v>118462231.46000001</v>
      </c>
    </row>
    <row r="273" spans="1:8" ht="15.75" thickBot="1" x14ac:dyDescent="0.3">
      <c r="A273" s="351"/>
      <c r="B273" s="351"/>
      <c r="C273" s="351" t="s">
        <v>1109</v>
      </c>
      <c r="D273" s="351"/>
      <c r="E273" s="351"/>
      <c r="F273" s="351"/>
      <c r="G273" s="351"/>
      <c r="H273" s="355">
        <v>-4865112.63</v>
      </c>
    </row>
    <row r="274" spans="1:8" ht="15.75" thickBot="1" x14ac:dyDescent="0.3">
      <c r="A274" s="351"/>
      <c r="B274" s="351" t="s">
        <v>68</v>
      </c>
      <c r="C274" s="351"/>
      <c r="D274" s="351"/>
      <c r="E274" s="351"/>
      <c r="F274" s="351"/>
      <c r="G274" s="351"/>
      <c r="H274" s="357">
        <f>ROUND(H265+SUM(H271:H273),5)</f>
        <v>140236192.06</v>
      </c>
    </row>
    <row r="275" spans="1:8" s="359" customFormat="1" ht="12" thickBot="1" x14ac:dyDescent="0.25">
      <c r="A275" s="351" t="s">
        <v>1110</v>
      </c>
      <c r="B275" s="351"/>
      <c r="C275" s="351"/>
      <c r="D275" s="351"/>
      <c r="E275" s="351"/>
      <c r="F275" s="351"/>
      <c r="G275" s="351"/>
      <c r="H275" s="358">
        <f>ROUND(H203+H264+H274,5)</f>
        <v>376561532.04000002</v>
      </c>
    </row>
    <row r="276" spans="1:8" ht="15.75" thickTop="1" x14ac:dyDescent="0.25"/>
    <row r="278" spans="1:8" x14ac:dyDescent="0.25">
      <c r="H278" s="361" t="e">
        <f>H275-H202</f>
        <v>#REF!</v>
      </c>
    </row>
  </sheetData>
  <autoFilter ref="A1:L278" xr:uid="{00000000-0009-0000-0000-00000E000000}"/>
  <pageMargins left="0.7" right="0.7" top="0.75" bottom="0.75" header="0.1" footer="0.3"/>
  <pageSetup orientation="portrait" r:id="rId1"/>
  <headerFooter>
    <oddHeader>&amp;L&amp;"Arial,Bold"&amp;8 9:46 PM
&amp;"Arial,Bold"&amp;8 08/22/17
&amp;"Arial,Bold"&amp;8 Accrual Basis&amp;C&amp;"Arial,Bold"&amp;12 Tropical Fish International (Pvt) Limited
&amp;"Arial,Bold"&amp;14 Balance Sheet
&amp;"Arial,Bold"&amp;10 As of December 31, 2016</oddHeader>
    <oddFooter>&amp;R&amp;"Arial,Bold"&amp;8 Page &amp;P of &amp;N</oddFooter>
  </headerFooter>
  <drawing r:id="rId2"/>
  <legacyDrawing r:id="rId3"/>
  <controls>
    <mc:AlternateContent xmlns:mc="http://schemas.openxmlformats.org/markup-compatibility/2006">
      <mc:Choice Requires="x14">
        <control shapeId="19457" r:id="rId4" name="FILTER">
          <controlPr defaultSize="0" autoLine="0" r:id="rId5">
            <anchor moveWithCells="1">
              <from>
                <xdr:col>0</xdr:col>
                <xdr:colOff>0</xdr:colOff>
                <xdr:row>0</xdr:row>
                <xdr:rowOff>0</xdr:rowOff>
              </from>
              <to>
                <xdr:col>4</xdr:col>
                <xdr:colOff>114300</xdr:colOff>
                <xdr:row>1</xdr:row>
                <xdr:rowOff>28575</xdr:rowOff>
              </to>
            </anchor>
          </controlPr>
        </control>
      </mc:Choice>
      <mc:Fallback>
        <control shapeId="19457" r:id="rId4" name="FILTER"/>
      </mc:Fallback>
    </mc:AlternateContent>
    <mc:AlternateContent xmlns:mc="http://schemas.openxmlformats.org/markup-compatibility/2006">
      <mc:Choice Requires="x14">
        <control shapeId="19458" r:id="rId6" name="HEADER">
          <controlPr defaultSize="0" autoLine="0" r:id="rId7">
            <anchor moveWithCells="1">
              <from>
                <xdr:col>0</xdr:col>
                <xdr:colOff>0</xdr:colOff>
                <xdr:row>0</xdr:row>
                <xdr:rowOff>0</xdr:rowOff>
              </from>
              <to>
                <xdr:col>4</xdr:col>
                <xdr:colOff>114300</xdr:colOff>
                <xdr:row>1</xdr:row>
                <xdr:rowOff>28575</xdr:rowOff>
              </to>
            </anchor>
          </controlPr>
        </control>
      </mc:Choice>
      <mc:Fallback>
        <control shapeId="19458" r:id="rId6" name="HEADER"/>
      </mc:Fallback>
    </mc:AlternateContent>
  </controls>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3"/>
  <dimension ref="A1:R365"/>
  <sheetViews>
    <sheetView workbookViewId="0">
      <pane xSplit="9" ySplit="1" topLeftCell="J346" activePane="bottomRight" state="frozenSplit"/>
      <selection pane="topRight" activeCell="J1" sqref="J1"/>
      <selection pane="bottomLeft" activeCell="A2" sqref="A2"/>
      <selection pane="bottomRight" activeCell="K361" sqref="K361"/>
    </sheetView>
  </sheetViews>
  <sheetFormatPr defaultRowHeight="15" x14ac:dyDescent="0.25"/>
  <cols>
    <col min="1" max="8" width="3" style="360" customWidth="1"/>
    <col min="9" max="9" width="40" style="360" customWidth="1"/>
    <col min="10" max="10" width="12.85546875" style="426" bestFit="1" customWidth="1"/>
    <col min="11" max="11" width="9.140625" style="353"/>
    <col min="12" max="12" width="9.140625" style="426"/>
    <col min="13" max="13" width="15" style="426" bestFit="1" customWidth="1"/>
    <col min="14" max="14" width="18.85546875" style="426" bestFit="1" customWidth="1"/>
    <col min="15" max="15" width="9.140625" style="353"/>
    <col min="16" max="16" width="12.7109375" style="353" bestFit="1" customWidth="1"/>
    <col min="17" max="17" width="14" style="353" bestFit="1" customWidth="1"/>
    <col min="18" max="16384" width="9.140625" style="353"/>
  </cols>
  <sheetData>
    <row r="1" spans="1:14" s="350" customFormat="1" ht="15.75" thickBot="1" x14ac:dyDescent="0.3">
      <c r="A1" s="348"/>
      <c r="B1" s="348"/>
      <c r="C1" s="348"/>
      <c r="D1" s="348"/>
      <c r="E1" s="348"/>
      <c r="F1" s="348"/>
      <c r="G1" s="348"/>
      <c r="H1" s="348"/>
      <c r="I1" s="348"/>
      <c r="J1" s="430" t="s">
        <v>1111</v>
      </c>
      <c r="L1" s="427"/>
      <c r="M1" s="427"/>
      <c r="N1" s="427"/>
    </row>
    <row r="2" spans="1:14" ht="15.75" thickTop="1" x14ac:dyDescent="0.25">
      <c r="A2" s="351"/>
      <c r="B2" s="351" t="s">
        <v>1112</v>
      </c>
      <c r="C2" s="351"/>
      <c r="D2" s="351"/>
      <c r="E2" s="351"/>
      <c r="F2" s="351"/>
      <c r="G2" s="351"/>
      <c r="H2" s="351"/>
      <c r="I2" s="351"/>
      <c r="J2" s="431"/>
    </row>
    <row r="3" spans="1:14" x14ac:dyDescent="0.25">
      <c r="A3" s="351"/>
      <c r="B3" s="351"/>
      <c r="C3" s="351"/>
      <c r="D3" s="351" t="s">
        <v>1113</v>
      </c>
      <c r="E3" s="351"/>
      <c r="F3" s="351"/>
      <c r="G3" s="351"/>
      <c r="H3" s="351"/>
      <c r="I3" s="351"/>
      <c r="J3" s="431"/>
    </row>
    <row r="4" spans="1:14" x14ac:dyDescent="0.25">
      <c r="A4" s="351"/>
      <c r="B4" s="351"/>
      <c r="C4" s="351"/>
      <c r="D4" s="351"/>
      <c r="E4" s="351" t="s">
        <v>691</v>
      </c>
      <c r="F4" s="351"/>
      <c r="G4" s="351"/>
      <c r="H4" s="351"/>
      <c r="I4" s="351"/>
      <c r="J4" s="431"/>
    </row>
    <row r="5" spans="1:14" x14ac:dyDescent="0.25">
      <c r="A5" s="351"/>
      <c r="B5" s="351"/>
      <c r="C5" s="351"/>
      <c r="D5" s="351"/>
      <c r="E5" s="351"/>
      <c r="F5" s="351" t="s">
        <v>1114</v>
      </c>
      <c r="G5" s="351"/>
      <c r="H5" s="351"/>
      <c r="I5" s="351"/>
      <c r="J5" s="431">
        <v>112352783.08</v>
      </c>
    </row>
    <row r="6" spans="1:14" x14ac:dyDescent="0.25">
      <c r="A6" s="351"/>
      <c r="B6" s="351"/>
      <c r="C6" s="351"/>
      <c r="D6" s="351"/>
      <c r="E6" s="351"/>
      <c r="F6" s="351" t="s">
        <v>1115</v>
      </c>
      <c r="G6" s="351"/>
      <c r="H6" s="351"/>
      <c r="I6" s="351"/>
      <c r="J6" s="431">
        <v>6892142.2199999997</v>
      </c>
    </row>
    <row r="7" spans="1:14" x14ac:dyDescent="0.25">
      <c r="A7" s="351"/>
      <c r="B7" s="351"/>
      <c r="C7" s="351"/>
      <c r="D7" s="351"/>
      <c r="E7" s="351"/>
      <c r="F7" s="351" t="s">
        <v>1116</v>
      </c>
      <c r="G7" s="351"/>
      <c r="H7" s="351"/>
      <c r="I7" s="351"/>
      <c r="J7" s="431">
        <v>2416401.12</v>
      </c>
    </row>
    <row r="8" spans="1:14" x14ac:dyDescent="0.25">
      <c r="A8" s="351"/>
      <c r="B8" s="351"/>
      <c r="C8" s="351"/>
      <c r="D8" s="351"/>
      <c r="E8" s="351"/>
      <c r="F8" s="351" t="s">
        <v>1117</v>
      </c>
      <c r="G8" s="351"/>
      <c r="H8" s="351"/>
      <c r="I8" s="351"/>
      <c r="J8" s="431">
        <v>450000</v>
      </c>
    </row>
    <row r="9" spans="1:14" x14ac:dyDescent="0.25">
      <c r="A9" s="351"/>
      <c r="B9" s="351"/>
      <c r="C9" s="351"/>
      <c r="D9" s="351"/>
      <c r="E9" s="351"/>
      <c r="F9" s="351" t="s">
        <v>1118</v>
      </c>
      <c r="G9" s="351"/>
      <c r="H9" s="351"/>
      <c r="I9" s="351"/>
      <c r="J9" s="431">
        <v>7182096.1100000003</v>
      </c>
    </row>
    <row r="10" spans="1:14" x14ac:dyDescent="0.25">
      <c r="A10" s="351"/>
      <c r="B10" s="351"/>
      <c r="C10" s="351"/>
      <c r="D10" s="351"/>
      <c r="E10" s="351"/>
      <c r="F10" s="351" t="s">
        <v>1119</v>
      </c>
      <c r="G10" s="351"/>
      <c r="H10" s="351"/>
      <c r="I10" s="351"/>
      <c r="J10" s="431">
        <v>61753303.229999997</v>
      </c>
    </row>
    <row r="11" spans="1:14" x14ac:dyDescent="0.25">
      <c r="A11" s="351"/>
      <c r="B11" s="351"/>
      <c r="C11" s="351"/>
      <c r="D11" s="351"/>
      <c r="E11" s="351"/>
      <c r="F11" s="351" t="s">
        <v>1120</v>
      </c>
      <c r="G11" s="351"/>
      <c r="H11" s="351"/>
      <c r="I11" s="351"/>
      <c r="J11" s="431">
        <v>3102043.74</v>
      </c>
    </row>
    <row r="12" spans="1:14" x14ac:dyDescent="0.25">
      <c r="A12" s="351"/>
      <c r="B12" s="351"/>
      <c r="C12" s="351"/>
      <c r="D12" s="351"/>
      <c r="E12" s="351"/>
      <c r="F12" s="351" t="s">
        <v>1121</v>
      </c>
      <c r="G12" s="351"/>
      <c r="H12" s="351"/>
      <c r="I12" s="351"/>
      <c r="J12" s="431"/>
    </row>
    <row r="13" spans="1:14" x14ac:dyDescent="0.25">
      <c r="A13" s="351"/>
      <c r="B13" s="351"/>
      <c r="C13" s="351"/>
      <c r="D13" s="351"/>
      <c r="E13" s="351"/>
      <c r="F13" s="351"/>
      <c r="G13" s="351" t="s">
        <v>1122</v>
      </c>
      <c r="H13" s="351"/>
      <c r="I13" s="351"/>
      <c r="J13" s="431">
        <v>8470.83</v>
      </c>
    </row>
    <row r="14" spans="1:14" x14ac:dyDescent="0.25">
      <c r="A14" s="351"/>
      <c r="B14" s="351"/>
      <c r="C14" s="351"/>
      <c r="D14" s="351"/>
      <c r="E14" s="351"/>
      <c r="F14" s="351"/>
      <c r="G14" s="351" t="s">
        <v>1123</v>
      </c>
      <c r="H14" s="351"/>
      <c r="I14" s="351"/>
      <c r="J14" s="431">
        <v>92403.34</v>
      </c>
    </row>
    <row r="15" spans="1:14" ht="15.75" thickBot="1" x14ac:dyDescent="0.3">
      <c r="A15" s="351"/>
      <c r="B15" s="351"/>
      <c r="C15" s="351"/>
      <c r="D15" s="351"/>
      <c r="E15" s="351"/>
      <c r="F15" s="351"/>
      <c r="G15" s="351" t="s">
        <v>1124</v>
      </c>
      <c r="H15" s="351"/>
      <c r="I15" s="351"/>
      <c r="J15" s="432">
        <v>-639</v>
      </c>
    </row>
    <row r="16" spans="1:14" x14ac:dyDescent="0.25">
      <c r="A16" s="351"/>
      <c r="B16" s="351"/>
      <c r="C16" s="351"/>
      <c r="D16" s="351"/>
      <c r="E16" s="351"/>
      <c r="F16" s="351" t="s">
        <v>1125</v>
      </c>
      <c r="G16" s="351"/>
      <c r="H16" s="351"/>
      <c r="I16" s="351"/>
      <c r="J16" s="431">
        <f>ROUND(SUM(J12:J15),5)</f>
        <v>100235.17</v>
      </c>
    </row>
    <row r="17" spans="1:15" ht="15.75" thickBot="1" x14ac:dyDescent="0.3">
      <c r="A17" s="351"/>
      <c r="B17" s="351"/>
      <c r="C17" s="351"/>
      <c r="D17" s="351"/>
      <c r="E17" s="351"/>
      <c r="F17" s="351" t="s">
        <v>1126</v>
      </c>
      <c r="G17" s="351"/>
      <c r="H17" s="351"/>
      <c r="I17" s="351"/>
      <c r="J17" s="433">
        <v>1494163.66</v>
      </c>
    </row>
    <row r="18" spans="1:15" ht="15.75" thickBot="1" x14ac:dyDescent="0.3">
      <c r="A18" s="351"/>
      <c r="B18" s="351"/>
      <c r="C18" s="351"/>
      <c r="D18" s="351"/>
      <c r="E18" s="351" t="s">
        <v>1127</v>
      </c>
      <c r="F18" s="351"/>
      <c r="G18" s="351"/>
      <c r="H18" s="351"/>
      <c r="I18" s="351"/>
      <c r="J18" s="434">
        <f>ROUND(SUM(J4:J11)+SUM(J16:J17),5)</f>
        <v>195743168.33000001</v>
      </c>
      <c r="L18" s="428" t="s">
        <v>1505</v>
      </c>
      <c r="N18" s="426">
        <f>J18-J54</f>
        <v>140712987.04000002</v>
      </c>
    </row>
    <row r="19" spans="1:15" x14ac:dyDescent="0.25">
      <c r="A19" s="351"/>
      <c r="B19" s="351"/>
      <c r="C19" s="351"/>
      <c r="D19" s="351" t="s">
        <v>1128</v>
      </c>
      <c r="E19" s="351"/>
      <c r="F19" s="351"/>
      <c r="G19" s="351"/>
      <c r="H19" s="351"/>
      <c r="I19" s="351"/>
      <c r="J19" s="431">
        <f>ROUND(J3+J18,5)</f>
        <v>195743168.33000001</v>
      </c>
      <c r="N19" s="426">
        <f>N18-'1-4'!E18</f>
        <v>90577143.62000002</v>
      </c>
      <c r="O19" s="422" t="s">
        <v>1507</v>
      </c>
    </row>
    <row r="20" spans="1:15" x14ac:dyDescent="0.25">
      <c r="A20" s="351"/>
      <c r="B20" s="351"/>
      <c r="C20" s="351"/>
      <c r="D20" s="351" t="s">
        <v>829</v>
      </c>
      <c r="E20" s="351"/>
      <c r="F20" s="351"/>
      <c r="G20" s="351"/>
      <c r="H20" s="351"/>
      <c r="I20" s="351"/>
      <c r="J20" s="431"/>
    </row>
    <row r="21" spans="1:15" x14ac:dyDescent="0.25">
      <c r="A21" s="351"/>
      <c r="B21" s="351"/>
      <c r="C21" s="351"/>
      <c r="D21" s="351"/>
      <c r="E21" s="351" t="s">
        <v>692</v>
      </c>
      <c r="F21" s="351"/>
      <c r="G21" s="351"/>
      <c r="H21" s="351"/>
      <c r="I21" s="351"/>
      <c r="J21" s="431">
        <v>126341.53</v>
      </c>
    </row>
    <row r="22" spans="1:15" x14ac:dyDescent="0.25">
      <c r="A22" s="351"/>
      <c r="B22" s="351"/>
      <c r="C22" s="351"/>
      <c r="D22" s="351"/>
      <c r="E22" s="351" t="s">
        <v>693</v>
      </c>
      <c r="F22" s="351"/>
      <c r="G22" s="351"/>
      <c r="H22" s="351"/>
      <c r="I22" s="351"/>
      <c r="J22" s="431"/>
    </row>
    <row r="23" spans="1:15" x14ac:dyDescent="0.25">
      <c r="A23" s="351"/>
      <c r="B23" s="351"/>
      <c r="C23" s="351"/>
      <c r="D23" s="351"/>
      <c r="E23" s="351"/>
      <c r="F23" s="351" t="s">
        <v>1129</v>
      </c>
      <c r="G23" s="351"/>
      <c r="H23" s="351"/>
      <c r="I23" s="351"/>
      <c r="J23" s="431"/>
      <c r="N23" s="426">
        <f>J80-J54</f>
        <v>84907726.939999998</v>
      </c>
    </row>
    <row r="24" spans="1:15" x14ac:dyDescent="0.25">
      <c r="A24" s="351"/>
      <c r="B24" s="351"/>
      <c r="C24" s="351"/>
      <c r="D24" s="351"/>
      <c r="E24" s="351"/>
      <c r="F24" s="351"/>
      <c r="G24" s="351" t="s">
        <v>1130</v>
      </c>
      <c r="H24" s="351"/>
      <c r="I24" s="351"/>
      <c r="J24" s="431">
        <v>1898279.03</v>
      </c>
      <c r="N24" s="426">
        <f>N23-'1-4'!E38</f>
        <v>56031686.259999998</v>
      </c>
    </row>
    <row r="25" spans="1:15" ht="15.75" thickBot="1" x14ac:dyDescent="0.3">
      <c r="A25" s="351"/>
      <c r="B25" s="351"/>
      <c r="C25" s="351"/>
      <c r="D25" s="351"/>
      <c r="E25" s="351"/>
      <c r="F25" s="351"/>
      <c r="G25" s="351" t="s">
        <v>1131</v>
      </c>
      <c r="H25" s="351"/>
      <c r="I25" s="351"/>
      <c r="J25" s="432">
        <v>15460</v>
      </c>
    </row>
    <row r="26" spans="1:15" x14ac:dyDescent="0.25">
      <c r="A26" s="351"/>
      <c r="B26" s="351"/>
      <c r="C26" s="351"/>
      <c r="D26" s="351"/>
      <c r="E26" s="351"/>
      <c r="F26" s="351" t="s">
        <v>1132</v>
      </c>
      <c r="G26" s="351"/>
      <c r="H26" s="351"/>
      <c r="I26" s="351"/>
      <c r="J26" s="431">
        <f>ROUND(SUM(J23:J25),5)</f>
        <v>1913739.03</v>
      </c>
    </row>
    <row r="27" spans="1:15" x14ac:dyDescent="0.25">
      <c r="A27" s="351"/>
      <c r="B27" s="351"/>
      <c r="C27" s="351"/>
      <c r="D27" s="351"/>
      <c r="E27" s="351"/>
      <c r="F27" s="351" t="s">
        <v>1133</v>
      </c>
      <c r="G27" s="351"/>
      <c r="H27" s="351"/>
      <c r="I27" s="351"/>
      <c r="J27" s="431"/>
    </row>
    <row r="28" spans="1:15" x14ac:dyDescent="0.25">
      <c r="A28" s="351"/>
      <c r="B28" s="351"/>
      <c r="C28" s="351"/>
      <c r="D28" s="351"/>
      <c r="E28" s="351"/>
      <c r="F28" s="351"/>
      <c r="G28" s="351" t="s">
        <v>1134</v>
      </c>
      <c r="H28" s="351"/>
      <c r="I28" s="351"/>
      <c r="J28" s="431">
        <v>44600362.950000003</v>
      </c>
    </row>
    <row r="29" spans="1:15" x14ac:dyDescent="0.25">
      <c r="A29" s="351"/>
      <c r="B29" s="351"/>
      <c r="C29" s="351"/>
      <c r="D29" s="351"/>
      <c r="E29" s="351"/>
      <c r="F29" s="351"/>
      <c r="G29" s="351" t="s">
        <v>1135</v>
      </c>
      <c r="H29" s="351"/>
      <c r="I29" s="351"/>
      <c r="J29" s="431">
        <v>4037252.82</v>
      </c>
    </row>
    <row r="30" spans="1:15" x14ac:dyDescent="0.25">
      <c r="A30" s="351"/>
      <c r="B30" s="351"/>
      <c r="C30" s="351"/>
      <c r="D30" s="351"/>
      <c r="E30" s="351"/>
      <c r="F30" s="351"/>
      <c r="G30" s="351" t="s">
        <v>1136</v>
      </c>
      <c r="H30" s="351"/>
      <c r="I30" s="351"/>
      <c r="J30" s="431">
        <v>302000</v>
      </c>
    </row>
    <row r="31" spans="1:15" ht="15.75" thickBot="1" x14ac:dyDescent="0.3">
      <c r="A31" s="351"/>
      <c r="B31" s="351"/>
      <c r="C31" s="351"/>
      <c r="D31" s="351"/>
      <c r="E31" s="351"/>
      <c r="F31" s="351"/>
      <c r="G31" s="351" t="s">
        <v>1137</v>
      </c>
      <c r="H31" s="351"/>
      <c r="I31" s="351"/>
      <c r="J31" s="432">
        <v>5035990.18</v>
      </c>
    </row>
    <row r="32" spans="1:15" x14ac:dyDescent="0.25">
      <c r="A32" s="351"/>
      <c r="B32" s="351"/>
      <c r="C32" s="351"/>
      <c r="D32" s="351"/>
      <c r="E32" s="351"/>
      <c r="F32" s="351" t="s">
        <v>1138</v>
      </c>
      <c r="G32" s="351"/>
      <c r="H32" s="351"/>
      <c r="I32" s="351"/>
      <c r="J32" s="431">
        <f>ROUND(SUM(J27:J31),5)</f>
        <v>53975605.950000003</v>
      </c>
    </row>
    <row r="33" spans="1:10" x14ac:dyDescent="0.25">
      <c r="A33" s="351"/>
      <c r="B33" s="351"/>
      <c r="C33" s="351"/>
      <c r="D33" s="351"/>
      <c r="E33" s="351"/>
      <c r="F33" s="351" t="s">
        <v>1139</v>
      </c>
      <c r="G33" s="351"/>
      <c r="H33" s="351"/>
      <c r="I33" s="351"/>
      <c r="J33" s="431"/>
    </row>
    <row r="34" spans="1:10" x14ac:dyDescent="0.25">
      <c r="A34" s="351"/>
      <c r="B34" s="351"/>
      <c r="C34" s="351"/>
      <c r="D34" s="351"/>
      <c r="E34" s="351"/>
      <c r="F34" s="351"/>
      <c r="G34" s="351" t="s">
        <v>1140</v>
      </c>
      <c r="H34" s="351"/>
      <c r="I34" s="351"/>
      <c r="J34" s="431">
        <v>1126828.8400000001</v>
      </c>
    </row>
    <row r="35" spans="1:10" x14ac:dyDescent="0.25">
      <c r="A35" s="351"/>
      <c r="B35" s="351"/>
      <c r="C35" s="351"/>
      <c r="D35" s="351"/>
      <c r="E35" s="351"/>
      <c r="F35" s="351"/>
      <c r="G35" s="351" t="s">
        <v>1141</v>
      </c>
      <c r="H35" s="351"/>
      <c r="I35" s="351"/>
      <c r="J35" s="431">
        <v>283302</v>
      </c>
    </row>
    <row r="36" spans="1:10" x14ac:dyDescent="0.25">
      <c r="A36" s="351"/>
      <c r="B36" s="351"/>
      <c r="C36" s="351"/>
      <c r="D36" s="351"/>
      <c r="E36" s="351"/>
      <c r="F36" s="351"/>
      <c r="G36" s="351" t="s">
        <v>1142</v>
      </c>
      <c r="H36" s="351"/>
      <c r="I36" s="351"/>
      <c r="J36" s="431">
        <v>93000</v>
      </c>
    </row>
    <row r="37" spans="1:10" x14ac:dyDescent="0.25">
      <c r="A37" s="351"/>
      <c r="B37" s="351"/>
      <c r="C37" s="351"/>
      <c r="D37" s="351"/>
      <c r="E37" s="351"/>
      <c r="F37" s="351"/>
      <c r="G37" s="351" t="s">
        <v>1143</v>
      </c>
      <c r="H37" s="351"/>
      <c r="I37" s="351"/>
      <c r="J37" s="431">
        <v>115079</v>
      </c>
    </row>
    <row r="38" spans="1:10" x14ac:dyDescent="0.25">
      <c r="A38" s="351"/>
      <c r="B38" s="351"/>
      <c r="C38" s="351"/>
      <c r="D38" s="351"/>
      <c r="E38" s="351"/>
      <c r="F38" s="351"/>
      <c r="G38" s="351" t="s">
        <v>1144</v>
      </c>
      <c r="H38" s="351"/>
      <c r="I38" s="351"/>
      <c r="J38" s="431">
        <v>280628</v>
      </c>
    </row>
    <row r="39" spans="1:10" x14ac:dyDescent="0.25">
      <c r="A39" s="351"/>
      <c r="B39" s="351"/>
      <c r="C39" s="351"/>
      <c r="D39" s="351"/>
      <c r="E39" s="351"/>
      <c r="F39" s="351"/>
      <c r="G39" s="351" t="s">
        <v>1145</v>
      </c>
      <c r="H39" s="351"/>
      <c r="I39" s="351"/>
      <c r="J39" s="431">
        <v>98360</v>
      </c>
    </row>
    <row r="40" spans="1:10" x14ac:dyDescent="0.25">
      <c r="A40" s="351"/>
      <c r="B40" s="351"/>
      <c r="C40" s="351"/>
      <c r="D40" s="351"/>
      <c r="E40" s="351"/>
      <c r="F40" s="351"/>
      <c r="G40" s="351" t="s">
        <v>1146</v>
      </c>
      <c r="H40" s="351"/>
      <c r="I40" s="351"/>
      <c r="J40" s="431">
        <v>845</v>
      </c>
    </row>
    <row r="41" spans="1:10" x14ac:dyDescent="0.25">
      <c r="A41" s="351"/>
      <c r="B41" s="351"/>
      <c r="C41" s="351"/>
      <c r="D41" s="351"/>
      <c r="E41" s="351"/>
      <c r="F41" s="351"/>
      <c r="G41" s="351" t="s">
        <v>1147</v>
      </c>
      <c r="H41" s="351"/>
      <c r="I41" s="351"/>
      <c r="J41" s="431">
        <v>1025941.07</v>
      </c>
    </row>
    <row r="42" spans="1:10" x14ac:dyDescent="0.25">
      <c r="A42" s="351"/>
      <c r="B42" s="351"/>
      <c r="C42" s="351"/>
      <c r="D42" s="351"/>
      <c r="E42" s="351"/>
      <c r="F42" s="351"/>
      <c r="G42" s="351" t="s">
        <v>1148</v>
      </c>
      <c r="H42" s="351"/>
      <c r="I42" s="351"/>
      <c r="J42" s="431">
        <v>50000</v>
      </c>
    </row>
    <row r="43" spans="1:10" x14ac:dyDescent="0.25">
      <c r="A43" s="351"/>
      <c r="B43" s="351"/>
      <c r="C43" s="351"/>
      <c r="D43" s="351"/>
      <c r="E43" s="351"/>
      <c r="F43" s="351"/>
      <c r="G43" s="351" t="s">
        <v>1149</v>
      </c>
      <c r="H43" s="351"/>
      <c r="I43" s="351"/>
      <c r="J43" s="431">
        <v>667896.80000000005</v>
      </c>
    </row>
    <row r="44" spans="1:10" ht="15.75" thickBot="1" x14ac:dyDescent="0.3">
      <c r="A44" s="351"/>
      <c r="B44" s="351"/>
      <c r="C44" s="351"/>
      <c r="D44" s="351"/>
      <c r="E44" s="351"/>
      <c r="F44" s="351"/>
      <c r="G44" s="351" t="s">
        <v>1150</v>
      </c>
      <c r="H44" s="351"/>
      <c r="I44" s="351"/>
      <c r="J44" s="432">
        <v>1217325</v>
      </c>
    </row>
    <row r="45" spans="1:10" x14ac:dyDescent="0.25">
      <c r="A45" s="351"/>
      <c r="B45" s="351"/>
      <c r="C45" s="351"/>
      <c r="D45" s="351"/>
      <c r="E45" s="351"/>
      <c r="F45" s="351" t="s">
        <v>1151</v>
      </c>
      <c r="G45" s="351"/>
      <c r="H45" s="351"/>
      <c r="I45" s="351"/>
      <c r="J45" s="431">
        <f>ROUND(SUM(J33:J44),5)</f>
        <v>4959205.71</v>
      </c>
    </row>
    <row r="46" spans="1:10" x14ac:dyDescent="0.25">
      <c r="A46" s="351"/>
      <c r="B46" s="351"/>
      <c r="C46" s="351"/>
      <c r="D46" s="351"/>
      <c r="E46" s="351"/>
      <c r="F46" s="351" t="s">
        <v>1152</v>
      </c>
      <c r="G46" s="351"/>
      <c r="H46" s="351"/>
      <c r="I46" s="351"/>
      <c r="J46" s="431"/>
    </row>
    <row r="47" spans="1:10" x14ac:dyDescent="0.25">
      <c r="A47" s="351"/>
      <c r="B47" s="351"/>
      <c r="C47" s="351"/>
      <c r="D47" s="351"/>
      <c r="E47" s="351"/>
      <c r="F47" s="351"/>
      <c r="G47" s="351" t="s">
        <v>1153</v>
      </c>
      <c r="H47" s="351"/>
      <c r="I47" s="351"/>
      <c r="J47" s="431">
        <v>51087979.909999996</v>
      </c>
    </row>
    <row r="48" spans="1:10" x14ac:dyDescent="0.25">
      <c r="A48" s="351"/>
      <c r="B48" s="351"/>
      <c r="C48" s="351"/>
      <c r="D48" s="351"/>
      <c r="E48" s="351"/>
      <c r="F48" s="351"/>
      <c r="G48" s="351" t="s">
        <v>1154</v>
      </c>
      <c r="H48" s="351"/>
      <c r="I48" s="351"/>
      <c r="J48" s="431">
        <v>1508296.72</v>
      </c>
    </row>
    <row r="49" spans="1:11" x14ac:dyDescent="0.25">
      <c r="A49" s="351"/>
      <c r="B49" s="351"/>
      <c r="C49" s="351"/>
      <c r="D49" s="351"/>
      <c r="E49" s="351"/>
      <c r="F49" s="351"/>
      <c r="G49" s="351" t="s">
        <v>1155</v>
      </c>
      <c r="H49" s="351"/>
      <c r="I49" s="351"/>
      <c r="J49" s="431">
        <v>650773.9</v>
      </c>
    </row>
    <row r="50" spans="1:11" x14ac:dyDescent="0.25">
      <c r="A50" s="351"/>
      <c r="B50" s="351"/>
      <c r="C50" s="351"/>
      <c r="D50" s="351"/>
      <c r="E50" s="351"/>
      <c r="F50" s="351"/>
      <c r="G50" s="351" t="s">
        <v>1156</v>
      </c>
      <c r="H50" s="351"/>
      <c r="I50" s="351"/>
      <c r="J50" s="431">
        <v>777339.35</v>
      </c>
    </row>
    <row r="51" spans="1:11" x14ac:dyDescent="0.25">
      <c r="A51" s="351"/>
      <c r="B51" s="351"/>
      <c r="C51" s="351"/>
      <c r="D51" s="351"/>
      <c r="E51" s="351"/>
      <c r="F51" s="351"/>
      <c r="G51" s="351" t="s">
        <v>1157</v>
      </c>
      <c r="H51" s="351"/>
      <c r="I51" s="351"/>
      <c r="J51" s="431">
        <v>736016.42</v>
      </c>
    </row>
    <row r="52" spans="1:11" x14ac:dyDescent="0.25">
      <c r="A52" s="351"/>
      <c r="B52" s="351"/>
      <c r="C52" s="351"/>
      <c r="D52" s="351"/>
      <c r="E52" s="351"/>
      <c r="F52" s="351"/>
      <c r="G52" s="351" t="s">
        <v>1158</v>
      </c>
      <c r="H52" s="351"/>
      <c r="I52" s="351"/>
      <c r="J52" s="431">
        <v>242621.15</v>
      </c>
    </row>
    <row r="53" spans="1:11" ht="15.75" thickBot="1" x14ac:dyDescent="0.3">
      <c r="A53" s="351"/>
      <c r="B53" s="351"/>
      <c r="C53" s="351"/>
      <c r="D53" s="351"/>
      <c r="E53" s="351"/>
      <c r="F53" s="351"/>
      <c r="G53" s="351" t="s">
        <v>1159</v>
      </c>
      <c r="H53" s="351"/>
      <c r="I53" s="351"/>
      <c r="J53" s="432">
        <v>27153.84</v>
      </c>
    </row>
    <row r="54" spans="1:11" x14ac:dyDescent="0.25">
      <c r="A54" s="351"/>
      <c r="B54" s="351"/>
      <c r="C54" s="351"/>
      <c r="D54" s="351"/>
      <c r="E54" s="351"/>
      <c r="F54" s="351" t="s">
        <v>1160</v>
      </c>
      <c r="G54" s="351"/>
      <c r="H54" s="351"/>
      <c r="I54" s="351"/>
      <c r="J54" s="431">
        <f>ROUND(SUM(J46:J53),5)</f>
        <v>55030181.289999999</v>
      </c>
      <c r="K54" s="422" t="s">
        <v>1508</v>
      </c>
    </row>
    <row r="55" spans="1:11" x14ac:dyDescent="0.25">
      <c r="A55" s="351"/>
      <c r="B55" s="351"/>
      <c r="C55" s="351"/>
      <c r="D55" s="351"/>
      <c r="E55" s="351"/>
      <c r="F55" s="351" t="s">
        <v>1161</v>
      </c>
      <c r="G55" s="351"/>
      <c r="H55" s="351"/>
      <c r="I55" s="351"/>
      <c r="J55" s="431"/>
    </row>
    <row r="56" spans="1:11" x14ac:dyDescent="0.25">
      <c r="A56" s="351"/>
      <c r="B56" s="351"/>
      <c r="C56" s="351"/>
      <c r="D56" s="351"/>
      <c r="E56" s="351"/>
      <c r="F56" s="351"/>
      <c r="G56" s="351" t="s">
        <v>1162</v>
      </c>
      <c r="H56" s="351"/>
      <c r="I56" s="351"/>
      <c r="J56" s="431">
        <v>12908612.5</v>
      </c>
    </row>
    <row r="57" spans="1:11" x14ac:dyDescent="0.25">
      <c r="A57" s="351"/>
      <c r="B57" s="351"/>
      <c r="C57" s="351"/>
      <c r="D57" s="351"/>
      <c r="E57" s="351"/>
      <c r="F57" s="351"/>
      <c r="G57" s="351" t="s">
        <v>1163</v>
      </c>
      <c r="H57" s="351"/>
      <c r="I57" s="351"/>
      <c r="J57" s="431">
        <v>1766548.5</v>
      </c>
    </row>
    <row r="58" spans="1:11" x14ac:dyDescent="0.25">
      <c r="A58" s="351"/>
      <c r="B58" s="351"/>
      <c r="C58" s="351"/>
      <c r="D58" s="351"/>
      <c r="E58" s="351"/>
      <c r="F58" s="351"/>
      <c r="G58" s="351" t="s">
        <v>1164</v>
      </c>
      <c r="H58" s="351"/>
      <c r="I58" s="351"/>
      <c r="J58" s="431">
        <v>441638.13</v>
      </c>
    </row>
    <row r="59" spans="1:11" x14ac:dyDescent="0.25">
      <c r="A59" s="351"/>
      <c r="B59" s="351"/>
      <c r="C59" s="351"/>
      <c r="D59" s="351"/>
      <c r="E59" s="351"/>
      <c r="F59" s="351"/>
      <c r="G59" s="351" t="s">
        <v>1165</v>
      </c>
      <c r="H59" s="351"/>
      <c r="I59" s="351"/>
      <c r="J59" s="431">
        <v>4307016.5199999996</v>
      </c>
    </row>
    <row r="60" spans="1:11" x14ac:dyDescent="0.25">
      <c r="A60" s="351"/>
      <c r="B60" s="351"/>
      <c r="C60" s="351"/>
      <c r="D60" s="351"/>
      <c r="E60" s="351"/>
      <c r="F60" s="351"/>
      <c r="G60" s="351" t="s">
        <v>1166</v>
      </c>
      <c r="H60" s="351"/>
      <c r="I60" s="351"/>
      <c r="J60" s="431">
        <v>1580754.36</v>
      </c>
    </row>
    <row r="61" spans="1:11" x14ac:dyDescent="0.25">
      <c r="A61" s="351"/>
      <c r="B61" s="351"/>
      <c r="C61" s="351"/>
      <c r="D61" s="351"/>
      <c r="E61" s="351"/>
      <c r="F61" s="351"/>
      <c r="G61" s="351" t="s">
        <v>1167</v>
      </c>
      <c r="H61" s="351"/>
      <c r="I61" s="351"/>
      <c r="J61" s="431">
        <v>530253.79</v>
      </c>
    </row>
    <row r="62" spans="1:11" ht="15.75" thickBot="1" x14ac:dyDescent="0.3">
      <c r="A62" s="351"/>
      <c r="B62" s="351"/>
      <c r="C62" s="351"/>
      <c r="D62" s="351"/>
      <c r="E62" s="351"/>
      <c r="F62" s="351"/>
      <c r="G62" s="351" t="s">
        <v>1168</v>
      </c>
      <c r="H62" s="351"/>
      <c r="I62" s="351"/>
      <c r="J62" s="432">
        <v>712217.04</v>
      </c>
    </row>
    <row r="63" spans="1:11" x14ac:dyDescent="0.25">
      <c r="A63" s="351"/>
      <c r="B63" s="351"/>
      <c r="C63" s="351"/>
      <c r="D63" s="351"/>
      <c r="E63" s="351"/>
      <c r="F63" s="351" t="s">
        <v>1169</v>
      </c>
      <c r="G63" s="351"/>
      <c r="H63" s="351"/>
      <c r="I63" s="351"/>
      <c r="J63" s="431">
        <f>ROUND(SUM(J55:J62),5)</f>
        <v>22247040.84</v>
      </c>
    </row>
    <row r="64" spans="1:11" x14ac:dyDescent="0.25">
      <c r="A64" s="351"/>
      <c r="B64" s="351"/>
      <c r="C64" s="351"/>
      <c r="D64" s="351"/>
      <c r="E64" s="351"/>
      <c r="F64" s="351" t="s">
        <v>1170</v>
      </c>
      <c r="G64" s="351"/>
      <c r="H64" s="351"/>
      <c r="I64" s="351"/>
      <c r="J64" s="431"/>
    </row>
    <row r="65" spans="1:13" x14ac:dyDescent="0.25">
      <c r="A65" s="351"/>
      <c r="B65" s="351"/>
      <c r="C65" s="351"/>
      <c r="D65" s="351"/>
      <c r="E65" s="351"/>
      <c r="F65" s="351"/>
      <c r="G65" s="351" t="s">
        <v>1171</v>
      </c>
      <c r="H65" s="351"/>
      <c r="I65" s="351"/>
      <c r="J65" s="431">
        <v>178375</v>
      </c>
    </row>
    <row r="66" spans="1:13" ht="15.75" thickBot="1" x14ac:dyDescent="0.3">
      <c r="A66" s="351"/>
      <c r="B66" s="351"/>
      <c r="C66" s="351"/>
      <c r="D66" s="351"/>
      <c r="E66" s="351"/>
      <c r="F66" s="351"/>
      <c r="G66" s="351" t="s">
        <v>1172</v>
      </c>
      <c r="H66" s="351"/>
      <c r="I66" s="351"/>
      <c r="J66" s="432">
        <v>194075</v>
      </c>
    </row>
    <row r="67" spans="1:13" x14ac:dyDescent="0.25">
      <c r="A67" s="351"/>
      <c r="B67" s="351"/>
      <c r="C67" s="351"/>
      <c r="D67" s="351"/>
      <c r="E67" s="351"/>
      <c r="F67" s="351" t="s">
        <v>1173</v>
      </c>
      <c r="G67" s="351"/>
      <c r="H67" s="351"/>
      <c r="I67" s="351"/>
      <c r="J67" s="431">
        <f>ROUND(SUM(J64:J66),5)</f>
        <v>372450</v>
      </c>
    </row>
    <row r="68" spans="1:13" x14ac:dyDescent="0.25">
      <c r="A68" s="351"/>
      <c r="B68" s="351"/>
      <c r="C68" s="351"/>
      <c r="D68" s="351"/>
      <c r="E68" s="351"/>
      <c r="F68" s="351" t="s">
        <v>1174</v>
      </c>
      <c r="G68" s="351"/>
      <c r="H68" s="351"/>
      <c r="I68" s="351"/>
      <c r="J68" s="431"/>
    </row>
    <row r="69" spans="1:13" x14ac:dyDescent="0.25">
      <c r="A69" s="351"/>
      <c r="B69" s="351"/>
      <c r="C69" s="351"/>
      <c r="D69" s="351"/>
      <c r="E69" s="351"/>
      <c r="F69" s="351"/>
      <c r="G69" s="351" t="s">
        <v>1175</v>
      </c>
      <c r="H69" s="351"/>
      <c r="I69" s="351"/>
      <c r="J69" s="431">
        <v>5725</v>
      </c>
    </row>
    <row r="70" spans="1:13" x14ac:dyDescent="0.25">
      <c r="A70" s="351"/>
      <c r="B70" s="351"/>
      <c r="C70" s="351"/>
      <c r="D70" s="351"/>
      <c r="E70" s="351"/>
      <c r="F70" s="351"/>
      <c r="G70" s="351" t="s">
        <v>1176</v>
      </c>
      <c r="H70" s="351"/>
      <c r="I70" s="351"/>
      <c r="J70" s="431">
        <v>64300</v>
      </c>
    </row>
    <row r="71" spans="1:13" x14ac:dyDescent="0.25">
      <c r="A71" s="351"/>
      <c r="B71" s="351"/>
      <c r="C71" s="351"/>
      <c r="D71" s="351"/>
      <c r="E71" s="351"/>
      <c r="F71" s="351"/>
      <c r="G71" s="351" t="s">
        <v>1177</v>
      </c>
      <c r="H71" s="351"/>
      <c r="I71" s="351"/>
      <c r="J71" s="431">
        <v>411498</v>
      </c>
    </row>
    <row r="72" spans="1:13" x14ac:dyDescent="0.25">
      <c r="A72" s="351"/>
      <c r="B72" s="351"/>
      <c r="C72" s="351"/>
      <c r="D72" s="351"/>
      <c r="E72" s="351"/>
      <c r="F72" s="351"/>
      <c r="G72" s="351" t="s">
        <v>1178</v>
      </c>
      <c r="H72" s="351"/>
      <c r="I72" s="351"/>
      <c r="J72" s="431"/>
    </row>
    <row r="73" spans="1:13" x14ac:dyDescent="0.25">
      <c r="A73" s="351"/>
      <c r="B73" s="351"/>
      <c r="C73" s="351"/>
      <c r="D73" s="351"/>
      <c r="E73" s="351"/>
      <c r="F73" s="351"/>
      <c r="G73" s="351"/>
      <c r="H73" s="351" t="s">
        <v>1179</v>
      </c>
      <c r="I73" s="351"/>
      <c r="J73" s="431">
        <v>85060</v>
      </c>
    </row>
    <row r="74" spans="1:13" ht="15.75" thickBot="1" x14ac:dyDescent="0.3">
      <c r="A74" s="351"/>
      <c r="B74" s="351"/>
      <c r="C74" s="351"/>
      <c r="D74" s="351"/>
      <c r="E74" s="351"/>
      <c r="F74" s="351"/>
      <c r="G74" s="351"/>
      <c r="H74" s="351" t="s">
        <v>1180</v>
      </c>
      <c r="I74" s="351"/>
      <c r="J74" s="432">
        <v>8810</v>
      </c>
    </row>
    <row r="75" spans="1:13" x14ac:dyDescent="0.25">
      <c r="A75" s="351"/>
      <c r="B75" s="351"/>
      <c r="C75" s="351"/>
      <c r="D75" s="351"/>
      <c r="E75" s="351"/>
      <c r="F75" s="351"/>
      <c r="G75" s="351" t="s">
        <v>1181</v>
      </c>
      <c r="H75" s="351"/>
      <c r="I75" s="351"/>
      <c r="J75" s="431">
        <f>ROUND(SUM(J72:J74),5)</f>
        <v>93870</v>
      </c>
    </row>
    <row r="76" spans="1:13" ht="15.75" thickBot="1" x14ac:dyDescent="0.3">
      <c r="A76" s="351"/>
      <c r="B76" s="351"/>
      <c r="C76" s="351"/>
      <c r="D76" s="351"/>
      <c r="E76" s="351"/>
      <c r="F76" s="351"/>
      <c r="G76" s="351" t="s">
        <v>1182</v>
      </c>
      <c r="H76" s="351"/>
      <c r="I76" s="351"/>
      <c r="J76" s="432">
        <v>338675</v>
      </c>
    </row>
    <row r="77" spans="1:13" x14ac:dyDescent="0.25">
      <c r="A77" s="351"/>
      <c r="B77" s="351"/>
      <c r="C77" s="351"/>
      <c r="D77" s="351"/>
      <c r="E77" s="351"/>
      <c r="F77" s="351" t="s">
        <v>1183</v>
      </c>
      <c r="G77" s="351"/>
      <c r="H77" s="351"/>
      <c r="I77" s="351"/>
      <c r="J77" s="431">
        <f>ROUND(SUM(J68:J71)+SUM(J75:J76),5)</f>
        <v>914068</v>
      </c>
    </row>
    <row r="78" spans="1:13" ht="15.75" thickBot="1" x14ac:dyDescent="0.3">
      <c r="A78" s="351"/>
      <c r="B78" s="351"/>
      <c r="C78" s="351"/>
      <c r="D78" s="351"/>
      <c r="E78" s="351"/>
      <c r="F78" s="351" t="s">
        <v>1184</v>
      </c>
      <c r="G78" s="351"/>
      <c r="H78" s="351"/>
      <c r="I78" s="351"/>
      <c r="J78" s="433">
        <v>399275.88</v>
      </c>
    </row>
    <row r="79" spans="1:13" ht="15.75" thickBot="1" x14ac:dyDescent="0.3">
      <c r="A79" s="351"/>
      <c r="B79" s="351"/>
      <c r="C79" s="351"/>
      <c r="D79" s="351"/>
      <c r="E79" s="351" t="s">
        <v>1185</v>
      </c>
      <c r="F79" s="351"/>
      <c r="G79" s="351"/>
      <c r="H79" s="351"/>
      <c r="I79" s="351"/>
      <c r="J79" s="435">
        <f>ROUND(J22+J26+J32+J45+J54+J63+J67+SUM(J77:J78),5)</f>
        <v>139811566.69999999</v>
      </c>
      <c r="M79" s="426">
        <f>J80-J54</f>
        <v>84907726.939999998</v>
      </c>
    </row>
    <row r="80" spans="1:13" ht="15.75" thickBot="1" x14ac:dyDescent="0.3">
      <c r="A80" s="351"/>
      <c r="B80" s="351"/>
      <c r="C80" s="351"/>
      <c r="D80" s="351" t="s">
        <v>1186</v>
      </c>
      <c r="E80" s="351"/>
      <c r="F80" s="351"/>
      <c r="G80" s="351"/>
      <c r="H80" s="351"/>
      <c r="I80" s="351"/>
      <c r="J80" s="434">
        <f>ROUND(SUM(J20:J21)+J79,5)</f>
        <v>139937908.22999999</v>
      </c>
      <c r="M80" s="426">
        <f>M79+CI!D10</f>
        <v>56031686.259999998</v>
      </c>
    </row>
    <row r="81" spans="1:16" x14ac:dyDescent="0.25">
      <c r="A81" s="351"/>
      <c r="B81" s="351"/>
      <c r="C81" s="351" t="s">
        <v>56</v>
      </c>
      <c r="D81" s="351"/>
      <c r="E81" s="351"/>
      <c r="F81" s="351"/>
      <c r="G81" s="351"/>
      <c r="H81" s="351"/>
      <c r="I81" s="351"/>
      <c r="J81" s="431">
        <f>ROUND(J19-J80,5)</f>
        <v>55805260.100000001</v>
      </c>
    </row>
    <row r="82" spans="1:16" x14ac:dyDescent="0.25">
      <c r="A82" s="351"/>
      <c r="B82" s="351"/>
      <c r="C82" s="351"/>
      <c r="D82" s="351" t="s">
        <v>1187</v>
      </c>
      <c r="E82" s="351"/>
      <c r="F82" s="351"/>
      <c r="G82" s="351"/>
      <c r="H82" s="351"/>
      <c r="I82" s="351"/>
      <c r="J82" s="431"/>
      <c r="P82" s="423"/>
    </row>
    <row r="83" spans="1:16" x14ac:dyDescent="0.25">
      <c r="A83" s="351"/>
      <c r="B83" s="351"/>
      <c r="C83" s="351"/>
      <c r="D83" s="351"/>
      <c r="E83" s="351" t="s">
        <v>1188</v>
      </c>
      <c r="F83" s="351"/>
      <c r="G83" s="351"/>
      <c r="H83" s="351"/>
      <c r="I83" s="351"/>
      <c r="J83" s="431"/>
    </row>
    <row r="84" spans="1:16" x14ac:dyDescent="0.25">
      <c r="A84" s="351"/>
      <c r="B84" s="351"/>
      <c r="C84" s="351"/>
      <c r="D84" s="351"/>
      <c r="E84" s="351"/>
      <c r="F84" s="351" t="s">
        <v>1189</v>
      </c>
      <c r="G84" s="351"/>
      <c r="H84" s="351"/>
      <c r="I84" s="351"/>
      <c r="J84" s="431"/>
    </row>
    <row r="85" spans="1:16" x14ac:dyDescent="0.25">
      <c r="A85" s="351"/>
      <c r="B85" s="351"/>
      <c r="C85" s="351"/>
      <c r="D85" s="351"/>
      <c r="E85" s="351"/>
      <c r="F85" s="351"/>
      <c r="G85" s="351" t="s">
        <v>1190</v>
      </c>
      <c r="H85" s="351"/>
      <c r="I85" s="351"/>
      <c r="J85" s="431"/>
    </row>
    <row r="86" spans="1:16" x14ac:dyDescent="0.25">
      <c r="A86" s="351"/>
      <c r="B86" s="351"/>
      <c r="C86" s="351"/>
      <c r="D86" s="351"/>
      <c r="E86" s="351"/>
      <c r="F86" s="351"/>
      <c r="G86" s="351"/>
      <c r="H86" s="351" t="s">
        <v>1191</v>
      </c>
      <c r="I86" s="351"/>
      <c r="J86" s="431">
        <v>102000</v>
      </c>
    </row>
    <row r="87" spans="1:16" x14ac:dyDescent="0.25">
      <c r="A87" s="351"/>
      <c r="B87" s="351"/>
      <c r="C87" s="351"/>
      <c r="D87" s="351"/>
      <c r="E87" s="351"/>
      <c r="F87" s="351"/>
      <c r="G87" s="351"/>
      <c r="H87" s="351" t="s">
        <v>1192</v>
      </c>
      <c r="I87" s="351"/>
      <c r="J87" s="431">
        <v>505887.8</v>
      </c>
    </row>
    <row r="88" spans="1:16" x14ac:dyDescent="0.25">
      <c r="A88" s="351"/>
      <c r="B88" s="351"/>
      <c r="C88" s="351"/>
      <c r="D88" s="351"/>
      <c r="E88" s="351"/>
      <c r="F88" s="351"/>
      <c r="G88" s="351"/>
      <c r="H88" s="351" t="s">
        <v>1193</v>
      </c>
      <c r="I88" s="351"/>
      <c r="J88" s="431">
        <v>23700</v>
      </c>
    </row>
    <row r="89" spans="1:16" x14ac:dyDescent="0.25">
      <c r="A89" s="351"/>
      <c r="B89" s="351"/>
      <c r="C89" s="351"/>
      <c r="D89" s="351"/>
      <c r="E89" s="351"/>
      <c r="F89" s="351"/>
      <c r="G89" s="351"/>
      <c r="H89" s="351" t="s">
        <v>1194</v>
      </c>
      <c r="I89" s="351"/>
      <c r="J89" s="431">
        <v>230025</v>
      </c>
    </row>
    <row r="90" spans="1:16" x14ac:dyDescent="0.25">
      <c r="A90" s="351"/>
      <c r="B90" s="351"/>
      <c r="C90" s="351"/>
      <c r="D90" s="351"/>
      <c r="E90" s="351"/>
      <c r="F90" s="351"/>
      <c r="G90" s="351"/>
      <c r="H90" s="351" t="s">
        <v>1195</v>
      </c>
      <c r="I90" s="351"/>
      <c r="J90" s="431">
        <v>39606.6</v>
      </c>
    </row>
    <row r="91" spans="1:16" x14ac:dyDescent="0.25">
      <c r="A91" s="351"/>
      <c r="B91" s="351"/>
      <c r="C91" s="351"/>
      <c r="D91" s="351"/>
      <c r="E91" s="351"/>
      <c r="F91" s="351"/>
      <c r="G91" s="351"/>
      <c r="H91" s="351" t="s">
        <v>1196</v>
      </c>
      <c r="I91" s="351"/>
      <c r="J91" s="431"/>
    </row>
    <row r="92" spans="1:16" ht="15.75" thickBot="1" x14ac:dyDescent="0.3">
      <c r="A92" s="351"/>
      <c r="B92" s="351"/>
      <c r="C92" s="351"/>
      <c r="D92" s="351"/>
      <c r="E92" s="351"/>
      <c r="F92" s="351"/>
      <c r="G92" s="351"/>
      <c r="H92" s="351"/>
      <c r="I92" s="351" t="s">
        <v>1197</v>
      </c>
      <c r="J92" s="432">
        <v>181427</v>
      </c>
    </row>
    <row r="93" spans="1:16" x14ac:dyDescent="0.25">
      <c r="A93" s="351"/>
      <c r="B93" s="351"/>
      <c r="C93" s="351"/>
      <c r="D93" s="351"/>
      <c r="E93" s="351"/>
      <c r="F93" s="351"/>
      <c r="G93" s="351"/>
      <c r="H93" s="351" t="s">
        <v>1198</v>
      </c>
      <c r="I93" s="351"/>
      <c r="J93" s="431">
        <f>ROUND(SUM(J91:J92),5)</f>
        <v>181427</v>
      </c>
    </row>
    <row r="94" spans="1:16" x14ac:dyDescent="0.25">
      <c r="A94" s="351"/>
      <c r="B94" s="351"/>
      <c r="C94" s="351"/>
      <c r="D94" s="351"/>
      <c r="E94" s="351"/>
      <c r="F94" s="351"/>
      <c r="G94" s="351"/>
      <c r="H94" s="351" t="s">
        <v>1199</v>
      </c>
      <c r="I94" s="351"/>
      <c r="J94" s="431">
        <v>1043647</v>
      </c>
    </row>
    <row r="95" spans="1:16" x14ac:dyDescent="0.25">
      <c r="A95" s="351"/>
      <c r="B95" s="351"/>
      <c r="C95" s="351"/>
      <c r="D95" s="351"/>
      <c r="E95" s="351"/>
      <c r="F95" s="351"/>
      <c r="G95" s="351"/>
      <c r="H95" s="351" t="s">
        <v>1200</v>
      </c>
      <c r="I95" s="351"/>
      <c r="J95" s="431">
        <v>11200</v>
      </c>
    </row>
    <row r="96" spans="1:16" x14ac:dyDescent="0.25">
      <c r="A96" s="351"/>
      <c r="B96" s="351"/>
      <c r="C96" s="351"/>
      <c r="D96" s="351"/>
      <c r="E96" s="351"/>
      <c r="F96" s="351"/>
      <c r="G96" s="351"/>
      <c r="H96" s="351" t="s">
        <v>1201</v>
      </c>
      <c r="I96" s="351"/>
      <c r="J96" s="431">
        <v>561436</v>
      </c>
    </row>
    <row r="97" spans="1:10" x14ac:dyDescent="0.25">
      <c r="A97" s="351"/>
      <c r="B97" s="351"/>
      <c r="C97" s="351"/>
      <c r="D97" s="351"/>
      <c r="E97" s="351"/>
      <c r="F97" s="351"/>
      <c r="G97" s="351"/>
      <c r="H97" s="351" t="s">
        <v>1202</v>
      </c>
      <c r="I97" s="351"/>
      <c r="J97" s="431"/>
    </row>
    <row r="98" spans="1:10" x14ac:dyDescent="0.25">
      <c r="A98" s="351"/>
      <c r="B98" s="351"/>
      <c r="C98" s="351"/>
      <c r="D98" s="351"/>
      <c r="E98" s="351"/>
      <c r="F98" s="351"/>
      <c r="G98" s="351"/>
      <c r="H98" s="351"/>
      <c r="I98" s="351" t="s">
        <v>1203</v>
      </c>
      <c r="J98" s="431">
        <v>42609.66</v>
      </c>
    </row>
    <row r="99" spans="1:10" ht="15.75" thickBot="1" x14ac:dyDescent="0.3">
      <c r="A99" s="351"/>
      <c r="B99" s="351"/>
      <c r="C99" s="351"/>
      <c r="D99" s="351"/>
      <c r="E99" s="351"/>
      <c r="F99" s="351"/>
      <c r="G99" s="351"/>
      <c r="H99" s="351"/>
      <c r="I99" s="351" t="s">
        <v>1204</v>
      </c>
      <c r="J99" s="432">
        <v>50492.73</v>
      </c>
    </row>
    <row r="100" spans="1:10" x14ac:dyDescent="0.25">
      <c r="A100" s="351"/>
      <c r="B100" s="351"/>
      <c r="C100" s="351"/>
      <c r="D100" s="351"/>
      <c r="E100" s="351"/>
      <c r="F100" s="351"/>
      <c r="G100" s="351"/>
      <c r="H100" s="351" t="s">
        <v>1205</v>
      </c>
      <c r="I100" s="351"/>
      <c r="J100" s="431">
        <f>ROUND(SUM(J97:J99),5)</f>
        <v>93102.39</v>
      </c>
    </row>
    <row r="101" spans="1:10" x14ac:dyDescent="0.25">
      <c r="A101" s="351"/>
      <c r="B101" s="351"/>
      <c r="C101" s="351"/>
      <c r="D101" s="351"/>
      <c r="E101" s="351"/>
      <c r="F101" s="351"/>
      <c r="G101" s="351"/>
      <c r="H101" s="351" t="s">
        <v>1206</v>
      </c>
      <c r="I101" s="351"/>
      <c r="J101" s="431">
        <v>853657.02</v>
      </c>
    </row>
    <row r="102" spans="1:10" ht="15.75" thickBot="1" x14ac:dyDescent="0.3">
      <c r="A102" s="351"/>
      <c r="B102" s="351"/>
      <c r="C102" s="351"/>
      <c r="D102" s="351"/>
      <c r="E102" s="351"/>
      <c r="F102" s="351"/>
      <c r="G102" s="351"/>
      <c r="H102" s="351" t="s">
        <v>1207</v>
      </c>
      <c r="I102" s="351"/>
      <c r="J102" s="432">
        <v>130</v>
      </c>
    </row>
    <row r="103" spans="1:10" x14ac:dyDescent="0.25">
      <c r="A103" s="351"/>
      <c r="B103" s="351"/>
      <c r="C103" s="351"/>
      <c r="D103" s="351"/>
      <c r="E103" s="351"/>
      <c r="F103" s="351"/>
      <c r="G103" s="351" t="s">
        <v>1208</v>
      </c>
      <c r="H103" s="351"/>
      <c r="I103" s="351"/>
      <c r="J103" s="431">
        <f>ROUND(SUM(J85:J90)+SUM(J93:J96)+SUM(J100:J102),5)</f>
        <v>3645818.81</v>
      </c>
    </row>
    <row r="104" spans="1:10" x14ac:dyDescent="0.25">
      <c r="A104" s="351"/>
      <c r="B104" s="351"/>
      <c r="C104" s="351"/>
      <c r="D104" s="351"/>
      <c r="E104" s="351"/>
      <c r="F104" s="351"/>
      <c r="G104" s="351" t="s">
        <v>1209</v>
      </c>
      <c r="H104" s="351"/>
      <c r="I104" s="351"/>
      <c r="J104" s="431"/>
    </row>
    <row r="105" spans="1:10" x14ac:dyDescent="0.25">
      <c r="A105" s="351"/>
      <c r="B105" s="351"/>
      <c r="C105" s="351"/>
      <c r="D105" s="351"/>
      <c r="E105" s="351"/>
      <c r="F105" s="351"/>
      <c r="G105" s="351"/>
      <c r="H105" s="351" t="s">
        <v>1210</v>
      </c>
      <c r="I105" s="351"/>
      <c r="J105" s="431">
        <v>3407500</v>
      </c>
    </row>
    <row r="106" spans="1:10" x14ac:dyDescent="0.25">
      <c r="A106" s="351"/>
      <c r="B106" s="351"/>
      <c r="C106" s="351"/>
      <c r="D106" s="351"/>
      <c r="E106" s="351"/>
      <c r="F106" s="351"/>
      <c r="G106" s="351"/>
      <c r="H106" s="351" t="s">
        <v>1211</v>
      </c>
      <c r="I106" s="351"/>
      <c r="J106" s="431">
        <v>376350</v>
      </c>
    </row>
    <row r="107" spans="1:10" x14ac:dyDescent="0.25">
      <c r="A107" s="351"/>
      <c r="B107" s="351"/>
      <c r="C107" s="351"/>
      <c r="D107" s="351"/>
      <c r="E107" s="351"/>
      <c r="F107" s="351"/>
      <c r="G107" s="351"/>
      <c r="H107" s="351" t="s">
        <v>1212</v>
      </c>
      <c r="I107" s="351"/>
      <c r="J107" s="431">
        <v>94088</v>
      </c>
    </row>
    <row r="108" spans="1:10" x14ac:dyDescent="0.25">
      <c r="A108" s="351"/>
      <c r="B108" s="351"/>
      <c r="C108" s="351"/>
      <c r="D108" s="351"/>
      <c r="E108" s="351"/>
      <c r="F108" s="351"/>
      <c r="G108" s="351"/>
      <c r="H108" s="351" t="s">
        <v>1213</v>
      </c>
      <c r="I108" s="351"/>
      <c r="J108" s="431">
        <v>650826.54</v>
      </c>
    </row>
    <row r="109" spans="1:10" x14ac:dyDescent="0.25">
      <c r="A109" s="351"/>
      <c r="B109" s="351"/>
      <c r="C109" s="351"/>
      <c r="D109" s="351"/>
      <c r="E109" s="351"/>
      <c r="F109" s="351"/>
      <c r="G109" s="351"/>
      <c r="H109" s="351" t="s">
        <v>1214</v>
      </c>
      <c r="I109" s="351"/>
      <c r="J109" s="431">
        <v>121425</v>
      </c>
    </row>
    <row r="110" spans="1:10" x14ac:dyDescent="0.25">
      <c r="A110" s="351"/>
      <c r="B110" s="351"/>
      <c r="C110" s="351"/>
      <c r="D110" s="351"/>
      <c r="E110" s="351"/>
      <c r="F110" s="351"/>
      <c r="G110" s="351"/>
      <c r="H110" s="351" t="s">
        <v>1215</v>
      </c>
      <c r="I110" s="351"/>
      <c r="J110" s="431">
        <v>455000</v>
      </c>
    </row>
    <row r="111" spans="1:10" ht="15.75" thickBot="1" x14ac:dyDescent="0.3">
      <c r="A111" s="351"/>
      <c r="B111" s="351"/>
      <c r="C111" s="351"/>
      <c r="D111" s="351"/>
      <c r="E111" s="351"/>
      <c r="F111" s="351"/>
      <c r="G111" s="351"/>
      <c r="H111" s="351" t="s">
        <v>1216</v>
      </c>
      <c r="I111" s="351"/>
      <c r="J111" s="432">
        <v>193600</v>
      </c>
    </row>
    <row r="112" spans="1:10" x14ac:dyDescent="0.25">
      <c r="A112" s="351"/>
      <c r="B112" s="351"/>
      <c r="C112" s="351"/>
      <c r="D112" s="351"/>
      <c r="E112" s="351"/>
      <c r="F112" s="351"/>
      <c r="G112" s="351" t="s">
        <v>1217</v>
      </c>
      <c r="H112" s="351"/>
      <c r="I112" s="351"/>
      <c r="J112" s="431">
        <f>ROUND(SUM(J104:J111),5)</f>
        <v>5298789.54</v>
      </c>
    </row>
    <row r="113" spans="1:10" x14ac:dyDescent="0.25">
      <c r="A113" s="351"/>
      <c r="B113" s="351"/>
      <c r="C113" s="351"/>
      <c r="D113" s="351"/>
      <c r="E113" s="351"/>
      <c r="F113" s="351"/>
      <c r="G113" s="351" t="s">
        <v>1218</v>
      </c>
      <c r="H113" s="351"/>
      <c r="I113" s="351"/>
      <c r="J113" s="431"/>
    </row>
    <row r="114" spans="1:10" x14ac:dyDescent="0.25">
      <c r="A114" s="351"/>
      <c r="B114" s="351"/>
      <c r="C114" s="351"/>
      <c r="D114" s="351"/>
      <c r="E114" s="351"/>
      <c r="F114" s="351"/>
      <c r="G114" s="351"/>
      <c r="H114" s="351" t="s">
        <v>1219</v>
      </c>
      <c r="I114" s="351"/>
      <c r="J114" s="431">
        <v>6463.85</v>
      </c>
    </row>
    <row r="115" spans="1:10" x14ac:dyDescent="0.25">
      <c r="A115" s="351"/>
      <c r="B115" s="351"/>
      <c r="C115" s="351"/>
      <c r="D115" s="351"/>
      <c r="E115" s="351"/>
      <c r="F115" s="351"/>
      <c r="G115" s="351"/>
      <c r="H115" s="351" t="s">
        <v>1220</v>
      </c>
      <c r="I115" s="351"/>
      <c r="J115" s="431">
        <v>83932.98</v>
      </c>
    </row>
    <row r="116" spans="1:10" x14ac:dyDescent="0.25">
      <c r="A116" s="351"/>
      <c r="B116" s="351"/>
      <c r="C116" s="351"/>
      <c r="D116" s="351"/>
      <c r="E116" s="351"/>
      <c r="F116" s="351"/>
      <c r="G116" s="351"/>
      <c r="H116" s="351" t="s">
        <v>1221</v>
      </c>
      <c r="I116" s="351"/>
      <c r="J116" s="431">
        <v>70279.48</v>
      </c>
    </row>
    <row r="117" spans="1:10" x14ac:dyDescent="0.25">
      <c r="A117" s="351"/>
      <c r="B117" s="351"/>
      <c r="C117" s="351"/>
      <c r="D117" s="351"/>
      <c r="E117" s="351"/>
      <c r="F117" s="351"/>
      <c r="G117" s="351"/>
      <c r="H117" s="351" t="s">
        <v>1222</v>
      </c>
      <c r="I117" s="351"/>
      <c r="J117" s="431">
        <v>84144.68</v>
      </c>
    </row>
    <row r="118" spans="1:10" x14ac:dyDescent="0.25">
      <c r="A118" s="351"/>
      <c r="B118" s="351"/>
      <c r="C118" s="351"/>
      <c r="D118" s="351"/>
      <c r="E118" s="351"/>
      <c r="F118" s="351"/>
      <c r="G118" s="351"/>
      <c r="H118" s="351" t="s">
        <v>1223</v>
      </c>
      <c r="I118" s="351"/>
      <c r="J118" s="431">
        <v>75549.94</v>
      </c>
    </row>
    <row r="119" spans="1:10" ht="15.75" thickBot="1" x14ac:dyDescent="0.3">
      <c r="A119" s="351"/>
      <c r="B119" s="351"/>
      <c r="C119" s="351"/>
      <c r="D119" s="351"/>
      <c r="E119" s="351"/>
      <c r="F119" s="351"/>
      <c r="G119" s="351"/>
      <c r="H119" s="351" t="s">
        <v>1224</v>
      </c>
      <c r="I119" s="351"/>
      <c r="J119" s="432">
        <v>498631.48</v>
      </c>
    </row>
    <row r="120" spans="1:10" x14ac:dyDescent="0.25">
      <c r="A120" s="351"/>
      <c r="B120" s="351"/>
      <c r="C120" s="351"/>
      <c r="D120" s="351"/>
      <c r="E120" s="351"/>
      <c r="F120" s="351"/>
      <c r="G120" s="351" t="s">
        <v>1225</v>
      </c>
      <c r="H120" s="351"/>
      <c r="I120" s="351"/>
      <c r="J120" s="431">
        <f>ROUND(SUM(J113:J119),5)</f>
        <v>819002.41</v>
      </c>
    </row>
    <row r="121" spans="1:10" x14ac:dyDescent="0.25">
      <c r="A121" s="351"/>
      <c r="B121" s="351"/>
      <c r="C121" s="351"/>
      <c r="D121" s="351"/>
      <c r="E121" s="351"/>
      <c r="F121" s="351"/>
      <c r="G121" s="351" t="s">
        <v>1226</v>
      </c>
      <c r="H121" s="351"/>
      <c r="I121" s="351"/>
      <c r="J121" s="431"/>
    </row>
    <row r="122" spans="1:10" x14ac:dyDescent="0.25">
      <c r="A122" s="351"/>
      <c r="B122" s="351"/>
      <c r="C122" s="351"/>
      <c r="D122" s="351"/>
      <c r="E122" s="351"/>
      <c r="F122" s="351"/>
      <c r="G122" s="351"/>
      <c r="H122" s="351" t="s">
        <v>1227</v>
      </c>
      <c r="I122" s="351"/>
      <c r="J122" s="431">
        <v>171119</v>
      </c>
    </row>
    <row r="123" spans="1:10" x14ac:dyDescent="0.25">
      <c r="A123" s="351"/>
      <c r="B123" s="351"/>
      <c r="C123" s="351"/>
      <c r="D123" s="351"/>
      <c r="E123" s="351"/>
      <c r="F123" s="351"/>
      <c r="G123" s="351"/>
      <c r="H123" s="351" t="s">
        <v>1228</v>
      </c>
      <c r="I123" s="351"/>
      <c r="J123" s="431">
        <v>11925</v>
      </c>
    </row>
    <row r="124" spans="1:10" x14ac:dyDescent="0.25">
      <c r="A124" s="351"/>
      <c r="B124" s="351"/>
      <c r="C124" s="351"/>
      <c r="D124" s="351"/>
      <c r="E124" s="351"/>
      <c r="F124" s="351"/>
      <c r="G124" s="351"/>
      <c r="H124" s="351" t="s">
        <v>1229</v>
      </c>
      <c r="I124" s="351"/>
      <c r="J124" s="431">
        <v>24000</v>
      </c>
    </row>
    <row r="125" spans="1:10" x14ac:dyDescent="0.25">
      <c r="A125" s="351"/>
      <c r="B125" s="351"/>
      <c r="C125" s="351"/>
      <c r="D125" s="351"/>
      <c r="E125" s="351"/>
      <c r="F125" s="351"/>
      <c r="G125" s="351"/>
      <c r="H125" s="351" t="s">
        <v>1230</v>
      </c>
      <c r="I125" s="351"/>
      <c r="J125" s="431">
        <v>196335</v>
      </c>
    </row>
    <row r="126" spans="1:10" x14ac:dyDescent="0.25">
      <c r="A126" s="351"/>
      <c r="B126" s="351"/>
      <c r="C126" s="351"/>
      <c r="D126" s="351"/>
      <c r="E126" s="351"/>
      <c r="F126" s="351"/>
      <c r="G126" s="351"/>
      <c r="H126" s="351" t="s">
        <v>1231</v>
      </c>
      <c r="I126" s="351"/>
      <c r="J126" s="431">
        <v>7900</v>
      </c>
    </row>
    <row r="127" spans="1:10" x14ac:dyDescent="0.25">
      <c r="A127" s="351"/>
      <c r="B127" s="351"/>
      <c r="C127" s="351"/>
      <c r="D127" s="351"/>
      <c r="E127" s="351"/>
      <c r="F127" s="351"/>
      <c r="G127" s="351"/>
      <c r="H127" s="351" t="s">
        <v>1232</v>
      </c>
      <c r="I127" s="351"/>
      <c r="J127" s="431">
        <v>246847</v>
      </c>
    </row>
    <row r="128" spans="1:10" x14ac:dyDescent="0.25">
      <c r="A128" s="351"/>
      <c r="B128" s="351"/>
      <c r="C128" s="351"/>
      <c r="D128" s="351"/>
      <c r="E128" s="351"/>
      <c r="F128" s="351"/>
      <c r="G128" s="351"/>
      <c r="H128" s="351" t="s">
        <v>1233</v>
      </c>
      <c r="I128" s="351"/>
      <c r="J128" s="431">
        <v>1000</v>
      </c>
    </row>
    <row r="129" spans="1:10" ht="15.75" thickBot="1" x14ac:dyDescent="0.3">
      <c r="A129" s="351"/>
      <c r="B129" s="351"/>
      <c r="C129" s="351"/>
      <c r="D129" s="351"/>
      <c r="E129" s="351"/>
      <c r="F129" s="351"/>
      <c r="G129" s="351"/>
      <c r="H129" s="351" t="s">
        <v>1234</v>
      </c>
      <c r="I129" s="351"/>
      <c r="J129" s="432">
        <v>114850</v>
      </c>
    </row>
    <row r="130" spans="1:10" x14ac:dyDescent="0.25">
      <c r="A130" s="351"/>
      <c r="B130" s="351"/>
      <c r="C130" s="351"/>
      <c r="D130" s="351"/>
      <c r="E130" s="351"/>
      <c r="F130" s="351"/>
      <c r="G130" s="351" t="s">
        <v>1235</v>
      </c>
      <c r="H130" s="351"/>
      <c r="I130" s="351"/>
      <c r="J130" s="431">
        <f>ROUND(SUM(J121:J129),5)</f>
        <v>773976</v>
      </c>
    </row>
    <row r="131" spans="1:10" x14ac:dyDescent="0.25">
      <c r="A131" s="351"/>
      <c r="B131" s="351"/>
      <c r="C131" s="351"/>
      <c r="D131" s="351"/>
      <c r="E131" s="351"/>
      <c r="F131" s="351"/>
      <c r="G131" s="351" t="s">
        <v>1236</v>
      </c>
      <c r="H131" s="351"/>
      <c r="I131" s="351"/>
      <c r="J131" s="431"/>
    </row>
    <row r="132" spans="1:10" x14ac:dyDescent="0.25">
      <c r="A132" s="351"/>
      <c r="B132" s="351"/>
      <c r="C132" s="351"/>
      <c r="D132" s="351"/>
      <c r="E132" s="351"/>
      <c r="F132" s="351"/>
      <c r="G132" s="351"/>
      <c r="H132" s="351" t="s">
        <v>1237</v>
      </c>
      <c r="I132" s="351"/>
      <c r="J132" s="431">
        <v>535033</v>
      </c>
    </row>
    <row r="133" spans="1:10" x14ac:dyDescent="0.25">
      <c r="A133" s="351"/>
      <c r="B133" s="351"/>
      <c r="C133" s="351"/>
      <c r="D133" s="351"/>
      <c r="E133" s="351"/>
      <c r="F133" s="351"/>
      <c r="G133" s="351"/>
      <c r="H133" s="351" t="s">
        <v>1238</v>
      </c>
      <c r="I133" s="351"/>
      <c r="J133" s="431">
        <v>35950</v>
      </c>
    </row>
    <row r="134" spans="1:10" x14ac:dyDescent="0.25">
      <c r="A134" s="351"/>
      <c r="B134" s="351"/>
      <c r="C134" s="351"/>
      <c r="D134" s="351"/>
      <c r="E134" s="351"/>
      <c r="F134" s="351"/>
      <c r="G134" s="351"/>
      <c r="H134" s="351" t="s">
        <v>1239</v>
      </c>
      <c r="I134" s="351"/>
      <c r="J134" s="431">
        <v>197305</v>
      </c>
    </row>
    <row r="135" spans="1:10" x14ac:dyDescent="0.25">
      <c r="A135" s="351"/>
      <c r="B135" s="351"/>
      <c r="C135" s="351"/>
      <c r="D135" s="351"/>
      <c r="E135" s="351"/>
      <c r="F135" s="351"/>
      <c r="G135" s="351"/>
      <c r="H135" s="351" t="s">
        <v>1240</v>
      </c>
      <c r="I135" s="351"/>
      <c r="J135" s="431">
        <v>22436.12</v>
      </c>
    </row>
    <row r="136" spans="1:10" x14ac:dyDescent="0.25">
      <c r="A136" s="351"/>
      <c r="B136" s="351"/>
      <c r="C136" s="351"/>
      <c r="D136" s="351"/>
      <c r="E136" s="351"/>
      <c r="F136" s="351"/>
      <c r="G136" s="351"/>
      <c r="H136" s="351" t="s">
        <v>1241</v>
      </c>
      <c r="I136" s="351"/>
      <c r="J136" s="431">
        <v>1257252</v>
      </c>
    </row>
    <row r="137" spans="1:10" x14ac:dyDescent="0.25">
      <c r="A137" s="351"/>
      <c r="B137" s="351"/>
      <c r="C137" s="351"/>
      <c r="D137" s="351"/>
      <c r="E137" s="351"/>
      <c r="F137" s="351"/>
      <c r="G137" s="351"/>
      <c r="H137" s="351" t="s">
        <v>1242</v>
      </c>
      <c r="I137" s="351"/>
      <c r="J137" s="431">
        <v>34585</v>
      </c>
    </row>
    <row r="138" spans="1:10" x14ac:dyDescent="0.25">
      <c r="A138" s="351"/>
      <c r="B138" s="351"/>
      <c r="C138" s="351"/>
      <c r="D138" s="351"/>
      <c r="E138" s="351"/>
      <c r="F138" s="351"/>
      <c r="G138" s="351"/>
      <c r="H138" s="351" t="s">
        <v>757</v>
      </c>
      <c r="I138" s="351"/>
      <c r="J138" s="431">
        <v>1754206.83</v>
      </c>
    </row>
    <row r="139" spans="1:10" x14ac:dyDescent="0.25">
      <c r="A139" s="351"/>
      <c r="B139" s="351"/>
      <c r="C139" s="351"/>
      <c r="D139" s="351"/>
      <c r="E139" s="351"/>
      <c r="F139" s="351"/>
      <c r="G139" s="351"/>
      <c r="H139" s="351" t="s">
        <v>759</v>
      </c>
      <c r="I139" s="351"/>
      <c r="J139" s="431">
        <v>1817153.83</v>
      </c>
    </row>
    <row r="140" spans="1:10" x14ac:dyDescent="0.25">
      <c r="A140" s="351"/>
      <c r="B140" s="351"/>
      <c r="C140" s="351"/>
      <c r="D140" s="351"/>
      <c r="E140" s="351"/>
      <c r="F140" s="351"/>
      <c r="G140" s="351"/>
      <c r="H140" s="351" t="s">
        <v>758</v>
      </c>
      <c r="I140" s="351"/>
      <c r="J140" s="431">
        <v>999260.08</v>
      </c>
    </row>
    <row r="141" spans="1:10" x14ac:dyDescent="0.25">
      <c r="A141" s="351"/>
      <c r="B141" s="351"/>
      <c r="C141" s="351"/>
      <c r="D141" s="351"/>
      <c r="E141" s="351"/>
      <c r="F141" s="351"/>
      <c r="G141" s="351"/>
      <c r="H141" s="351" t="s">
        <v>1243</v>
      </c>
      <c r="I141" s="351"/>
      <c r="J141" s="431">
        <v>176720</v>
      </c>
    </row>
    <row r="142" spans="1:10" x14ac:dyDescent="0.25">
      <c r="A142" s="351"/>
      <c r="B142" s="351"/>
      <c r="C142" s="351"/>
      <c r="D142" s="351"/>
      <c r="E142" s="351"/>
      <c r="F142" s="351"/>
      <c r="G142" s="351"/>
      <c r="H142" s="351" t="s">
        <v>1244</v>
      </c>
      <c r="I142" s="351"/>
      <c r="J142" s="431">
        <v>360000</v>
      </c>
    </row>
    <row r="143" spans="1:10" x14ac:dyDescent="0.25">
      <c r="A143" s="351"/>
      <c r="B143" s="351"/>
      <c r="C143" s="351"/>
      <c r="D143" s="351"/>
      <c r="E143" s="351"/>
      <c r="F143" s="351"/>
      <c r="G143" s="351"/>
      <c r="H143" s="351" t="s">
        <v>1245</v>
      </c>
      <c r="I143" s="351"/>
      <c r="J143" s="431">
        <v>47445</v>
      </c>
    </row>
    <row r="144" spans="1:10" ht="15.75" thickBot="1" x14ac:dyDescent="0.3">
      <c r="A144" s="351"/>
      <c r="B144" s="351"/>
      <c r="C144" s="351"/>
      <c r="D144" s="351"/>
      <c r="E144" s="351"/>
      <c r="F144" s="351"/>
      <c r="G144" s="351"/>
      <c r="H144" s="351" t="s">
        <v>1246</v>
      </c>
      <c r="I144" s="351"/>
      <c r="J144" s="432">
        <v>240</v>
      </c>
    </row>
    <row r="145" spans="1:10" x14ac:dyDescent="0.25">
      <c r="A145" s="351"/>
      <c r="B145" s="351"/>
      <c r="C145" s="351"/>
      <c r="D145" s="351"/>
      <c r="E145" s="351"/>
      <c r="F145" s="351"/>
      <c r="G145" s="351" t="s">
        <v>1247</v>
      </c>
      <c r="H145" s="351"/>
      <c r="I145" s="351"/>
      <c r="J145" s="431">
        <f>ROUND(SUM(J131:J144),5)</f>
        <v>7237586.8600000003</v>
      </c>
    </row>
    <row r="146" spans="1:10" x14ac:dyDescent="0.25">
      <c r="A146" s="351"/>
      <c r="B146" s="351"/>
      <c r="C146" s="351"/>
      <c r="D146" s="351"/>
      <c r="E146" s="351"/>
      <c r="F146" s="351"/>
      <c r="G146" s="351" t="s">
        <v>1248</v>
      </c>
      <c r="H146" s="351"/>
      <c r="I146" s="351"/>
      <c r="J146" s="431"/>
    </row>
    <row r="147" spans="1:10" x14ac:dyDescent="0.25">
      <c r="A147" s="351"/>
      <c r="B147" s="351"/>
      <c r="C147" s="351"/>
      <c r="D147" s="351"/>
      <c r="E147" s="351"/>
      <c r="F147" s="351"/>
      <c r="G147" s="351"/>
      <c r="H147" s="351" t="s">
        <v>1249</v>
      </c>
      <c r="I147" s="351"/>
      <c r="J147" s="431">
        <v>2594219.84</v>
      </c>
    </row>
    <row r="148" spans="1:10" x14ac:dyDescent="0.25">
      <c r="A148" s="351"/>
      <c r="B148" s="351"/>
      <c r="C148" s="351"/>
      <c r="D148" s="351"/>
      <c r="E148" s="351"/>
      <c r="F148" s="351"/>
      <c r="G148" s="351"/>
      <c r="H148" s="351" t="s">
        <v>1250</v>
      </c>
      <c r="I148" s="351"/>
      <c r="J148" s="431">
        <v>38988.550000000003</v>
      </c>
    </row>
    <row r="149" spans="1:10" x14ac:dyDescent="0.25">
      <c r="A149" s="351"/>
      <c r="B149" s="351"/>
      <c r="C149" s="351"/>
      <c r="D149" s="351"/>
      <c r="E149" s="351"/>
      <c r="F149" s="351"/>
      <c r="G149" s="351"/>
      <c r="H149" s="351" t="s">
        <v>1251</v>
      </c>
      <c r="I149" s="351"/>
      <c r="J149" s="431">
        <v>240680.04</v>
      </c>
    </row>
    <row r="150" spans="1:10" x14ac:dyDescent="0.25">
      <c r="A150" s="351"/>
      <c r="B150" s="351"/>
      <c r="C150" s="351"/>
      <c r="D150" s="351"/>
      <c r="E150" s="351"/>
      <c r="F150" s="351"/>
      <c r="G150" s="351"/>
      <c r="H150" s="351" t="s">
        <v>1252</v>
      </c>
      <c r="I150" s="351"/>
      <c r="J150" s="431">
        <v>25000</v>
      </c>
    </row>
    <row r="151" spans="1:10" x14ac:dyDescent="0.25">
      <c r="A151" s="351"/>
      <c r="B151" s="351"/>
      <c r="C151" s="351"/>
      <c r="D151" s="351"/>
      <c r="E151" s="351"/>
      <c r="F151" s="351"/>
      <c r="G151" s="351"/>
      <c r="H151" s="351" t="s">
        <v>1253</v>
      </c>
      <c r="I151" s="351"/>
      <c r="J151" s="431">
        <v>1825</v>
      </c>
    </row>
    <row r="152" spans="1:10" x14ac:dyDescent="0.25">
      <c r="A152" s="351"/>
      <c r="B152" s="351"/>
      <c r="C152" s="351"/>
      <c r="D152" s="351"/>
      <c r="E152" s="351"/>
      <c r="F152" s="351"/>
      <c r="G152" s="351"/>
      <c r="H152" s="351" t="s">
        <v>1254</v>
      </c>
      <c r="I152" s="351"/>
      <c r="J152" s="431">
        <v>296.39999999999998</v>
      </c>
    </row>
    <row r="153" spans="1:10" ht="15.75" thickBot="1" x14ac:dyDescent="0.3">
      <c r="A153" s="351"/>
      <c r="B153" s="351"/>
      <c r="C153" s="351"/>
      <c r="D153" s="351"/>
      <c r="E153" s="351"/>
      <c r="F153" s="351"/>
      <c r="G153" s="351"/>
      <c r="H153" s="351" t="s">
        <v>1255</v>
      </c>
      <c r="I153" s="351"/>
      <c r="J153" s="433">
        <v>20800</v>
      </c>
    </row>
    <row r="154" spans="1:10" ht="15.75" thickBot="1" x14ac:dyDescent="0.3">
      <c r="A154" s="351"/>
      <c r="B154" s="351"/>
      <c r="C154" s="351"/>
      <c r="D154" s="351"/>
      <c r="E154" s="351"/>
      <c r="F154" s="351"/>
      <c r="G154" s="351" t="s">
        <v>1256</v>
      </c>
      <c r="H154" s="351"/>
      <c r="I154" s="351"/>
      <c r="J154" s="434">
        <f>ROUND(SUM(J146:J153),5)</f>
        <v>2921809.83</v>
      </c>
    </row>
    <row r="155" spans="1:10" x14ac:dyDescent="0.25">
      <c r="A155" s="351"/>
      <c r="B155" s="351"/>
      <c r="C155" s="351"/>
      <c r="D155" s="351"/>
      <c r="E155" s="351"/>
      <c r="F155" s="351" t="s">
        <v>1257</v>
      </c>
      <c r="G155" s="351"/>
      <c r="H155" s="351"/>
      <c r="I155" s="351"/>
      <c r="J155" s="431">
        <f>ROUND(J84+J103+J112+J120+J130+J145+J154,5)</f>
        <v>20696983.449999999</v>
      </c>
    </row>
    <row r="156" spans="1:10" x14ac:dyDescent="0.25">
      <c r="A156" s="351"/>
      <c r="B156" s="351"/>
      <c r="C156" s="351"/>
      <c r="D156" s="351"/>
      <c r="E156" s="351"/>
      <c r="F156" s="351" t="s">
        <v>1258</v>
      </c>
      <c r="G156" s="351"/>
      <c r="H156" s="351"/>
      <c r="I156" s="351"/>
      <c r="J156" s="431"/>
    </row>
    <row r="157" spans="1:10" x14ac:dyDescent="0.25">
      <c r="A157" s="351"/>
      <c r="B157" s="351"/>
      <c r="C157" s="351"/>
      <c r="D157" s="351"/>
      <c r="E157" s="351"/>
      <c r="F157" s="351"/>
      <c r="G157" s="351" t="s">
        <v>1259</v>
      </c>
      <c r="H157" s="351"/>
      <c r="I157" s="351"/>
      <c r="J157" s="431"/>
    </row>
    <row r="158" spans="1:10" x14ac:dyDescent="0.25">
      <c r="A158" s="351"/>
      <c r="B158" s="351"/>
      <c r="C158" s="351"/>
      <c r="D158" s="351"/>
      <c r="E158" s="351"/>
      <c r="F158" s="351"/>
      <c r="G158" s="351"/>
      <c r="H158" s="351" t="s">
        <v>1260</v>
      </c>
      <c r="I158" s="351"/>
      <c r="J158" s="431">
        <v>130789.19</v>
      </c>
    </row>
    <row r="159" spans="1:10" x14ac:dyDescent="0.25">
      <c r="A159" s="351"/>
      <c r="B159" s="351"/>
      <c r="C159" s="351"/>
      <c r="D159" s="351"/>
      <c r="E159" s="351"/>
      <c r="F159" s="351"/>
      <c r="G159" s="351"/>
      <c r="H159" s="351" t="s">
        <v>1261</v>
      </c>
      <c r="I159" s="351"/>
      <c r="J159" s="431">
        <v>4605</v>
      </c>
    </row>
    <row r="160" spans="1:10" x14ac:dyDescent="0.25">
      <c r="A160" s="351"/>
      <c r="B160" s="351"/>
      <c r="C160" s="351"/>
      <c r="D160" s="351"/>
      <c r="E160" s="351"/>
      <c r="F160" s="351"/>
      <c r="G160" s="351"/>
      <c r="H160" s="351" t="s">
        <v>1262</v>
      </c>
      <c r="I160" s="351"/>
      <c r="J160" s="431">
        <v>1009852.8</v>
      </c>
    </row>
    <row r="161" spans="1:10" x14ac:dyDescent="0.25">
      <c r="A161" s="351"/>
      <c r="B161" s="351"/>
      <c r="C161" s="351"/>
      <c r="D161" s="351"/>
      <c r="E161" s="351"/>
      <c r="F161" s="351"/>
      <c r="G161" s="351"/>
      <c r="H161" s="351" t="s">
        <v>1263</v>
      </c>
      <c r="I161" s="351"/>
      <c r="J161" s="431">
        <v>117197.42</v>
      </c>
    </row>
    <row r="162" spans="1:10" x14ac:dyDescent="0.25">
      <c r="A162" s="351"/>
      <c r="B162" s="351"/>
      <c r="C162" s="351"/>
      <c r="D162" s="351"/>
      <c r="E162" s="351"/>
      <c r="F162" s="351"/>
      <c r="G162" s="351"/>
      <c r="H162" s="351" t="s">
        <v>1264</v>
      </c>
      <c r="I162" s="351"/>
      <c r="J162" s="431">
        <v>831563.49</v>
      </c>
    </row>
    <row r="163" spans="1:10" x14ac:dyDescent="0.25">
      <c r="A163" s="351"/>
      <c r="B163" s="351"/>
      <c r="C163" s="351"/>
      <c r="D163" s="351"/>
      <c r="E163" s="351"/>
      <c r="F163" s="351"/>
      <c r="G163" s="351"/>
      <c r="H163" s="351" t="s">
        <v>1265</v>
      </c>
      <c r="I163" s="351"/>
      <c r="J163" s="431">
        <v>546170</v>
      </c>
    </row>
    <row r="164" spans="1:10" x14ac:dyDescent="0.25">
      <c r="A164" s="351"/>
      <c r="B164" s="351"/>
      <c r="C164" s="351"/>
      <c r="D164" s="351"/>
      <c r="E164" s="351"/>
      <c r="F164" s="351"/>
      <c r="G164" s="351"/>
      <c r="H164" s="351" t="s">
        <v>1266</v>
      </c>
      <c r="I164" s="351"/>
      <c r="J164" s="431">
        <v>72628.94</v>
      </c>
    </row>
    <row r="165" spans="1:10" x14ac:dyDescent="0.25">
      <c r="A165" s="351"/>
      <c r="B165" s="351"/>
      <c r="C165" s="351"/>
      <c r="D165" s="351"/>
      <c r="E165" s="351"/>
      <c r="F165" s="351"/>
      <c r="G165" s="351"/>
      <c r="H165" s="351" t="s">
        <v>1267</v>
      </c>
      <c r="I165" s="351"/>
      <c r="J165" s="431">
        <v>95221.8</v>
      </c>
    </row>
    <row r="166" spans="1:10" x14ac:dyDescent="0.25">
      <c r="A166" s="351"/>
      <c r="B166" s="351"/>
      <c r="C166" s="351"/>
      <c r="D166" s="351"/>
      <c r="E166" s="351"/>
      <c r="F166" s="351"/>
      <c r="G166" s="351"/>
      <c r="H166" s="351" t="s">
        <v>1268</v>
      </c>
      <c r="I166" s="351"/>
      <c r="J166" s="431">
        <v>109200</v>
      </c>
    </row>
    <row r="167" spans="1:10" x14ac:dyDescent="0.25">
      <c r="A167" s="351"/>
      <c r="B167" s="351"/>
      <c r="C167" s="351"/>
      <c r="D167" s="351"/>
      <c r="E167" s="351"/>
      <c r="F167" s="351"/>
      <c r="G167" s="351"/>
      <c r="H167" s="351" t="s">
        <v>1269</v>
      </c>
      <c r="I167" s="351"/>
      <c r="J167" s="431">
        <v>16062.5</v>
      </c>
    </row>
    <row r="168" spans="1:10" x14ac:dyDescent="0.25">
      <c r="A168" s="351"/>
      <c r="B168" s="351"/>
      <c r="C168" s="351"/>
      <c r="D168" s="351"/>
      <c r="E168" s="351"/>
      <c r="F168" s="351"/>
      <c r="G168" s="351"/>
      <c r="H168" s="351" t="s">
        <v>1270</v>
      </c>
      <c r="I168" s="351"/>
      <c r="J168" s="431">
        <v>9012.44</v>
      </c>
    </row>
    <row r="169" spans="1:10" x14ac:dyDescent="0.25">
      <c r="A169" s="351"/>
      <c r="B169" s="351"/>
      <c r="C169" s="351"/>
      <c r="D169" s="351"/>
      <c r="E169" s="351"/>
      <c r="F169" s="351"/>
      <c r="G169" s="351"/>
      <c r="H169" s="351" t="s">
        <v>1271</v>
      </c>
      <c r="I169" s="351"/>
      <c r="J169" s="431">
        <v>35810</v>
      </c>
    </row>
    <row r="170" spans="1:10" x14ac:dyDescent="0.25">
      <c r="A170" s="351"/>
      <c r="B170" s="351"/>
      <c r="C170" s="351"/>
      <c r="D170" s="351"/>
      <c r="E170" s="351"/>
      <c r="F170" s="351"/>
      <c r="G170" s="351"/>
      <c r="H170" s="351" t="s">
        <v>1272</v>
      </c>
      <c r="I170" s="351"/>
      <c r="J170" s="431">
        <v>301233</v>
      </c>
    </row>
    <row r="171" spans="1:10" x14ac:dyDescent="0.25">
      <c r="A171" s="351"/>
      <c r="B171" s="351"/>
      <c r="C171" s="351"/>
      <c r="D171" s="351"/>
      <c r="E171" s="351"/>
      <c r="F171" s="351"/>
      <c r="G171" s="351"/>
      <c r="H171" s="351" t="s">
        <v>1273</v>
      </c>
      <c r="I171" s="351"/>
      <c r="J171" s="431">
        <v>366440</v>
      </c>
    </row>
    <row r="172" spans="1:10" ht="15.75" thickBot="1" x14ac:dyDescent="0.3">
      <c r="A172" s="351"/>
      <c r="B172" s="351"/>
      <c r="C172" s="351"/>
      <c r="D172" s="351"/>
      <c r="E172" s="351"/>
      <c r="F172" s="351"/>
      <c r="G172" s="351"/>
      <c r="H172" s="351" t="s">
        <v>1274</v>
      </c>
      <c r="I172" s="351"/>
      <c r="J172" s="432">
        <v>2000</v>
      </c>
    </row>
    <row r="173" spans="1:10" x14ac:dyDescent="0.25">
      <c r="A173" s="351"/>
      <c r="B173" s="351"/>
      <c r="C173" s="351"/>
      <c r="D173" s="351"/>
      <c r="E173" s="351"/>
      <c r="F173" s="351"/>
      <c r="G173" s="351" t="s">
        <v>1275</v>
      </c>
      <c r="H173" s="351"/>
      <c r="I173" s="351"/>
      <c r="J173" s="431">
        <f>ROUND(SUM(J157:J172),5)</f>
        <v>3647786.58</v>
      </c>
    </row>
    <row r="174" spans="1:10" x14ac:dyDescent="0.25">
      <c r="A174" s="351"/>
      <c r="B174" s="351"/>
      <c r="C174" s="351"/>
      <c r="D174" s="351"/>
      <c r="E174" s="351"/>
      <c r="F174" s="351"/>
      <c r="G174" s="351" t="s">
        <v>1276</v>
      </c>
      <c r="H174" s="351"/>
      <c r="I174" s="351"/>
      <c r="J174" s="431"/>
    </row>
    <row r="175" spans="1:10" x14ac:dyDescent="0.25">
      <c r="A175" s="351"/>
      <c r="B175" s="351"/>
      <c r="C175" s="351"/>
      <c r="D175" s="351"/>
      <c r="E175" s="351"/>
      <c r="F175" s="351"/>
      <c r="G175" s="351"/>
      <c r="H175" s="351" t="s">
        <v>1277</v>
      </c>
      <c r="I175" s="351"/>
      <c r="J175" s="431">
        <v>530080</v>
      </c>
    </row>
    <row r="176" spans="1:10" x14ac:dyDescent="0.25">
      <c r="A176" s="351"/>
      <c r="B176" s="351"/>
      <c r="C176" s="351"/>
      <c r="D176" s="351"/>
      <c r="E176" s="351"/>
      <c r="F176" s="351"/>
      <c r="G176" s="351"/>
      <c r="H176" s="351" t="s">
        <v>1278</v>
      </c>
      <c r="I176" s="351"/>
      <c r="J176" s="431">
        <v>52140</v>
      </c>
    </row>
    <row r="177" spans="1:10" x14ac:dyDescent="0.25">
      <c r="A177" s="351"/>
      <c r="B177" s="351"/>
      <c r="C177" s="351"/>
      <c r="D177" s="351"/>
      <c r="E177" s="351"/>
      <c r="F177" s="351"/>
      <c r="G177" s="351"/>
      <c r="H177" s="351" t="s">
        <v>1279</v>
      </c>
      <c r="I177" s="351"/>
      <c r="J177" s="431">
        <v>13035</v>
      </c>
    </row>
    <row r="178" spans="1:10" x14ac:dyDescent="0.25">
      <c r="A178" s="351"/>
      <c r="B178" s="351"/>
      <c r="C178" s="351"/>
      <c r="D178" s="351"/>
      <c r="E178" s="351"/>
      <c r="F178" s="351"/>
      <c r="G178" s="351"/>
      <c r="H178" s="351" t="s">
        <v>1280</v>
      </c>
      <c r="I178" s="351"/>
      <c r="J178" s="431">
        <v>335000</v>
      </c>
    </row>
    <row r="179" spans="1:10" x14ac:dyDescent="0.25">
      <c r="A179" s="351"/>
      <c r="B179" s="351"/>
      <c r="C179" s="351"/>
      <c r="D179" s="351"/>
      <c r="E179" s="351"/>
      <c r="F179" s="351"/>
      <c r="G179" s="351"/>
      <c r="H179" s="351" t="s">
        <v>1281</v>
      </c>
      <c r="I179" s="351"/>
      <c r="J179" s="431">
        <v>25666.639999999999</v>
      </c>
    </row>
    <row r="180" spans="1:10" ht="15.75" thickBot="1" x14ac:dyDescent="0.3">
      <c r="A180" s="351"/>
      <c r="B180" s="351"/>
      <c r="C180" s="351"/>
      <c r="D180" s="351"/>
      <c r="E180" s="351"/>
      <c r="F180" s="351"/>
      <c r="G180" s="351"/>
      <c r="H180" s="351" t="s">
        <v>1282</v>
      </c>
      <c r="I180" s="351"/>
      <c r="J180" s="432">
        <v>651974.30000000005</v>
      </c>
    </row>
    <row r="181" spans="1:10" x14ac:dyDescent="0.25">
      <c r="A181" s="351"/>
      <c r="B181" s="351"/>
      <c r="C181" s="351"/>
      <c r="D181" s="351"/>
      <c r="E181" s="351"/>
      <c r="F181" s="351"/>
      <c r="G181" s="351" t="s">
        <v>1283</v>
      </c>
      <c r="H181" s="351"/>
      <c r="I181" s="351"/>
      <c r="J181" s="431">
        <f>ROUND(SUM(J174:J180),5)</f>
        <v>1607895.94</v>
      </c>
    </row>
    <row r="182" spans="1:10" x14ac:dyDescent="0.25">
      <c r="A182" s="351"/>
      <c r="B182" s="351"/>
      <c r="C182" s="351"/>
      <c r="D182" s="351"/>
      <c r="E182" s="351"/>
      <c r="F182" s="351"/>
      <c r="G182" s="351" t="s">
        <v>1284</v>
      </c>
      <c r="H182" s="351"/>
      <c r="I182" s="351"/>
      <c r="J182" s="431"/>
    </row>
    <row r="183" spans="1:10" x14ac:dyDescent="0.25">
      <c r="A183" s="351"/>
      <c r="B183" s="351"/>
      <c r="C183" s="351"/>
      <c r="D183" s="351"/>
      <c r="E183" s="351"/>
      <c r="F183" s="351"/>
      <c r="G183" s="351"/>
      <c r="H183" s="351" t="s">
        <v>1285</v>
      </c>
      <c r="I183" s="351"/>
      <c r="J183" s="431">
        <v>103730.78</v>
      </c>
    </row>
    <row r="184" spans="1:10" x14ac:dyDescent="0.25">
      <c r="A184" s="351"/>
      <c r="B184" s="351"/>
      <c r="C184" s="351"/>
      <c r="D184" s="351"/>
      <c r="E184" s="351"/>
      <c r="F184" s="351"/>
      <c r="G184" s="351"/>
      <c r="H184" s="351" t="s">
        <v>1286</v>
      </c>
      <c r="I184" s="351"/>
      <c r="J184" s="431">
        <v>70353.179999999993</v>
      </c>
    </row>
    <row r="185" spans="1:10" x14ac:dyDescent="0.25">
      <c r="A185" s="351"/>
      <c r="B185" s="351"/>
      <c r="C185" s="351"/>
      <c r="D185" s="351"/>
      <c r="E185" s="351"/>
      <c r="F185" s="351"/>
      <c r="G185" s="351"/>
      <c r="H185" s="351" t="s">
        <v>1287</v>
      </c>
      <c r="I185" s="351"/>
      <c r="J185" s="431">
        <v>59347.91</v>
      </c>
    </row>
    <row r="186" spans="1:10" ht="15.75" thickBot="1" x14ac:dyDescent="0.3">
      <c r="A186" s="351"/>
      <c r="B186" s="351"/>
      <c r="C186" s="351"/>
      <c r="D186" s="351"/>
      <c r="E186" s="351"/>
      <c r="F186" s="351"/>
      <c r="G186" s="351"/>
      <c r="H186" s="351" t="s">
        <v>1288</v>
      </c>
      <c r="I186" s="351"/>
      <c r="J186" s="432">
        <v>63300.34</v>
      </c>
    </row>
    <row r="187" spans="1:10" x14ac:dyDescent="0.25">
      <c r="A187" s="351"/>
      <c r="B187" s="351"/>
      <c r="C187" s="351"/>
      <c r="D187" s="351"/>
      <c r="E187" s="351"/>
      <c r="F187" s="351"/>
      <c r="G187" s="351" t="s">
        <v>1289</v>
      </c>
      <c r="H187" s="351"/>
      <c r="I187" s="351"/>
      <c r="J187" s="431">
        <f>ROUND(SUM(J182:J186),5)</f>
        <v>296732.21000000002</v>
      </c>
    </row>
    <row r="188" spans="1:10" x14ac:dyDescent="0.25">
      <c r="A188" s="351"/>
      <c r="B188" s="351"/>
      <c r="C188" s="351"/>
      <c r="D188" s="351"/>
      <c r="E188" s="351"/>
      <c r="F188" s="351"/>
      <c r="G188" s="351" t="s">
        <v>1290</v>
      </c>
      <c r="H188" s="351"/>
      <c r="I188" s="351"/>
      <c r="J188" s="431"/>
    </row>
    <row r="189" spans="1:10" x14ac:dyDescent="0.25">
      <c r="A189" s="351"/>
      <c r="B189" s="351"/>
      <c r="C189" s="351"/>
      <c r="D189" s="351"/>
      <c r="E189" s="351"/>
      <c r="F189" s="351"/>
      <c r="G189" s="351"/>
      <c r="H189" s="351" t="s">
        <v>1291</v>
      </c>
      <c r="I189" s="351"/>
      <c r="J189" s="431">
        <v>133170</v>
      </c>
    </row>
    <row r="190" spans="1:10" x14ac:dyDescent="0.25">
      <c r="A190" s="351"/>
      <c r="B190" s="351"/>
      <c r="C190" s="351"/>
      <c r="D190" s="351"/>
      <c r="E190" s="351"/>
      <c r="F190" s="351"/>
      <c r="G190" s="351"/>
      <c r="H190" s="351" t="s">
        <v>1292</v>
      </c>
      <c r="I190" s="351"/>
      <c r="J190" s="431">
        <v>246099</v>
      </c>
    </row>
    <row r="191" spans="1:10" x14ac:dyDescent="0.25">
      <c r="A191" s="351"/>
      <c r="B191" s="351"/>
      <c r="C191" s="351"/>
      <c r="D191" s="351"/>
      <c r="E191" s="351"/>
      <c r="F191" s="351"/>
      <c r="G191" s="351"/>
      <c r="H191" s="351" t="s">
        <v>1293</v>
      </c>
      <c r="I191" s="351"/>
      <c r="J191" s="431">
        <v>25622.94</v>
      </c>
    </row>
    <row r="192" spans="1:10" ht="15.75" thickBot="1" x14ac:dyDescent="0.3">
      <c r="A192" s="351"/>
      <c r="B192" s="351"/>
      <c r="C192" s="351"/>
      <c r="D192" s="351"/>
      <c r="E192" s="351"/>
      <c r="F192" s="351"/>
      <c r="G192" s="351"/>
      <c r="H192" s="351" t="s">
        <v>1294</v>
      </c>
      <c r="I192" s="351"/>
      <c r="J192" s="432">
        <v>6500</v>
      </c>
    </row>
    <row r="193" spans="1:10" x14ac:dyDescent="0.25">
      <c r="A193" s="351"/>
      <c r="B193" s="351"/>
      <c r="C193" s="351"/>
      <c r="D193" s="351"/>
      <c r="E193" s="351"/>
      <c r="F193" s="351"/>
      <c r="G193" s="351" t="s">
        <v>1295</v>
      </c>
      <c r="H193" s="351"/>
      <c r="I193" s="351"/>
      <c r="J193" s="431">
        <f>ROUND(SUM(J188:J192),5)</f>
        <v>411391.94</v>
      </c>
    </row>
    <row r="194" spans="1:10" x14ac:dyDescent="0.25">
      <c r="A194" s="351"/>
      <c r="B194" s="351"/>
      <c r="C194" s="351"/>
      <c r="D194" s="351"/>
      <c r="E194" s="351"/>
      <c r="F194" s="351"/>
      <c r="G194" s="351" t="s">
        <v>1296</v>
      </c>
      <c r="H194" s="351"/>
      <c r="I194" s="351"/>
      <c r="J194" s="431"/>
    </row>
    <row r="195" spans="1:10" x14ac:dyDescent="0.25">
      <c r="A195" s="351"/>
      <c r="B195" s="351"/>
      <c r="C195" s="351"/>
      <c r="D195" s="351"/>
      <c r="E195" s="351"/>
      <c r="F195" s="351"/>
      <c r="G195" s="351"/>
      <c r="H195" s="351" t="s">
        <v>1297</v>
      </c>
      <c r="I195" s="351"/>
      <c r="J195" s="431">
        <v>95089</v>
      </c>
    </row>
    <row r="196" spans="1:10" x14ac:dyDescent="0.25">
      <c r="A196" s="351"/>
      <c r="B196" s="351"/>
      <c r="C196" s="351"/>
      <c r="D196" s="351"/>
      <c r="E196" s="351"/>
      <c r="F196" s="351"/>
      <c r="G196" s="351"/>
      <c r="H196" s="351" t="s">
        <v>1298</v>
      </c>
      <c r="I196" s="351"/>
      <c r="J196" s="431">
        <v>602351</v>
      </c>
    </row>
    <row r="197" spans="1:10" x14ac:dyDescent="0.25">
      <c r="A197" s="351"/>
      <c r="B197" s="351"/>
      <c r="C197" s="351"/>
      <c r="D197" s="351"/>
      <c r="E197" s="351"/>
      <c r="F197" s="351"/>
      <c r="G197" s="351"/>
      <c r="H197" s="351" t="s">
        <v>1299</v>
      </c>
      <c r="I197" s="351"/>
      <c r="J197" s="431">
        <v>53820</v>
      </c>
    </row>
    <row r="198" spans="1:10" x14ac:dyDescent="0.25">
      <c r="A198" s="351"/>
      <c r="B198" s="351"/>
      <c r="C198" s="351"/>
      <c r="D198" s="351"/>
      <c r="E198" s="351"/>
      <c r="F198" s="351"/>
      <c r="G198" s="351"/>
      <c r="H198" s="351" t="s">
        <v>1300</v>
      </c>
      <c r="I198" s="351"/>
      <c r="J198" s="431">
        <v>3000</v>
      </c>
    </row>
    <row r="199" spans="1:10" x14ac:dyDescent="0.25">
      <c r="A199" s="351"/>
      <c r="B199" s="351"/>
      <c r="C199" s="351"/>
      <c r="D199" s="351"/>
      <c r="E199" s="351"/>
      <c r="F199" s="351"/>
      <c r="G199" s="351"/>
      <c r="H199" s="351" t="s">
        <v>1301</v>
      </c>
      <c r="I199" s="351"/>
      <c r="J199" s="431">
        <v>48000</v>
      </c>
    </row>
    <row r="200" spans="1:10" x14ac:dyDescent="0.25">
      <c r="A200" s="351"/>
      <c r="B200" s="351"/>
      <c r="C200" s="351"/>
      <c r="D200" s="351"/>
      <c r="E200" s="351"/>
      <c r="F200" s="351"/>
      <c r="G200" s="351"/>
      <c r="H200" s="351" t="s">
        <v>755</v>
      </c>
      <c r="I200" s="351"/>
      <c r="J200" s="431">
        <v>688743.72</v>
      </c>
    </row>
    <row r="201" spans="1:10" x14ac:dyDescent="0.25">
      <c r="A201" s="351"/>
      <c r="B201" s="351"/>
      <c r="C201" s="351"/>
      <c r="D201" s="351"/>
      <c r="E201" s="351"/>
      <c r="F201" s="351"/>
      <c r="G201" s="351"/>
      <c r="H201" s="351" t="s">
        <v>756</v>
      </c>
      <c r="I201" s="351"/>
      <c r="J201" s="431">
        <v>760100.88</v>
      </c>
    </row>
    <row r="202" spans="1:10" ht="15.75" thickBot="1" x14ac:dyDescent="0.3">
      <c r="A202" s="351"/>
      <c r="B202" s="351"/>
      <c r="C202" s="351"/>
      <c r="D202" s="351"/>
      <c r="E202" s="351"/>
      <c r="F202" s="351"/>
      <c r="G202" s="351"/>
      <c r="H202" s="351" t="s">
        <v>1302</v>
      </c>
      <c r="I202" s="351"/>
      <c r="J202" s="432">
        <v>665119</v>
      </c>
    </row>
    <row r="203" spans="1:10" x14ac:dyDescent="0.25">
      <c r="A203" s="351"/>
      <c r="B203" s="351"/>
      <c r="C203" s="351"/>
      <c r="D203" s="351"/>
      <c r="E203" s="351"/>
      <c r="F203" s="351"/>
      <c r="G203" s="351" t="s">
        <v>1303</v>
      </c>
      <c r="H203" s="351"/>
      <c r="I203" s="351"/>
      <c r="J203" s="431">
        <f>ROUND(SUM(J194:J202),5)</f>
        <v>2916223.6</v>
      </c>
    </row>
    <row r="204" spans="1:10" x14ac:dyDescent="0.25">
      <c r="A204" s="351"/>
      <c r="B204" s="351"/>
      <c r="C204" s="351"/>
      <c r="D204" s="351"/>
      <c r="E204" s="351"/>
      <c r="F204" s="351"/>
      <c r="G204" s="351" t="s">
        <v>1304</v>
      </c>
      <c r="H204" s="351"/>
      <c r="I204" s="351"/>
      <c r="J204" s="431"/>
    </row>
    <row r="205" spans="1:10" x14ac:dyDescent="0.25">
      <c r="A205" s="351"/>
      <c r="B205" s="351"/>
      <c r="C205" s="351"/>
      <c r="D205" s="351"/>
      <c r="E205" s="351"/>
      <c r="F205" s="351"/>
      <c r="G205" s="351"/>
      <c r="H205" s="351" t="s">
        <v>1305</v>
      </c>
      <c r="I205" s="351"/>
      <c r="J205" s="431">
        <v>5612</v>
      </c>
    </row>
    <row r="206" spans="1:10" x14ac:dyDescent="0.25">
      <c r="A206" s="351"/>
      <c r="B206" s="351"/>
      <c r="C206" s="351"/>
      <c r="D206" s="351"/>
      <c r="E206" s="351"/>
      <c r="F206" s="351"/>
      <c r="G206" s="351"/>
      <c r="H206" s="351" t="s">
        <v>1306</v>
      </c>
      <c r="I206" s="351"/>
      <c r="J206" s="431">
        <v>64453.84</v>
      </c>
    </row>
    <row r="207" spans="1:10" ht="15.75" thickBot="1" x14ac:dyDescent="0.3">
      <c r="A207" s="351"/>
      <c r="B207" s="351"/>
      <c r="C207" s="351"/>
      <c r="D207" s="351"/>
      <c r="E207" s="351"/>
      <c r="F207" s="351"/>
      <c r="G207" s="351"/>
      <c r="H207" s="351" t="s">
        <v>1307</v>
      </c>
      <c r="I207" s="351"/>
      <c r="J207" s="432">
        <v>4920.09</v>
      </c>
    </row>
    <row r="208" spans="1:10" x14ac:dyDescent="0.25">
      <c r="A208" s="351"/>
      <c r="B208" s="351"/>
      <c r="C208" s="351"/>
      <c r="D208" s="351"/>
      <c r="E208" s="351"/>
      <c r="F208" s="351"/>
      <c r="G208" s="351" t="s">
        <v>1308</v>
      </c>
      <c r="H208" s="351"/>
      <c r="I208" s="351"/>
      <c r="J208" s="431">
        <f>ROUND(SUM(J204:J207),5)</f>
        <v>74985.929999999993</v>
      </c>
    </row>
    <row r="209" spans="1:10" ht="15.75" thickBot="1" x14ac:dyDescent="0.3">
      <c r="A209" s="351"/>
      <c r="B209" s="351"/>
      <c r="C209" s="351"/>
      <c r="D209" s="351"/>
      <c r="E209" s="351"/>
      <c r="F209" s="351"/>
      <c r="G209" s="351" t="s">
        <v>1309</v>
      </c>
      <c r="H209" s="351"/>
      <c r="I209" s="351"/>
      <c r="J209" s="432">
        <v>11182</v>
      </c>
    </row>
    <row r="210" spans="1:10" x14ac:dyDescent="0.25">
      <c r="A210" s="351"/>
      <c r="B210" s="351"/>
      <c r="C210" s="351"/>
      <c r="D210" s="351"/>
      <c r="E210" s="351"/>
      <c r="F210" s="351" t="s">
        <v>1310</v>
      </c>
      <c r="G210" s="351"/>
      <c r="H210" s="351"/>
      <c r="I210" s="351"/>
      <c r="J210" s="431">
        <f>ROUND(J156+J173+J181+J187+J193+J203+SUM(J208:J209),5)</f>
        <v>8966198.1999999993</v>
      </c>
    </row>
    <row r="211" spans="1:10" x14ac:dyDescent="0.25">
      <c r="A211" s="351"/>
      <c r="B211" s="351"/>
      <c r="C211" s="351"/>
      <c r="D211" s="351"/>
      <c r="E211" s="351"/>
      <c r="F211" s="351" t="s">
        <v>1311</v>
      </c>
      <c r="G211" s="351"/>
      <c r="H211" s="351"/>
      <c r="I211" s="351"/>
      <c r="J211" s="431"/>
    </row>
    <row r="212" spans="1:10" x14ac:dyDescent="0.25">
      <c r="A212" s="351"/>
      <c r="B212" s="351"/>
      <c r="C212" s="351"/>
      <c r="D212" s="351"/>
      <c r="E212" s="351"/>
      <c r="F212" s="351"/>
      <c r="G212" s="351" t="s">
        <v>1312</v>
      </c>
      <c r="H212" s="351"/>
      <c r="I212" s="351"/>
      <c r="J212" s="431"/>
    </row>
    <row r="213" spans="1:10" x14ac:dyDescent="0.25">
      <c r="A213" s="351"/>
      <c r="B213" s="351"/>
      <c r="C213" s="351"/>
      <c r="D213" s="351"/>
      <c r="E213" s="351"/>
      <c r="F213" s="351"/>
      <c r="G213" s="351"/>
      <c r="H213" s="351" t="s">
        <v>1313</v>
      </c>
      <c r="I213" s="351"/>
      <c r="J213" s="431">
        <v>49000</v>
      </c>
    </row>
    <row r="214" spans="1:10" x14ac:dyDescent="0.25">
      <c r="A214" s="351"/>
      <c r="B214" s="351"/>
      <c r="C214" s="351"/>
      <c r="D214" s="351"/>
      <c r="E214" s="351"/>
      <c r="F214" s="351"/>
      <c r="G214" s="351"/>
      <c r="H214" s="351" t="s">
        <v>1314</v>
      </c>
      <c r="I214" s="351"/>
      <c r="J214" s="431">
        <v>103138</v>
      </c>
    </row>
    <row r="215" spans="1:10" x14ac:dyDescent="0.25">
      <c r="A215" s="351"/>
      <c r="B215" s="351"/>
      <c r="C215" s="351"/>
      <c r="D215" s="351"/>
      <c r="E215" s="351"/>
      <c r="F215" s="351"/>
      <c r="G215" s="351"/>
      <c r="H215" s="351" t="s">
        <v>1315</v>
      </c>
      <c r="I215" s="351"/>
      <c r="J215" s="431">
        <v>9919.34</v>
      </c>
    </row>
    <row r="216" spans="1:10" x14ac:dyDescent="0.25">
      <c r="A216" s="351"/>
      <c r="B216" s="351"/>
      <c r="C216" s="351"/>
      <c r="D216" s="351"/>
      <c r="E216" s="351"/>
      <c r="F216" s="351"/>
      <c r="G216" s="351"/>
      <c r="H216" s="351" t="s">
        <v>1316</v>
      </c>
      <c r="I216" s="351"/>
      <c r="J216" s="431">
        <v>-590</v>
      </c>
    </row>
    <row r="217" spans="1:10" ht="15.75" thickBot="1" x14ac:dyDescent="0.3">
      <c r="A217" s="351"/>
      <c r="B217" s="351"/>
      <c r="C217" s="351"/>
      <c r="D217" s="351"/>
      <c r="E217" s="351"/>
      <c r="F217" s="351"/>
      <c r="G217" s="351"/>
      <c r="H217" s="351" t="s">
        <v>1317</v>
      </c>
      <c r="I217" s="351"/>
      <c r="J217" s="432">
        <v>14443</v>
      </c>
    </row>
    <row r="218" spans="1:10" x14ac:dyDescent="0.25">
      <c r="A218" s="351"/>
      <c r="B218" s="351"/>
      <c r="C218" s="351"/>
      <c r="D218" s="351"/>
      <c r="E218" s="351"/>
      <c r="F218" s="351"/>
      <c r="G218" s="351" t="s">
        <v>1318</v>
      </c>
      <c r="H218" s="351"/>
      <c r="I218" s="351"/>
      <c r="J218" s="431">
        <f>ROUND(SUM(J212:J217),5)</f>
        <v>175910.34</v>
      </c>
    </row>
    <row r="219" spans="1:10" x14ac:dyDescent="0.25">
      <c r="A219" s="351"/>
      <c r="B219" s="351"/>
      <c r="C219" s="351"/>
      <c r="D219" s="351"/>
      <c r="E219" s="351"/>
      <c r="F219" s="351"/>
      <c r="G219" s="351" t="s">
        <v>1319</v>
      </c>
      <c r="H219" s="351"/>
      <c r="I219" s="351"/>
      <c r="J219" s="431"/>
    </row>
    <row r="220" spans="1:10" x14ac:dyDescent="0.25">
      <c r="A220" s="351"/>
      <c r="B220" s="351"/>
      <c r="C220" s="351"/>
      <c r="D220" s="351"/>
      <c r="E220" s="351"/>
      <c r="F220" s="351"/>
      <c r="G220" s="351"/>
      <c r="H220" s="351" t="s">
        <v>1320</v>
      </c>
      <c r="I220" s="351"/>
      <c r="J220" s="431">
        <v>26105.5</v>
      </c>
    </row>
    <row r="221" spans="1:10" x14ac:dyDescent="0.25">
      <c r="A221" s="351"/>
      <c r="B221" s="351"/>
      <c r="C221" s="351"/>
      <c r="D221" s="351"/>
      <c r="E221" s="351"/>
      <c r="F221" s="351"/>
      <c r="G221" s="351"/>
      <c r="H221" s="351" t="s">
        <v>1321</v>
      </c>
      <c r="I221" s="351"/>
      <c r="J221" s="431">
        <v>513975</v>
      </c>
    </row>
    <row r="222" spans="1:10" ht="15.75" thickBot="1" x14ac:dyDescent="0.3">
      <c r="A222" s="351"/>
      <c r="B222" s="351"/>
      <c r="C222" s="351"/>
      <c r="D222" s="351"/>
      <c r="E222" s="351"/>
      <c r="F222" s="351"/>
      <c r="G222" s="351"/>
      <c r="H222" s="351" t="s">
        <v>753</v>
      </c>
      <c r="I222" s="351"/>
      <c r="J222" s="433">
        <v>113428.8</v>
      </c>
    </row>
    <row r="223" spans="1:10" ht="15.75" thickBot="1" x14ac:dyDescent="0.3">
      <c r="A223" s="351"/>
      <c r="B223" s="351"/>
      <c r="C223" s="351"/>
      <c r="D223" s="351"/>
      <c r="E223" s="351"/>
      <c r="F223" s="351"/>
      <c r="G223" s="351" t="s">
        <v>1322</v>
      </c>
      <c r="H223" s="351"/>
      <c r="I223" s="351"/>
      <c r="J223" s="434">
        <f>ROUND(SUM(J219:J222),5)</f>
        <v>653509.30000000005</v>
      </c>
    </row>
    <row r="224" spans="1:10" x14ac:dyDescent="0.25">
      <c r="A224" s="351"/>
      <c r="B224" s="351"/>
      <c r="C224" s="351"/>
      <c r="D224" s="351"/>
      <c r="E224" s="351"/>
      <c r="F224" s="351" t="s">
        <v>1323</v>
      </c>
      <c r="G224" s="351"/>
      <c r="H224" s="351"/>
      <c r="I224" s="351"/>
      <c r="J224" s="431">
        <f>ROUND(J211+J218+J223,5)</f>
        <v>829419.64</v>
      </c>
    </row>
    <row r="225" spans="1:10" x14ac:dyDescent="0.25">
      <c r="A225" s="351"/>
      <c r="B225" s="351"/>
      <c r="C225" s="351"/>
      <c r="D225" s="351"/>
      <c r="E225" s="351"/>
      <c r="F225" s="351" t="s">
        <v>1324</v>
      </c>
      <c r="G225" s="351"/>
      <c r="H225" s="351"/>
      <c r="I225" s="351"/>
      <c r="J225" s="431"/>
    </row>
    <row r="226" spans="1:10" x14ac:dyDescent="0.25">
      <c r="A226" s="351"/>
      <c r="B226" s="351"/>
      <c r="C226" s="351"/>
      <c r="D226" s="351"/>
      <c r="E226" s="351"/>
      <c r="F226" s="351"/>
      <c r="G226" s="351" t="s">
        <v>1325</v>
      </c>
      <c r="H226" s="351"/>
      <c r="I226" s="351"/>
      <c r="J226" s="431"/>
    </row>
    <row r="227" spans="1:10" x14ac:dyDescent="0.25">
      <c r="A227" s="351"/>
      <c r="B227" s="351"/>
      <c r="C227" s="351"/>
      <c r="D227" s="351"/>
      <c r="E227" s="351"/>
      <c r="F227" s="351"/>
      <c r="G227" s="351"/>
      <c r="H227" s="351" t="s">
        <v>1326</v>
      </c>
      <c r="I227" s="351"/>
      <c r="J227" s="431">
        <v>661164</v>
      </c>
    </row>
    <row r="228" spans="1:10" x14ac:dyDescent="0.25">
      <c r="A228" s="351"/>
      <c r="B228" s="351"/>
      <c r="C228" s="351"/>
      <c r="D228" s="351"/>
      <c r="E228" s="351"/>
      <c r="F228" s="351"/>
      <c r="G228" s="351"/>
      <c r="H228" s="351" t="s">
        <v>1327</v>
      </c>
      <c r="I228" s="351"/>
      <c r="J228" s="431"/>
    </row>
    <row r="229" spans="1:10" x14ac:dyDescent="0.25">
      <c r="A229" s="351"/>
      <c r="B229" s="351"/>
      <c r="C229" s="351"/>
      <c r="D229" s="351"/>
      <c r="E229" s="351"/>
      <c r="F229" s="351"/>
      <c r="G229" s="351"/>
      <c r="H229" s="351"/>
      <c r="I229" s="351" t="s">
        <v>1328</v>
      </c>
      <c r="J229" s="431">
        <v>373221</v>
      </c>
    </row>
    <row r="230" spans="1:10" ht="15.75" thickBot="1" x14ac:dyDescent="0.3">
      <c r="A230" s="351"/>
      <c r="B230" s="351"/>
      <c r="C230" s="351"/>
      <c r="D230" s="351"/>
      <c r="E230" s="351"/>
      <c r="F230" s="351"/>
      <c r="G230" s="351"/>
      <c r="H230" s="351"/>
      <c r="I230" s="351" t="s">
        <v>1329</v>
      </c>
      <c r="J230" s="432">
        <v>6441</v>
      </c>
    </row>
    <row r="231" spans="1:10" x14ac:dyDescent="0.25">
      <c r="A231" s="351"/>
      <c r="B231" s="351"/>
      <c r="C231" s="351"/>
      <c r="D231" s="351"/>
      <c r="E231" s="351"/>
      <c r="F231" s="351"/>
      <c r="G231" s="351"/>
      <c r="H231" s="351" t="s">
        <v>1330</v>
      </c>
      <c r="I231" s="351"/>
      <c r="J231" s="431">
        <f>ROUND(SUM(J228:J230),5)</f>
        <v>379662</v>
      </c>
    </row>
    <row r="232" spans="1:10" ht="15.75" thickBot="1" x14ac:dyDescent="0.3">
      <c r="A232" s="351"/>
      <c r="B232" s="351"/>
      <c r="C232" s="351"/>
      <c r="D232" s="351"/>
      <c r="E232" s="351"/>
      <c r="F232" s="351"/>
      <c r="G232" s="351"/>
      <c r="H232" s="351" t="s">
        <v>1331</v>
      </c>
      <c r="I232" s="351"/>
      <c r="J232" s="432">
        <v>18636.66</v>
      </c>
    </row>
    <row r="233" spans="1:10" x14ac:dyDescent="0.25">
      <c r="A233" s="351"/>
      <c r="B233" s="351"/>
      <c r="C233" s="351"/>
      <c r="D233" s="351"/>
      <c r="E233" s="351"/>
      <c r="F233" s="351"/>
      <c r="G233" s="351" t="s">
        <v>1332</v>
      </c>
      <c r="H233" s="351"/>
      <c r="I233" s="351"/>
      <c r="J233" s="431">
        <f>ROUND(SUM(J226:J227)+SUM(J231:J232),5)</f>
        <v>1059462.6599999999</v>
      </c>
    </row>
    <row r="234" spans="1:10" x14ac:dyDescent="0.25">
      <c r="A234" s="351"/>
      <c r="B234" s="351"/>
      <c r="C234" s="351"/>
      <c r="D234" s="351"/>
      <c r="E234" s="351"/>
      <c r="F234" s="351"/>
      <c r="G234" s="351" t="s">
        <v>1333</v>
      </c>
      <c r="H234" s="351"/>
      <c r="I234" s="351"/>
      <c r="J234" s="431"/>
    </row>
    <row r="235" spans="1:10" x14ac:dyDescent="0.25">
      <c r="A235" s="351"/>
      <c r="B235" s="351"/>
      <c r="C235" s="351"/>
      <c r="D235" s="351"/>
      <c r="E235" s="351"/>
      <c r="F235" s="351"/>
      <c r="G235" s="351"/>
      <c r="H235" s="351" t="s">
        <v>1334</v>
      </c>
      <c r="I235" s="351"/>
      <c r="J235" s="431">
        <v>629000</v>
      </c>
    </row>
    <row r="236" spans="1:10" x14ac:dyDescent="0.25">
      <c r="A236" s="351"/>
      <c r="B236" s="351"/>
      <c r="C236" s="351"/>
      <c r="D236" s="351"/>
      <c r="E236" s="351"/>
      <c r="F236" s="351"/>
      <c r="G236" s="351"/>
      <c r="H236" s="351" t="s">
        <v>1335</v>
      </c>
      <c r="I236" s="351"/>
      <c r="J236" s="431">
        <v>58140</v>
      </c>
    </row>
    <row r="237" spans="1:10" x14ac:dyDescent="0.25">
      <c r="A237" s="351"/>
      <c r="B237" s="351"/>
      <c r="C237" s="351"/>
      <c r="D237" s="351"/>
      <c r="E237" s="351"/>
      <c r="F237" s="351"/>
      <c r="G237" s="351"/>
      <c r="H237" s="351" t="s">
        <v>1336</v>
      </c>
      <c r="I237" s="351"/>
      <c r="J237" s="431">
        <v>14535</v>
      </c>
    </row>
    <row r="238" spans="1:10" ht="15.75" thickBot="1" x14ac:dyDescent="0.3">
      <c r="A238" s="351"/>
      <c r="B238" s="351"/>
      <c r="C238" s="351"/>
      <c r="D238" s="351"/>
      <c r="E238" s="351"/>
      <c r="F238" s="351"/>
      <c r="G238" s="351"/>
      <c r="H238" s="351" t="s">
        <v>1337</v>
      </c>
      <c r="I238" s="351"/>
      <c r="J238" s="432">
        <v>29333.360000000001</v>
      </c>
    </row>
    <row r="239" spans="1:10" x14ac:dyDescent="0.25">
      <c r="A239" s="351"/>
      <c r="B239" s="351"/>
      <c r="C239" s="351"/>
      <c r="D239" s="351"/>
      <c r="E239" s="351"/>
      <c r="F239" s="351"/>
      <c r="G239" s="351" t="s">
        <v>1338</v>
      </c>
      <c r="H239" s="351"/>
      <c r="I239" s="351"/>
      <c r="J239" s="431">
        <f>ROUND(SUM(J234:J238),5)</f>
        <v>731008.36</v>
      </c>
    </row>
    <row r="240" spans="1:10" x14ac:dyDescent="0.25">
      <c r="A240" s="351"/>
      <c r="B240" s="351"/>
      <c r="C240" s="351"/>
      <c r="D240" s="351"/>
      <c r="E240" s="351"/>
      <c r="F240" s="351"/>
      <c r="G240" s="351" t="s">
        <v>1339</v>
      </c>
      <c r="H240" s="351"/>
      <c r="I240" s="351"/>
      <c r="J240" s="431"/>
    </row>
    <row r="241" spans="1:10" x14ac:dyDescent="0.25">
      <c r="A241" s="351"/>
      <c r="B241" s="351"/>
      <c r="C241" s="351"/>
      <c r="D241" s="351"/>
      <c r="E241" s="351"/>
      <c r="F241" s="351"/>
      <c r="G241" s="351"/>
      <c r="H241" s="351" t="s">
        <v>1340</v>
      </c>
      <c r="I241" s="351"/>
      <c r="J241" s="431">
        <v>4708</v>
      </c>
    </row>
    <row r="242" spans="1:10" x14ac:dyDescent="0.25">
      <c r="A242" s="351"/>
      <c r="B242" s="351"/>
      <c r="C242" s="351"/>
      <c r="D242" s="351"/>
      <c r="E242" s="351"/>
      <c r="F242" s="351"/>
      <c r="G242" s="351"/>
      <c r="H242" s="351" t="s">
        <v>1341</v>
      </c>
      <c r="I242" s="351"/>
      <c r="J242" s="431">
        <v>158283.93</v>
      </c>
    </row>
    <row r="243" spans="1:10" ht="15.75" thickBot="1" x14ac:dyDescent="0.3">
      <c r="A243" s="351"/>
      <c r="B243" s="351"/>
      <c r="C243" s="351"/>
      <c r="D243" s="351"/>
      <c r="E243" s="351"/>
      <c r="F243" s="351"/>
      <c r="G243" s="351"/>
      <c r="H243" s="351" t="s">
        <v>1342</v>
      </c>
      <c r="I243" s="351"/>
      <c r="J243" s="433">
        <v>540000</v>
      </c>
    </row>
    <row r="244" spans="1:10" ht="15.75" thickBot="1" x14ac:dyDescent="0.3">
      <c r="A244" s="351"/>
      <c r="B244" s="351"/>
      <c r="C244" s="351"/>
      <c r="D244" s="351"/>
      <c r="E244" s="351"/>
      <c r="F244" s="351"/>
      <c r="G244" s="351" t="s">
        <v>1343</v>
      </c>
      <c r="H244" s="351"/>
      <c r="I244" s="351"/>
      <c r="J244" s="434">
        <f>ROUND(SUM(J240:J243),5)</f>
        <v>702991.93</v>
      </c>
    </row>
    <row r="245" spans="1:10" x14ac:dyDescent="0.25">
      <c r="A245" s="351"/>
      <c r="B245" s="351"/>
      <c r="C245" s="351"/>
      <c r="D245" s="351"/>
      <c r="E245" s="351"/>
      <c r="F245" s="351" t="s">
        <v>1344</v>
      </c>
      <c r="G245" s="351"/>
      <c r="H245" s="351"/>
      <c r="I245" s="351"/>
      <c r="J245" s="431">
        <f>ROUND(J225+J233+J239+J244,5)</f>
        <v>2493462.9500000002</v>
      </c>
    </row>
    <row r="246" spans="1:10" x14ac:dyDescent="0.25">
      <c r="A246" s="351"/>
      <c r="B246" s="351"/>
      <c r="C246" s="351"/>
      <c r="D246" s="351"/>
      <c r="E246" s="351"/>
      <c r="F246" s="351" t="s">
        <v>1345</v>
      </c>
      <c r="G246" s="351"/>
      <c r="H246" s="351"/>
      <c r="I246" s="351"/>
      <c r="J246" s="431"/>
    </row>
    <row r="247" spans="1:10" x14ac:dyDescent="0.25">
      <c r="A247" s="351"/>
      <c r="B247" s="351"/>
      <c r="C247" s="351"/>
      <c r="D247" s="351"/>
      <c r="E247" s="351"/>
      <c r="F247" s="351"/>
      <c r="G247" s="351" t="s">
        <v>1346</v>
      </c>
      <c r="H247" s="351"/>
      <c r="I247" s="351"/>
      <c r="J247" s="431">
        <v>122500</v>
      </c>
    </row>
    <row r="248" spans="1:10" x14ac:dyDescent="0.25">
      <c r="A248" s="351"/>
      <c r="B248" s="351"/>
      <c r="C248" s="351"/>
      <c r="D248" s="351"/>
      <c r="E248" s="351"/>
      <c r="F248" s="351"/>
      <c r="G248" s="351" t="s">
        <v>1347</v>
      </c>
      <c r="H248" s="351"/>
      <c r="I248" s="351"/>
      <c r="J248" s="431">
        <v>10916.2</v>
      </c>
    </row>
    <row r="249" spans="1:10" x14ac:dyDescent="0.25">
      <c r="A249" s="351"/>
      <c r="B249" s="351"/>
      <c r="C249" s="351"/>
      <c r="D249" s="351"/>
      <c r="E249" s="351"/>
      <c r="F249" s="351"/>
      <c r="G249" s="351" t="s">
        <v>752</v>
      </c>
      <c r="H249" s="351"/>
      <c r="I249" s="351"/>
      <c r="J249" s="431">
        <v>1291905.8600000001</v>
      </c>
    </row>
    <row r="250" spans="1:10" ht="15.75" thickBot="1" x14ac:dyDescent="0.3">
      <c r="A250" s="351"/>
      <c r="B250" s="351"/>
      <c r="C250" s="351"/>
      <c r="D250" s="351"/>
      <c r="E250" s="351"/>
      <c r="F250" s="351"/>
      <c r="G250" s="351" t="s">
        <v>1348</v>
      </c>
      <c r="H250" s="351"/>
      <c r="I250" s="351"/>
      <c r="J250" s="432">
        <v>472872</v>
      </c>
    </row>
    <row r="251" spans="1:10" x14ac:dyDescent="0.25">
      <c r="A251" s="351"/>
      <c r="B251" s="351"/>
      <c r="C251" s="351"/>
      <c r="D251" s="351"/>
      <c r="E251" s="351"/>
      <c r="F251" s="351" t="s">
        <v>1349</v>
      </c>
      <c r="G251" s="351"/>
      <c r="H251" s="351"/>
      <c r="I251" s="351"/>
      <c r="J251" s="431">
        <f>ROUND(SUM(J246:J250),5)</f>
        <v>1898194.06</v>
      </c>
    </row>
    <row r="252" spans="1:10" x14ac:dyDescent="0.25">
      <c r="A252" s="351"/>
      <c r="B252" s="351"/>
      <c r="C252" s="351"/>
      <c r="D252" s="351"/>
      <c r="E252" s="351"/>
      <c r="F252" s="351" t="s">
        <v>1350</v>
      </c>
      <c r="G252" s="351"/>
      <c r="H252" s="351"/>
      <c r="I252" s="351"/>
      <c r="J252" s="431"/>
    </row>
    <row r="253" spans="1:10" ht="15.75" thickBot="1" x14ac:dyDescent="0.3">
      <c r="A253" s="351"/>
      <c r="B253" s="351"/>
      <c r="C253" s="351"/>
      <c r="D253" s="351"/>
      <c r="E253" s="351"/>
      <c r="F253" s="351"/>
      <c r="G253" s="351" t="s">
        <v>1351</v>
      </c>
      <c r="H253" s="351"/>
      <c r="I253" s="351"/>
      <c r="J253" s="432">
        <v>125000</v>
      </c>
    </row>
    <row r="254" spans="1:10" x14ac:dyDescent="0.25">
      <c r="A254" s="351"/>
      <c r="B254" s="351"/>
      <c r="C254" s="351"/>
      <c r="D254" s="351"/>
      <c r="E254" s="351"/>
      <c r="F254" s="351" t="s">
        <v>1352</v>
      </c>
      <c r="G254" s="351"/>
      <c r="H254" s="351"/>
      <c r="I254" s="351"/>
      <c r="J254" s="431">
        <f>ROUND(SUM(J252:J253),5)</f>
        <v>125000</v>
      </c>
    </row>
    <row r="255" spans="1:10" x14ac:dyDescent="0.25">
      <c r="A255" s="351"/>
      <c r="B255" s="351"/>
      <c r="C255" s="351"/>
      <c r="D255" s="351"/>
      <c r="E255" s="351"/>
      <c r="F255" s="351" t="s">
        <v>1353</v>
      </c>
      <c r="G255" s="351"/>
      <c r="H255" s="351"/>
      <c r="I255" s="351"/>
      <c r="J255" s="431"/>
    </row>
    <row r="256" spans="1:10" x14ac:dyDescent="0.25">
      <c r="A256" s="351"/>
      <c r="B256" s="351"/>
      <c r="C256" s="351"/>
      <c r="D256" s="351"/>
      <c r="E256" s="351"/>
      <c r="F256" s="351"/>
      <c r="G256" s="351" t="s">
        <v>1354</v>
      </c>
      <c r="H256" s="351"/>
      <c r="I256" s="351"/>
      <c r="J256" s="431"/>
    </row>
    <row r="257" spans="1:10" x14ac:dyDescent="0.25">
      <c r="A257" s="351"/>
      <c r="B257" s="351"/>
      <c r="C257" s="351"/>
      <c r="D257" s="351"/>
      <c r="E257" s="351"/>
      <c r="F257" s="351"/>
      <c r="G257" s="351"/>
      <c r="H257" s="351" t="s">
        <v>1355</v>
      </c>
      <c r="I257" s="351"/>
      <c r="J257" s="431">
        <v>0</v>
      </c>
    </row>
    <row r="258" spans="1:10" x14ac:dyDescent="0.25">
      <c r="A258" s="351"/>
      <c r="B258" s="351"/>
      <c r="C258" s="351"/>
      <c r="D258" s="351"/>
      <c r="E258" s="351"/>
      <c r="F258" s="351"/>
      <c r="G258" s="351"/>
      <c r="H258" s="351" t="s">
        <v>1356</v>
      </c>
      <c r="I258" s="351"/>
      <c r="J258" s="431">
        <v>5000</v>
      </c>
    </row>
    <row r="259" spans="1:10" x14ac:dyDescent="0.25">
      <c r="A259" s="351"/>
      <c r="B259" s="351"/>
      <c r="C259" s="351"/>
      <c r="D259" s="351"/>
      <c r="E259" s="351"/>
      <c r="F259" s="351"/>
      <c r="G259" s="351"/>
      <c r="H259" s="351" t="s">
        <v>1357</v>
      </c>
      <c r="I259" s="351"/>
      <c r="J259" s="431">
        <v>235500</v>
      </c>
    </row>
    <row r="260" spans="1:10" x14ac:dyDescent="0.25">
      <c r="A260" s="351"/>
      <c r="B260" s="351"/>
      <c r="C260" s="351"/>
      <c r="D260" s="351"/>
      <c r="E260" s="351"/>
      <c r="F260" s="351"/>
      <c r="G260" s="351"/>
      <c r="H260" s="351" t="s">
        <v>1358</v>
      </c>
      <c r="I260" s="351"/>
      <c r="J260" s="431">
        <v>58875</v>
      </c>
    </row>
    <row r="261" spans="1:10" x14ac:dyDescent="0.25">
      <c r="A261" s="351"/>
      <c r="B261" s="351"/>
      <c r="C261" s="351"/>
      <c r="D261" s="351"/>
      <c r="E261" s="351"/>
      <c r="F261" s="351"/>
      <c r="G261" s="351"/>
      <c r="H261" s="351" t="s">
        <v>1359</v>
      </c>
      <c r="I261" s="351"/>
      <c r="J261" s="431">
        <v>4115000</v>
      </c>
    </row>
    <row r="262" spans="1:10" x14ac:dyDescent="0.25">
      <c r="A262" s="351"/>
      <c r="B262" s="351"/>
      <c r="C262" s="351"/>
      <c r="D262" s="351"/>
      <c r="E262" s="351"/>
      <c r="F262" s="351"/>
      <c r="G262" s="351"/>
      <c r="H262" s="351" t="s">
        <v>1360</v>
      </c>
      <c r="I262" s="351"/>
      <c r="J262" s="431">
        <v>256666.64</v>
      </c>
    </row>
    <row r="263" spans="1:10" ht="15.75" thickBot="1" x14ac:dyDescent="0.3">
      <c r="A263" s="351"/>
      <c r="B263" s="351"/>
      <c r="C263" s="351"/>
      <c r="D263" s="351"/>
      <c r="E263" s="351"/>
      <c r="F263" s="351"/>
      <c r="G263" s="351"/>
      <c r="H263" s="351" t="s">
        <v>1361</v>
      </c>
      <c r="I263" s="351"/>
      <c r="J263" s="432">
        <v>147777.54</v>
      </c>
    </row>
    <row r="264" spans="1:10" x14ac:dyDescent="0.25">
      <c r="A264" s="351"/>
      <c r="B264" s="351"/>
      <c r="C264" s="351"/>
      <c r="D264" s="351"/>
      <c r="E264" s="351"/>
      <c r="F264" s="351"/>
      <c r="G264" s="351" t="s">
        <v>1362</v>
      </c>
      <c r="H264" s="351"/>
      <c r="I264" s="351"/>
      <c r="J264" s="431">
        <f>ROUND(SUM(J256:J263),5)</f>
        <v>4818819.18</v>
      </c>
    </row>
    <row r="265" spans="1:10" x14ac:dyDescent="0.25">
      <c r="A265" s="351"/>
      <c r="B265" s="351"/>
      <c r="C265" s="351"/>
      <c r="D265" s="351"/>
      <c r="E265" s="351"/>
      <c r="F265" s="351"/>
      <c r="G265" s="351" t="s">
        <v>1363</v>
      </c>
      <c r="H265" s="351"/>
      <c r="I265" s="351"/>
      <c r="J265" s="431"/>
    </row>
    <row r="266" spans="1:10" x14ac:dyDescent="0.25">
      <c r="A266" s="351"/>
      <c r="B266" s="351"/>
      <c r="C266" s="351"/>
      <c r="D266" s="351"/>
      <c r="E266" s="351"/>
      <c r="F266" s="351"/>
      <c r="G266" s="351"/>
      <c r="H266" s="351" t="s">
        <v>1364</v>
      </c>
      <c r="I266" s="351"/>
      <c r="J266" s="431">
        <v>137499.96</v>
      </c>
    </row>
    <row r="267" spans="1:10" x14ac:dyDescent="0.25">
      <c r="A267" s="351"/>
      <c r="B267" s="351"/>
      <c r="C267" s="351"/>
      <c r="D267" s="351"/>
      <c r="E267" s="351"/>
      <c r="F267" s="351"/>
      <c r="G267" s="351"/>
      <c r="H267" s="351" t="s">
        <v>1365</v>
      </c>
      <c r="I267" s="351"/>
      <c r="J267" s="431">
        <v>842075.5</v>
      </c>
    </row>
    <row r="268" spans="1:10" x14ac:dyDescent="0.25">
      <c r="A268" s="351"/>
      <c r="B268" s="351"/>
      <c r="C268" s="351"/>
      <c r="D268" s="351"/>
      <c r="E268" s="351"/>
      <c r="F268" s="351"/>
      <c r="G268" s="351"/>
      <c r="H268" s="351" t="s">
        <v>1366</v>
      </c>
      <c r="I268" s="351"/>
      <c r="J268" s="431">
        <v>320823.84000000003</v>
      </c>
    </row>
    <row r="269" spans="1:10" x14ac:dyDescent="0.25">
      <c r="A269" s="351"/>
      <c r="B269" s="351"/>
      <c r="C269" s="351"/>
      <c r="D269" s="351"/>
      <c r="E269" s="351"/>
      <c r="F269" s="351"/>
      <c r="G269" s="351"/>
      <c r="H269" s="351" t="s">
        <v>1367</v>
      </c>
      <c r="I269" s="351"/>
      <c r="J269" s="431"/>
    </row>
    <row r="270" spans="1:10" x14ac:dyDescent="0.25">
      <c r="A270" s="351"/>
      <c r="B270" s="351"/>
      <c r="C270" s="351"/>
      <c r="D270" s="351"/>
      <c r="E270" s="351"/>
      <c r="F270" s="351"/>
      <c r="G270" s="351"/>
      <c r="H270" s="351"/>
      <c r="I270" s="351" t="s">
        <v>1368</v>
      </c>
      <c r="J270" s="431">
        <v>34469</v>
      </c>
    </row>
    <row r="271" spans="1:10" x14ac:dyDescent="0.25">
      <c r="A271" s="351"/>
      <c r="B271" s="351"/>
      <c r="C271" s="351"/>
      <c r="D271" s="351"/>
      <c r="E271" s="351"/>
      <c r="F271" s="351"/>
      <c r="G271" s="351"/>
      <c r="H271" s="351"/>
      <c r="I271" s="351" t="s">
        <v>1369</v>
      </c>
      <c r="J271" s="431">
        <v>0</v>
      </c>
    </row>
    <row r="272" spans="1:10" ht="15.75" thickBot="1" x14ac:dyDescent="0.3">
      <c r="A272" s="351"/>
      <c r="B272" s="351"/>
      <c r="C272" s="351"/>
      <c r="D272" s="351"/>
      <c r="E272" s="351"/>
      <c r="F272" s="351"/>
      <c r="G272" s="351"/>
      <c r="H272" s="351"/>
      <c r="I272" s="351" t="s">
        <v>1370</v>
      </c>
      <c r="J272" s="432">
        <v>528396</v>
      </c>
    </row>
    <row r="273" spans="1:10" x14ac:dyDescent="0.25">
      <c r="A273" s="351"/>
      <c r="B273" s="351"/>
      <c r="C273" s="351"/>
      <c r="D273" s="351"/>
      <c r="E273" s="351"/>
      <c r="F273" s="351"/>
      <c r="G273" s="351"/>
      <c r="H273" s="351" t="s">
        <v>1371</v>
      </c>
      <c r="I273" s="351"/>
      <c r="J273" s="431">
        <f>ROUND(SUM(J269:J272),5)</f>
        <v>562865</v>
      </c>
    </row>
    <row r="274" spans="1:10" x14ac:dyDescent="0.25">
      <c r="A274" s="351"/>
      <c r="B274" s="351"/>
      <c r="C274" s="351"/>
      <c r="D274" s="351"/>
      <c r="E274" s="351"/>
      <c r="F274" s="351"/>
      <c r="G274" s="351"/>
      <c r="H274" s="351" t="s">
        <v>1372</v>
      </c>
      <c r="I274" s="351"/>
      <c r="J274" s="431">
        <v>69600</v>
      </c>
    </row>
    <row r="275" spans="1:10" x14ac:dyDescent="0.25">
      <c r="A275" s="351"/>
      <c r="B275" s="351"/>
      <c r="C275" s="351"/>
      <c r="D275" s="351"/>
      <c r="E275" s="351"/>
      <c r="F275" s="351"/>
      <c r="G275" s="351"/>
      <c r="H275" s="351" t="s">
        <v>1373</v>
      </c>
      <c r="I275" s="351"/>
      <c r="J275" s="431">
        <v>93268.56</v>
      </c>
    </row>
    <row r="276" spans="1:10" x14ac:dyDescent="0.25">
      <c r="A276" s="351"/>
      <c r="B276" s="351"/>
      <c r="C276" s="351"/>
      <c r="D276" s="351"/>
      <c r="E276" s="351"/>
      <c r="F276" s="351"/>
      <c r="G276" s="351"/>
      <c r="H276" s="351" t="s">
        <v>1374</v>
      </c>
      <c r="I276" s="351"/>
      <c r="J276" s="431">
        <v>276658.8</v>
      </c>
    </row>
    <row r="277" spans="1:10" x14ac:dyDescent="0.25">
      <c r="A277" s="351"/>
      <c r="B277" s="351"/>
      <c r="C277" s="351"/>
      <c r="D277" s="351"/>
      <c r="E277" s="351"/>
      <c r="F277" s="351"/>
      <c r="G277" s="351"/>
      <c r="H277" s="351" t="s">
        <v>1375</v>
      </c>
      <c r="I277" s="351"/>
      <c r="J277" s="431">
        <v>48464.84</v>
      </c>
    </row>
    <row r="278" spans="1:10" x14ac:dyDescent="0.25">
      <c r="A278" s="351"/>
      <c r="B278" s="351"/>
      <c r="C278" s="351"/>
      <c r="D278" s="351"/>
      <c r="E278" s="351"/>
      <c r="F278" s="351"/>
      <c r="G278" s="351"/>
      <c r="H278" s="351" t="s">
        <v>1376</v>
      </c>
      <c r="I278" s="351"/>
      <c r="J278" s="431">
        <v>182146.5</v>
      </c>
    </row>
    <row r="279" spans="1:10" x14ac:dyDescent="0.25">
      <c r="A279" s="351"/>
      <c r="B279" s="351"/>
      <c r="C279" s="351"/>
      <c r="D279" s="351"/>
      <c r="E279" s="351"/>
      <c r="F279" s="351"/>
      <c r="G279" s="351"/>
      <c r="H279" s="351" t="s">
        <v>1377</v>
      </c>
      <c r="I279" s="351"/>
      <c r="J279" s="431">
        <v>89667</v>
      </c>
    </row>
    <row r="280" spans="1:10" x14ac:dyDescent="0.25">
      <c r="A280" s="351"/>
      <c r="B280" s="351"/>
      <c r="C280" s="351"/>
      <c r="D280" s="351"/>
      <c r="E280" s="351"/>
      <c r="F280" s="351"/>
      <c r="G280" s="351"/>
      <c r="H280" s="351" t="s">
        <v>1378</v>
      </c>
      <c r="I280" s="351"/>
      <c r="J280" s="431">
        <v>2340</v>
      </c>
    </row>
    <row r="281" spans="1:10" x14ac:dyDescent="0.25">
      <c r="A281" s="351"/>
      <c r="B281" s="351"/>
      <c r="C281" s="351"/>
      <c r="D281" s="351"/>
      <c r="E281" s="351"/>
      <c r="F281" s="351"/>
      <c r="G281" s="351"/>
      <c r="H281" s="351" t="s">
        <v>1379</v>
      </c>
      <c r="I281" s="351"/>
      <c r="J281" s="431">
        <v>0</v>
      </c>
    </row>
    <row r="282" spans="1:10" x14ac:dyDescent="0.25">
      <c r="A282" s="351"/>
      <c r="B282" s="351"/>
      <c r="C282" s="351"/>
      <c r="D282" s="351"/>
      <c r="E282" s="351"/>
      <c r="F282" s="351"/>
      <c r="G282" s="351"/>
      <c r="H282" s="351" t="s">
        <v>1380</v>
      </c>
      <c r="I282" s="351"/>
      <c r="J282" s="431">
        <v>6441195.0899999999</v>
      </c>
    </row>
    <row r="283" spans="1:10" ht="15.75" thickBot="1" x14ac:dyDescent="0.3">
      <c r="A283" s="351"/>
      <c r="B283" s="351"/>
      <c r="C283" s="351"/>
      <c r="D283" s="351"/>
      <c r="E283" s="351"/>
      <c r="F283" s="351"/>
      <c r="G283" s="351"/>
      <c r="H283" s="351" t="s">
        <v>1381</v>
      </c>
      <c r="I283" s="351"/>
      <c r="J283" s="432">
        <v>-236799.37</v>
      </c>
    </row>
    <row r="284" spans="1:10" x14ac:dyDescent="0.25">
      <c r="A284" s="351"/>
      <c r="B284" s="351"/>
      <c r="C284" s="351"/>
      <c r="D284" s="351"/>
      <c r="E284" s="351"/>
      <c r="F284" s="351"/>
      <c r="G284" s="351" t="s">
        <v>1382</v>
      </c>
      <c r="H284" s="351"/>
      <c r="I284" s="351"/>
      <c r="J284" s="431">
        <f>ROUND(SUM(J265:J268)+SUM(J273:J283),5)</f>
        <v>8829805.7200000007</v>
      </c>
    </row>
    <row r="285" spans="1:10" x14ac:dyDescent="0.25">
      <c r="A285" s="351"/>
      <c r="B285" s="351"/>
      <c r="C285" s="351"/>
      <c r="D285" s="351"/>
      <c r="E285" s="351"/>
      <c r="F285" s="351"/>
      <c r="G285" s="351" t="s">
        <v>1383</v>
      </c>
      <c r="H285" s="351"/>
      <c r="I285" s="351"/>
      <c r="J285" s="431"/>
    </row>
    <row r="286" spans="1:10" x14ac:dyDescent="0.25">
      <c r="A286" s="351"/>
      <c r="B286" s="351"/>
      <c r="C286" s="351"/>
      <c r="D286" s="351"/>
      <c r="E286" s="351"/>
      <c r="F286" s="351"/>
      <c r="G286" s="351"/>
      <c r="H286" s="351" t="s">
        <v>1384</v>
      </c>
      <c r="I286" s="351"/>
      <c r="J286" s="431">
        <v>16534.77</v>
      </c>
    </row>
    <row r="287" spans="1:10" x14ac:dyDescent="0.25">
      <c r="A287" s="351"/>
      <c r="B287" s="351"/>
      <c r="C287" s="351"/>
      <c r="D287" s="351"/>
      <c r="E287" s="351"/>
      <c r="F287" s="351"/>
      <c r="G287" s="351"/>
      <c r="H287" s="351" t="s">
        <v>1385</v>
      </c>
      <c r="I287" s="351"/>
      <c r="J287" s="431">
        <v>41727.69</v>
      </c>
    </row>
    <row r="288" spans="1:10" x14ac:dyDescent="0.25">
      <c r="A288" s="351"/>
      <c r="B288" s="351"/>
      <c r="C288" s="351"/>
      <c r="D288" s="351"/>
      <c r="E288" s="351"/>
      <c r="F288" s="351"/>
      <c r="G288" s="351"/>
      <c r="H288" s="351" t="s">
        <v>1386</v>
      </c>
      <c r="I288" s="351"/>
      <c r="J288" s="431">
        <v>26468.7</v>
      </c>
    </row>
    <row r="289" spans="1:10" x14ac:dyDescent="0.25">
      <c r="A289" s="351"/>
      <c r="B289" s="351"/>
      <c r="C289" s="351"/>
      <c r="D289" s="351"/>
      <c r="E289" s="351"/>
      <c r="F289" s="351"/>
      <c r="G289" s="351"/>
      <c r="H289" s="351" t="s">
        <v>1387</v>
      </c>
      <c r="I289" s="351"/>
      <c r="J289" s="431">
        <v>126561.66</v>
      </c>
    </row>
    <row r="290" spans="1:10" x14ac:dyDescent="0.25">
      <c r="A290" s="351"/>
      <c r="B290" s="351"/>
      <c r="C290" s="351"/>
      <c r="D290" s="351"/>
      <c r="E290" s="351"/>
      <c r="F290" s="351"/>
      <c r="G290" s="351"/>
      <c r="H290" s="351" t="s">
        <v>1388</v>
      </c>
      <c r="I290" s="351"/>
      <c r="J290" s="431">
        <v>-11675.21</v>
      </c>
    </row>
    <row r="291" spans="1:10" x14ac:dyDescent="0.25">
      <c r="A291" s="351"/>
      <c r="B291" s="351"/>
      <c r="C291" s="351"/>
      <c r="D291" s="351"/>
      <c r="E291" s="351"/>
      <c r="F291" s="351"/>
      <c r="G291" s="351"/>
      <c r="H291" s="351" t="s">
        <v>1389</v>
      </c>
      <c r="I291" s="351"/>
      <c r="J291" s="431">
        <v>4289.92</v>
      </c>
    </row>
    <row r="292" spans="1:10" x14ac:dyDescent="0.25">
      <c r="A292" s="351"/>
      <c r="B292" s="351"/>
      <c r="C292" s="351"/>
      <c r="D292" s="351"/>
      <c r="E292" s="351"/>
      <c r="F292" s="351"/>
      <c r="G292" s="351"/>
      <c r="H292" s="351" t="s">
        <v>1390</v>
      </c>
      <c r="I292" s="351"/>
      <c r="J292" s="431">
        <v>4289.8599999999997</v>
      </c>
    </row>
    <row r="293" spans="1:10" ht="15.75" thickBot="1" x14ac:dyDescent="0.3">
      <c r="A293" s="351"/>
      <c r="B293" s="351"/>
      <c r="C293" s="351"/>
      <c r="D293" s="351"/>
      <c r="E293" s="351"/>
      <c r="F293" s="351"/>
      <c r="G293" s="351"/>
      <c r="H293" s="351" t="s">
        <v>1391</v>
      </c>
      <c r="I293" s="351"/>
      <c r="J293" s="432">
        <v>1000</v>
      </c>
    </row>
    <row r="294" spans="1:10" x14ac:dyDescent="0.25">
      <c r="A294" s="351"/>
      <c r="B294" s="351"/>
      <c r="C294" s="351"/>
      <c r="D294" s="351"/>
      <c r="E294" s="351"/>
      <c r="F294" s="351"/>
      <c r="G294" s="351" t="s">
        <v>1392</v>
      </c>
      <c r="H294" s="351"/>
      <c r="I294" s="351"/>
      <c r="J294" s="431">
        <f>ROUND(SUM(J285:J293),5)</f>
        <v>209197.39</v>
      </c>
    </row>
    <row r="295" spans="1:10" x14ac:dyDescent="0.25">
      <c r="A295" s="351"/>
      <c r="B295" s="351"/>
      <c r="C295" s="351"/>
      <c r="D295" s="351"/>
      <c r="E295" s="351"/>
      <c r="F295" s="351"/>
      <c r="G295" s="351" t="s">
        <v>1393</v>
      </c>
      <c r="H295" s="351"/>
      <c r="I295" s="351"/>
      <c r="J295" s="431"/>
    </row>
    <row r="296" spans="1:10" x14ac:dyDescent="0.25">
      <c r="A296" s="351"/>
      <c r="B296" s="351"/>
      <c r="C296" s="351"/>
      <c r="D296" s="351"/>
      <c r="E296" s="351"/>
      <c r="F296" s="351"/>
      <c r="G296" s="351"/>
      <c r="H296" s="351" t="s">
        <v>1394</v>
      </c>
      <c r="I296" s="351"/>
      <c r="J296" s="431">
        <v>22341.98</v>
      </c>
    </row>
    <row r="297" spans="1:10" x14ac:dyDescent="0.25">
      <c r="A297" s="351"/>
      <c r="B297" s="351"/>
      <c r="C297" s="351"/>
      <c r="D297" s="351"/>
      <c r="E297" s="351"/>
      <c r="F297" s="351"/>
      <c r="G297" s="351"/>
      <c r="H297" s="351" t="s">
        <v>1395</v>
      </c>
      <c r="I297" s="351"/>
      <c r="J297" s="431">
        <v>-3972.99</v>
      </c>
    </row>
    <row r="298" spans="1:10" x14ac:dyDescent="0.25">
      <c r="A298" s="351"/>
      <c r="B298" s="351"/>
      <c r="C298" s="351"/>
      <c r="D298" s="351"/>
      <c r="E298" s="351"/>
      <c r="F298" s="351"/>
      <c r="G298" s="351"/>
      <c r="H298" s="351" t="s">
        <v>1396</v>
      </c>
      <c r="I298" s="351"/>
      <c r="J298" s="431">
        <v>125000</v>
      </c>
    </row>
    <row r="299" spans="1:10" x14ac:dyDescent="0.25">
      <c r="A299" s="351"/>
      <c r="B299" s="351"/>
      <c r="C299" s="351"/>
      <c r="D299" s="351"/>
      <c r="E299" s="351"/>
      <c r="F299" s="351"/>
      <c r="G299" s="351"/>
      <c r="H299" s="351" t="s">
        <v>1397</v>
      </c>
      <c r="I299" s="351"/>
      <c r="J299" s="431">
        <v>357397.3</v>
      </c>
    </row>
    <row r="300" spans="1:10" ht="15.75" thickBot="1" x14ac:dyDescent="0.3">
      <c r="A300" s="351"/>
      <c r="B300" s="351"/>
      <c r="C300" s="351"/>
      <c r="D300" s="351"/>
      <c r="E300" s="351"/>
      <c r="F300" s="351"/>
      <c r="G300" s="351"/>
      <c r="H300" s="351" t="s">
        <v>1398</v>
      </c>
      <c r="I300" s="351"/>
      <c r="J300" s="432">
        <v>0</v>
      </c>
    </row>
    <row r="301" spans="1:10" x14ac:dyDescent="0.25">
      <c r="A301" s="351"/>
      <c r="B301" s="351"/>
      <c r="C301" s="351"/>
      <c r="D301" s="351"/>
      <c r="E301" s="351"/>
      <c r="F301" s="351"/>
      <c r="G301" s="351" t="s">
        <v>1399</v>
      </c>
      <c r="H301" s="351"/>
      <c r="I301" s="351"/>
      <c r="J301" s="431">
        <f>ROUND(SUM(J295:J300),5)</f>
        <v>500766.29</v>
      </c>
    </row>
    <row r="302" spans="1:10" x14ac:dyDescent="0.25">
      <c r="A302" s="351"/>
      <c r="B302" s="351"/>
      <c r="C302" s="351"/>
      <c r="D302" s="351"/>
      <c r="E302" s="351"/>
      <c r="F302" s="351"/>
      <c r="G302" s="351" t="s">
        <v>1400</v>
      </c>
      <c r="H302" s="351"/>
      <c r="I302" s="351"/>
      <c r="J302" s="431"/>
    </row>
    <row r="303" spans="1:10" x14ac:dyDescent="0.25">
      <c r="A303" s="351"/>
      <c r="B303" s="351"/>
      <c r="C303" s="351"/>
      <c r="D303" s="351"/>
      <c r="E303" s="351"/>
      <c r="F303" s="351"/>
      <c r="G303" s="351"/>
      <c r="H303" s="351" t="s">
        <v>1401</v>
      </c>
      <c r="I303" s="351"/>
      <c r="J303" s="431">
        <v>75000</v>
      </c>
    </row>
    <row r="304" spans="1:10" x14ac:dyDescent="0.25">
      <c r="A304" s="351"/>
      <c r="B304" s="351"/>
      <c r="C304" s="351"/>
      <c r="D304" s="351"/>
      <c r="E304" s="351"/>
      <c r="F304" s="351"/>
      <c r="G304" s="351"/>
      <c r="H304" s="351" t="s">
        <v>1402</v>
      </c>
      <c r="I304" s="351"/>
      <c r="J304" s="431">
        <v>197106.99</v>
      </c>
    </row>
    <row r="305" spans="1:10" x14ac:dyDescent="0.25">
      <c r="A305" s="351"/>
      <c r="B305" s="351"/>
      <c r="C305" s="351"/>
      <c r="D305" s="351"/>
      <c r="E305" s="351"/>
      <c r="F305" s="351"/>
      <c r="G305" s="351"/>
      <c r="H305" s="351" t="s">
        <v>1403</v>
      </c>
      <c r="I305" s="351"/>
      <c r="J305" s="431">
        <v>1073773</v>
      </c>
    </row>
    <row r="306" spans="1:10" x14ac:dyDescent="0.25">
      <c r="A306" s="351"/>
      <c r="B306" s="351"/>
      <c r="C306" s="351"/>
      <c r="D306" s="351"/>
      <c r="E306" s="351"/>
      <c r="F306" s="351"/>
      <c r="G306" s="351"/>
      <c r="H306" s="351" t="s">
        <v>1404</v>
      </c>
      <c r="I306" s="351"/>
      <c r="J306" s="431">
        <v>22128</v>
      </c>
    </row>
    <row r="307" spans="1:10" x14ac:dyDescent="0.25">
      <c r="A307" s="351"/>
      <c r="B307" s="351"/>
      <c r="C307" s="351"/>
      <c r="D307" s="351"/>
      <c r="E307" s="351"/>
      <c r="F307" s="351"/>
      <c r="G307" s="351"/>
      <c r="H307" s="351" t="s">
        <v>1405</v>
      </c>
      <c r="I307" s="351"/>
      <c r="J307" s="431">
        <v>119424</v>
      </c>
    </row>
    <row r="308" spans="1:10" x14ac:dyDescent="0.25">
      <c r="A308" s="351"/>
      <c r="B308" s="351"/>
      <c r="C308" s="351"/>
      <c r="D308" s="351"/>
      <c r="E308" s="351"/>
      <c r="F308" s="351"/>
      <c r="G308" s="351"/>
      <c r="H308" s="351" t="s">
        <v>1406</v>
      </c>
      <c r="I308" s="351"/>
      <c r="J308" s="431">
        <v>12065</v>
      </c>
    </row>
    <row r="309" spans="1:10" x14ac:dyDescent="0.25">
      <c r="A309" s="351"/>
      <c r="B309" s="351"/>
      <c r="C309" s="351"/>
      <c r="D309" s="351"/>
      <c r="E309" s="351"/>
      <c r="F309" s="351"/>
      <c r="G309" s="351"/>
      <c r="H309" s="351" t="s">
        <v>1407</v>
      </c>
      <c r="I309" s="351"/>
      <c r="J309" s="431">
        <v>1000</v>
      </c>
    </row>
    <row r="310" spans="1:10" x14ac:dyDescent="0.25">
      <c r="A310" s="351"/>
      <c r="B310" s="351"/>
      <c r="C310" s="351"/>
      <c r="D310" s="351"/>
      <c r="E310" s="351"/>
      <c r="F310" s="351"/>
      <c r="G310" s="351"/>
      <c r="H310" s="351" t="s">
        <v>1408</v>
      </c>
      <c r="I310" s="351"/>
      <c r="J310" s="431"/>
    </row>
    <row r="311" spans="1:10" x14ac:dyDescent="0.25">
      <c r="A311" s="351"/>
      <c r="B311" s="351"/>
      <c r="C311" s="351"/>
      <c r="D311" s="351"/>
      <c r="E311" s="351"/>
      <c r="F311" s="351"/>
      <c r="G311" s="351"/>
      <c r="H311" s="351"/>
      <c r="I311" s="351" t="s">
        <v>1409</v>
      </c>
      <c r="J311" s="431">
        <v>5000</v>
      </c>
    </row>
    <row r="312" spans="1:10" x14ac:dyDescent="0.25">
      <c r="A312" s="351"/>
      <c r="B312" s="351"/>
      <c r="C312" s="351"/>
      <c r="D312" s="351"/>
      <c r="E312" s="351"/>
      <c r="F312" s="351"/>
      <c r="G312" s="351"/>
      <c r="H312" s="351"/>
      <c r="I312" s="351" t="s">
        <v>1410</v>
      </c>
      <c r="J312" s="431">
        <v>44750</v>
      </c>
    </row>
    <row r="313" spans="1:10" x14ac:dyDescent="0.25">
      <c r="A313" s="351"/>
      <c r="B313" s="351"/>
      <c r="C313" s="351"/>
      <c r="D313" s="351"/>
      <c r="E313" s="351"/>
      <c r="F313" s="351"/>
      <c r="G313" s="351"/>
      <c r="H313" s="351"/>
      <c r="I313" s="351" t="s">
        <v>1411</v>
      </c>
      <c r="J313" s="431">
        <v>0</v>
      </c>
    </row>
    <row r="314" spans="1:10" x14ac:dyDescent="0.25">
      <c r="A314" s="351"/>
      <c r="B314" s="351"/>
      <c r="C314" s="351"/>
      <c r="D314" s="351"/>
      <c r="E314" s="351"/>
      <c r="F314" s="351"/>
      <c r="G314" s="351"/>
      <c r="H314" s="351"/>
      <c r="I314" s="351" t="s">
        <v>1412</v>
      </c>
      <c r="J314" s="431">
        <v>1650</v>
      </c>
    </row>
    <row r="315" spans="1:10" x14ac:dyDescent="0.25">
      <c r="A315" s="351"/>
      <c r="B315" s="351"/>
      <c r="C315" s="351"/>
      <c r="D315" s="351"/>
      <c r="E315" s="351"/>
      <c r="F315" s="351"/>
      <c r="G315" s="351"/>
      <c r="H315" s="351"/>
      <c r="I315" s="351" t="s">
        <v>1413</v>
      </c>
      <c r="J315" s="431">
        <v>1000</v>
      </c>
    </row>
    <row r="316" spans="1:10" ht="15.75" thickBot="1" x14ac:dyDescent="0.3">
      <c r="A316" s="351"/>
      <c r="B316" s="351"/>
      <c r="C316" s="351"/>
      <c r="D316" s="351"/>
      <c r="E316" s="351"/>
      <c r="F316" s="351"/>
      <c r="G316" s="351"/>
      <c r="H316" s="351"/>
      <c r="I316" s="351" t="s">
        <v>1414</v>
      </c>
      <c r="J316" s="432">
        <v>3000</v>
      </c>
    </row>
    <row r="317" spans="1:10" x14ac:dyDescent="0.25">
      <c r="A317" s="351"/>
      <c r="B317" s="351"/>
      <c r="C317" s="351"/>
      <c r="D317" s="351"/>
      <c r="E317" s="351"/>
      <c r="F317" s="351"/>
      <c r="G317" s="351"/>
      <c r="H317" s="351" t="s">
        <v>1415</v>
      </c>
      <c r="I317" s="351"/>
      <c r="J317" s="431">
        <f>ROUND(SUM(J310:J316),5)</f>
        <v>55400</v>
      </c>
    </row>
    <row r="318" spans="1:10" ht="15.75" thickBot="1" x14ac:dyDescent="0.3">
      <c r="A318" s="351"/>
      <c r="B318" s="351"/>
      <c r="C318" s="351"/>
      <c r="D318" s="351"/>
      <c r="E318" s="351"/>
      <c r="F318" s="351"/>
      <c r="G318" s="351"/>
      <c r="H318" s="351" t="s">
        <v>1416</v>
      </c>
      <c r="I318" s="351"/>
      <c r="J318" s="432">
        <v>13468</v>
      </c>
    </row>
    <row r="319" spans="1:10" x14ac:dyDescent="0.25">
      <c r="A319" s="351"/>
      <c r="B319" s="351"/>
      <c r="C319" s="351"/>
      <c r="D319" s="351"/>
      <c r="E319" s="351"/>
      <c r="F319" s="351"/>
      <c r="G319" s="351" t="s">
        <v>1417</v>
      </c>
      <c r="H319" s="351"/>
      <c r="I319" s="351"/>
      <c r="J319" s="431">
        <f>ROUND(SUM(J302:J309)+SUM(J317:J318),5)</f>
        <v>1569364.99</v>
      </c>
    </row>
    <row r="320" spans="1:10" x14ac:dyDescent="0.25">
      <c r="A320" s="351"/>
      <c r="B320" s="351"/>
      <c r="C320" s="351"/>
      <c r="D320" s="351"/>
      <c r="E320" s="351"/>
      <c r="F320" s="351"/>
      <c r="G320" s="351" t="s">
        <v>1418</v>
      </c>
      <c r="H320" s="351"/>
      <c r="I320" s="351"/>
      <c r="J320" s="431"/>
    </row>
    <row r="321" spans="1:13" x14ac:dyDescent="0.25">
      <c r="A321" s="351"/>
      <c r="B321" s="351"/>
      <c r="C321" s="351"/>
      <c r="D321" s="351"/>
      <c r="E321" s="351"/>
      <c r="F321" s="351"/>
      <c r="G321" s="351"/>
      <c r="H321" s="351" t="s">
        <v>754</v>
      </c>
      <c r="I321" s="351"/>
      <c r="J321" s="431">
        <v>1266591.1299999999</v>
      </c>
    </row>
    <row r="322" spans="1:13" x14ac:dyDescent="0.25">
      <c r="A322" s="351"/>
      <c r="B322" s="351"/>
      <c r="C322" s="351"/>
      <c r="D322" s="351"/>
      <c r="E322" s="351"/>
      <c r="F322" s="351"/>
      <c r="G322" s="351"/>
      <c r="H322" s="351" t="s">
        <v>749</v>
      </c>
      <c r="I322" s="351"/>
      <c r="J322" s="431">
        <v>661936.31999999995</v>
      </c>
    </row>
    <row r="323" spans="1:13" x14ac:dyDescent="0.25">
      <c r="A323" s="351"/>
      <c r="B323" s="351"/>
      <c r="C323" s="351"/>
      <c r="D323" s="351"/>
      <c r="E323" s="351"/>
      <c r="F323" s="351"/>
      <c r="G323" s="351"/>
      <c r="H323" s="351" t="s">
        <v>750</v>
      </c>
      <c r="I323" s="351"/>
      <c r="J323" s="431">
        <v>1704084.39</v>
      </c>
    </row>
    <row r="324" spans="1:13" ht="15.75" thickBot="1" x14ac:dyDescent="0.3">
      <c r="A324" s="351"/>
      <c r="B324" s="351"/>
      <c r="C324" s="351"/>
      <c r="D324" s="351"/>
      <c r="E324" s="351"/>
      <c r="F324" s="351"/>
      <c r="G324" s="351"/>
      <c r="H324" s="351" t="s">
        <v>751</v>
      </c>
      <c r="I324" s="351"/>
      <c r="J324" s="432">
        <v>610921.99</v>
      </c>
    </row>
    <row r="325" spans="1:13" x14ac:dyDescent="0.25">
      <c r="A325" s="351"/>
      <c r="B325" s="351"/>
      <c r="C325" s="351"/>
      <c r="D325" s="351"/>
      <c r="E325" s="351"/>
      <c r="F325" s="351"/>
      <c r="G325" s="351" t="s">
        <v>1419</v>
      </c>
      <c r="H325" s="351"/>
      <c r="I325" s="351"/>
      <c r="J325" s="431">
        <f>ROUND(SUM(J320:J324),5)</f>
        <v>4243533.83</v>
      </c>
    </row>
    <row r="326" spans="1:13" x14ac:dyDescent="0.25">
      <c r="A326" s="351"/>
      <c r="B326" s="351"/>
      <c r="C326" s="351"/>
      <c r="D326" s="351"/>
      <c r="E326" s="351"/>
      <c r="F326" s="351"/>
      <c r="G326" s="351" t="s">
        <v>1420</v>
      </c>
      <c r="H326" s="351"/>
      <c r="I326" s="351"/>
      <c r="J326" s="431"/>
    </row>
    <row r="327" spans="1:13" ht="15.75" thickBot="1" x14ac:dyDescent="0.3">
      <c r="A327" s="351"/>
      <c r="B327" s="351"/>
      <c r="C327" s="351"/>
      <c r="D327" s="351"/>
      <c r="E327" s="351"/>
      <c r="F327" s="351"/>
      <c r="G327" s="351"/>
      <c r="H327" s="351" t="s">
        <v>1421</v>
      </c>
      <c r="I327" s="351"/>
      <c r="J327" s="432">
        <v>17041.25</v>
      </c>
    </row>
    <row r="328" spans="1:13" x14ac:dyDescent="0.25">
      <c r="A328" s="351"/>
      <c r="B328" s="351"/>
      <c r="C328" s="351"/>
      <c r="D328" s="351"/>
      <c r="E328" s="351"/>
      <c r="F328" s="351"/>
      <c r="G328" s="351" t="s">
        <v>1422</v>
      </c>
      <c r="H328" s="351"/>
      <c r="I328" s="351"/>
      <c r="J328" s="431">
        <f>ROUND(SUM(J326:J327),5)</f>
        <v>17041.25</v>
      </c>
    </row>
    <row r="329" spans="1:13" x14ac:dyDescent="0.25">
      <c r="A329" s="351"/>
      <c r="B329" s="351"/>
      <c r="C329" s="351"/>
      <c r="D329" s="351"/>
      <c r="E329" s="351"/>
      <c r="F329" s="351"/>
      <c r="G329" s="351" t="s">
        <v>1423</v>
      </c>
      <c r="H329" s="351"/>
      <c r="I329" s="351"/>
      <c r="J329" s="431"/>
    </row>
    <row r="330" spans="1:13" x14ac:dyDescent="0.25">
      <c r="A330" s="351"/>
      <c r="B330" s="351"/>
      <c r="C330" s="351"/>
      <c r="D330" s="351"/>
      <c r="E330" s="351"/>
      <c r="F330" s="351"/>
      <c r="G330" s="351"/>
      <c r="H330" s="351" t="s">
        <v>1424</v>
      </c>
      <c r="I330" s="351"/>
      <c r="J330" s="431">
        <v>399180.79</v>
      </c>
    </row>
    <row r="331" spans="1:13" x14ac:dyDescent="0.25">
      <c r="A331" s="351"/>
      <c r="B331" s="351"/>
      <c r="C331" s="351"/>
      <c r="D331" s="351"/>
      <c r="E331" s="351"/>
      <c r="F331" s="351"/>
      <c r="G331" s="351"/>
      <c r="H331" s="351" t="s">
        <v>1425</v>
      </c>
      <c r="I331" s="351"/>
      <c r="J331" s="431">
        <v>1930853.44</v>
      </c>
    </row>
    <row r="332" spans="1:13" x14ac:dyDescent="0.25">
      <c r="A332" s="351"/>
      <c r="B332" s="351"/>
      <c r="C332" s="351"/>
      <c r="D332" s="351"/>
      <c r="E332" s="351"/>
      <c r="F332" s="351"/>
      <c r="G332" s="351"/>
      <c r="H332" s="351" t="s">
        <v>1426</v>
      </c>
      <c r="I332" s="351"/>
      <c r="J332" s="431">
        <v>1725331.46</v>
      </c>
    </row>
    <row r="333" spans="1:13" x14ac:dyDescent="0.25">
      <c r="A333" s="351"/>
      <c r="B333" s="351"/>
      <c r="C333" s="351"/>
      <c r="D333" s="351"/>
      <c r="E333" s="351"/>
      <c r="F333" s="351"/>
      <c r="G333" s="351"/>
      <c r="H333" s="351" t="s">
        <v>1427</v>
      </c>
      <c r="I333" s="351"/>
      <c r="J333" s="431">
        <v>-1017.09</v>
      </c>
    </row>
    <row r="334" spans="1:13" x14ac:dyDescent="0.25">
      <c r="A334" s="351"/>
      <c r="B334" s="351"/>
      <c r="C334" s="351"/>
      <c r="D334" s="351"/>
      <c r="E334" s="351"/>
      <c r="F334" s="351"/>
      <c r="G334" s="351"/>
      <c r="H334" s="351" t="s">
        <v>1428</v>
      </c>
      <c r="I334" s="351"/>
      <c r="J334" s="431">
        <v>-6303001.1200000001</v>
      </c>
    </row>
    <row r="335" spans="1:13" x14ac:dyDescent="0.25">
      <c r="A335" s="351"/>
      <c r="B335" s="351"/>
      <c r="C335" s="351"/>
      <c r="D335" s="351"/>
      <c r="E335" s="351"/>
      <c r="F335" s="351"/>
      <c r="G335" s="351"/>
      <c r="H335" s="351" t="s">
        <v>1429</v>
      </c>
      <c r="I335" s="351"/>
      <c r="J335" s="431">
        <v>303254.49</v>
      </c>
      <c r="M335" s="426">
        <f>J344-J334-J330-J331-J332-J333-J335-J336-J337-J338-J339-J340</f>
        <v>55213666.950000003</v>
      </c>
    </row>
    <row r="336" spans="1:13" x14ac:dyDescent="0.25">
      <c r="A336" s="351"/>
      <c r="B336" s="351"/>
      <c r="C336" s="351"/>
      <c r="D336" s="351"/>
      <c r="E336" s="351"/>
      <c r="F336" s="351"/>
      <c r="G336" s="351"/>
      <c r="H336" s="351" t="s">
        <v>1430</v>
      </c>
      <c r="I336" s="351"/>
      <c r="J336" s="431">
        <v>38101.4</v>
      </c>
      <c r="M336" s="426">
        <f>CI!D16</f>
        <v>-10606011.52</v>
      </c>
    </row>
    <row r="337" spans="1:17" x14ac:dyDescent="0.25">
      <c r="A337" s="351"/>
      <c r="B337" s="351"/>
      <c r="C337" s="351"/>
      <c r="D337" s="351"/>
      <c r="E337" s="351"/>
      <c r="F337" s="351"/>
      <c r="G337" s="351"/>
      <c r="H337" s="351" t="s">
        <v>1431</v>
      </c>
      <c r="I337" s="351"/>
      <c r="J337" s="431">
        <v>2163195.15</v>
      </c>
      <c r="M337" s="426">
        <f>M336+M335</f>
        <v>44607655.430000007</v>
      </c>
    </row>
    <row r="338" spans="1:17" x14ac:dyDescent="0.25">
      <c r="A338" s="351"/>
      <c r="B338" s="351"/>
      <c r="C338" s="351"/>
      <c r="D338" s="351"/>
      <c r="E338" s="351"/>
      <c r="F338" s="351"/>
      <c r="G338" s="351"/>
      <c r="H338" s="351" t="s">
        <v>1432</v>
      </c>
      <c r="I338" s="351"/>
      <c r="J338" s="431">
        <v>-18279.169999999998</v>
      </c>
    </row>
    <row r="339" spans="1:17" x14ac:dyDescent="0.25">
      <c r="A339" s="351"/>
      <c r="B339" s="351"/>
      <c r="C339" s="351"/>
      <c r="D339" s="351"/>
      <c r="E339" s="351"/>
      <c r="F339" s="351"/>
      <c r="G339" s="351"/>
      <c r="H339" s="351" t="s">
        <v>1433</v>
      </c>
      <c r="I339" s="351"/>
      <c r="J339" s="431">
        <v>39486.17</v>
      </c>
    </row>
    <row r="340" spans="1:17" ht="15.75" thickBot="1" x14ac:dyDescent="0.3">
      <c r="A340" s="351"/>
      <c r="B340" s="351"/>
      <c r="C340" s="351"/>
      <c r="D340" s="351"/>
      <c r="E340" s="351"/>
      <c r="F340" s="351"/>
      <c r="G340" s="351"/>
      <c r="H340" s="351" t="s">
        <v>1434</v>
      </c>
      <c r="I340" s="351"/>
      <c r="J340" s="432">
        <v>48200</v>
      </c>
    </row>
    <row r="341" spans="1:17" x14ac:dyDescent="0.25">
      <c r="A341" s="351"/>
      <c r="B341" s="351"/>
      <c r="C341" s="351"/>
      <c r="D341" s="351"/>
      <c r="E341" s="351"/>
      <c r="F341" s="351"/>
      <c r="G341" s="351" t="s">
        <v>1435</v>
      </c>
      <c r="H341" s="351"/>
      <c r="I341" s="351"/>
      <c r="J341" s="431">
        <f>ROUND(SUM(J329:J340),5)</f>
        <v>325305.52</v>
      </c>
    </row>
    <row r="342" spans="1:17" ht="15.75" thickBot="1" x14ac:dyDescent="0.3">
      <c r="A342" s="351"/>
      <c r="B342" s="351"/>
      <c r="C342" s="351"/>
      <c r="D342" s="351"/>
      <c r="E342" s="351"/>
      <c r="F342" s="351"/>
      <c r="G342" s="351" t="s">
        <v>1436</v>
      </c>
      <c r="H342" s="351"/>
      <c r="I342" s="351"/>
      <c r="J342" s="433">
        <v>15880</v>
      </c>
    </row>
    <row r="343" spans="1:17" ht="15.75" thickBot="1" x14ac:dyDescent="0.3">
      <c r="A343" s="351"/>
      <c r="B343" s="351"/>
      <c r="C343" s="351"/>
      <c r="D343" s="351"/>
      <c r="E343" s="351"/>
      <c r="F343" s="351" t="s">
        <v>1437</v>
      </c>
      <c r="G343" s="351"/>
      <c r="H343" s="351"/>
      <c r="I343" s="351"/>
      <c r="J343" s="434">
        <f>ROUND(J255+J264+J284+J294+J301+J319+J325+J328+SUM(J341:J342),5)</f>
        <v>20529714.170000002</v>
      </c>
    </row>
    <row r="344" spans="1:17" x14ac:dyDescent="0.25">
      <c r="A344" s="351"/>
      <c r="B344" s="351"/>
      <c r="C344" s="351"/>
      <c r="D344" s="351"/>
      <c r="E344" s="351" t="s">
        <v>1438</v>
      </c>
      <c r="F344" s="351"/>
      <c r="G344" s="351"/>
      <c r="H344" s="351"/>
      <c r="I344" s="351"/>
      <c r="J344" s="431">
        <f>ROUND(J83+J155+J210+J224+J245+J251+J254+J343,5)</f>
        <v>55538972.469999999</v>
      </c>
    </row>
    <row r="345" spans="1:17" ht="15.75" thickBot="1" x14ac:dyDescent="0.3">
      <c r="A345" s="351"/>
      <c r="B345" s="351"/>
      <c r="C345" s="351"/>
      <c r="D345" s="351"/>
      <c r="E345" s="351" t="s">
        <v>1439</v>
      </c>
      <c r="F345" s="351"/>
      <c r="G345" s="351"/>
      <c r="H345" s="351"/>
      <c r="I345" s="351"/>
      <c r="J345" s="433">
        <v>48965</v>
      </c>
    </row>
    <row r="346" spans="1:17" ht="15.75" thickBot="1" x14ac:dyDescent="0.3">
      <c r="A346" s="351"/>
      <c r="B346" s="351"/>
      <c r="C346" s="351"/>
      <c r="D346" s="351" t="s">
        <v>1440</v>
      </c>
      <c r="E346" s="351"/>
      <c r="F346" s="351"/>
      <c r="G346" s="351"/>
      <c r="H346" s="351"/>
      <c r="I346" s="351"/>
      <c r="J346" s="434">
        <f>ROUND(J82+SUM(J344:J345),5)</f>
        <v>55587937.469999999</v>
      </c>
    </row>
    <row r="347" spans="1:17" x14ac:dyDescent="0.25">
      <c r="A347" s="351"/>
      <c r="B347" s="351" t="s">
        <v>1441</v>
      </c>
      <c r="C347" s="351"/>
      <c r="D347" s="351"/>
      <c r="E347" s="351"/>
      <c r="F347" s="351"/>
      <c r="G347" s="351"/>
      <c r="H347" s="351"/>
      <c r="I347" s="351"/>
      <c r="J347" s="431">
        <f>ROUND(J2+J81-J346,5)</f>
        <v>217322.63</v>
      </c>
    </row>
    <row r="348" spans="1:17" x14ac:dyDescent="0.25">
      <c r="A348" s="351"/>
      <c r="B348" s="351" t="s">
        <v>1442</v>
      </c>
      <c r="C348" s="351"/>
      <c r="D348" s="351"/>
      <c r="E348" s="351"/>
      <c r="F348" s="351"/>
      <c r="G348" s="351"/>
      <c r="H348" s="351"/>
      <c r="I348" s="351"/>
      <c r="J348" s="431"/>
      <c r="N348" s="426">
        <f>J346</f>
        <v>55587937.469999999</v>
      </c>
    </row>
    <row r="349" spans="1:17" x14ac:dyDescent="0.25">
      <c r="A349" s="351"/>
      <c r="B349" s="351"/>
      <c r="C349" s="351" t="s">
        <v>43</v>
      </c>
      <c r="D349" s="351"/>
      <c r="E349" s="351"/>
      <c r="F349" s="351"/>
      <c r="G349" s="351"/>
      <c r="H349" s="351"/>
      <c r="I349" s="351"/>
      <c r="J349" s="431"/>
      <c r="N349" s="426">
        <f>CI!D16+CI!D18</f>
        <v>-13581344.83</v>
      </c>
      <c r="Q349" s="423"/>
    </row>
    <row r="350" spans="1:17" x14ac:dyDescent="0.25">
      <c r="A350" s="351"/>
      <c r="B350" s="351"/>
      <c r="C350" s="351"/>
      <c r="D350" s="351" t="s">
        <v>1443</v>
      </c>
      <c r="E350" s="351"/>
      <c r="F350" s="351"/>
      <c r="G350" s="351"/>
      <c r="H350" s="351"/>
      <c r="I350" s="351"/>
      <c r="J350" s="431"/>
      <c r="N350" s="426">
        <f>N348+N349</f>
        <v>42006592.640000001</v>
      </c>
      <c r="Q350" s="423"/>
    </row>
    <row r="351" spans="1:17" x14ac:dyDescent="0.25">
      <c r="A351" s="351"/>
      <c r="B351" s="351"/>
      <c r="C351" s="351"/>
      <c r="D351" s="351"/>
      <c r="E351" s="351" t="s">
        <v>1444</v>
      </c>
      <c r="F351" s="351"/>
      <c r="G351" s="351"/>
      <c r="H351" s="351"/>
      <c r="I351" s="351"/>
      <c r="J351" s="431">
        <v>16900</v>
      </c>
      <c r="N351" s="426">
        <f>J334</f>
        <v>-6303001.1200000001</v>
      </c>
      <c r="Q351" s="426"/>
    </row>
    <row r="352" spans="1:17" x14ac:dyDescent="0.25">
      <c r="A352" s="351"/>
      <c r="B352" s="351"/>
      <c r="C352" s="351"/>
      <c r="D352" s="351"/>
      <c r="E352" s="351" t="s">
        <v>1445</v>
      </c>
      <c r="F352" s="351"/>
      <c r="G352" s="351"/>
      <c r="H352" s="351"/>
      <c r="I352" s="351"/>
      <c r="J352" s="431">
        <v>91815</v>
      </c>
      <c r="N352" s="426">
        <f>N351-N350</f>
        <v>-48309593.759999998</v>
      </c>
      <c r="Q352" s="426"/>
    </row>
    <row r="353" spans="1:18" x14ac:dyDescent="0.25">
      <c r="A353" s="351"/>
      <c r="B353" s="351"/>
      <c r="C353" s="351"/>
      <c r="D353" s="351"/>
      <c r="E353" s="351" t="s">
        <v>1446</v>
      </c>
      <c r="F353" s="351"/>
      <c r="G353" s="351"/>
      <c r="H353" s="351"/>
      <c r="I353" s="351"/>
      <c r="J353" s="431">
        <v>496167.74</v>
      </c>
      <c r="Q353" s="426"/>
    </row>
    <row r="354" spans="1:18" x14ac:dyDescent="0.25">
      <c r="A354" s="351"/>
      <c r="B354" s="351"/>
      <c r="C354" s="351"/>
      <c r="D354" s="351"/>
      <c r="E354" s="351" t="s">
        <v>1447</v>
      </c>
      <c r="F354" s="351"/>
      <c r="G354" s="351"/>
      <c r="H354" s="351"/>
      <c r="I354" s="351"/>
      <c r="J354" s="431">
        <v>-7455609.9400000004</v>
      </c>
      <c r="Q354" s="426"/>
    </row>
    <row r="355" spans="1:18" x14ac:dyDescent="0.25">
      <c r="A355" s="351"/>
      <c r="B355" s="351"/>
      <c r="C355" s="351"/>
      <c r="D355" s="351"/>
      <c r="E355" s="351" t="s">
        <v>1448</v>
      </c>
      <c r="F355" s="351"/>
      <c r="G355" s="351"/>
      <c r="H355" s="351"/>
      <c r="I355" s="351"/>
      <c r="J355" s="431">
        <v>220</v>
      </c>
      <c r="Q355" s="426"/>
    </row>
    <row r="356" spans="1:18" x14ac:dyDescent="0.25">
      <c r="A356" s="351"/>
      <c r="B356" s="351"/>
      <c r="C356" s="351"/>
      <c r="D356" s="351"/>
      <c r="E356" s="351" t="s">
        <v>1449</v>
      </c>
      <c r="F356" s="351"/>
      <c r="G356" s="351"/>
      <c r="H356" s="351"/>
      <c r="I356" s="351"/>
      <c r="J356" s="431">
        <v>5700</v>
      </c>
      <c r="Q356" s="426"/>
    </row>
    <row r="357" spans="1:18" ht="15.75" thickBot="1" x14ac:dyDescent="0.3">
      <c r="A357" s="351"/>
      <c r="B357" s="351"/>
      <c r="C357" s="351"/>
      <c r="D357" s="351"/>
      <c r="E357" s="351" t="s">
        <v>1450</v>
      </c>
      <c r="F357" s="351"/>
      <c r="G357" s="351"/>
      <c r="H357" s="351"/>
      <c r="I357" s="351"/>
      <c r="J357" s="433">
        <v>1762371.94</v>
      </c>
      <c r="Q357" s="426"/>
    </row>
    <row r="358" spans="1:18" ht="15.75" thickBot="1" x14ac:dyDescent="0.3">
      <c r="A358" s="351"/>
      <c r="B358" s="351"/>
      <c r="C358" s="351"/>
      <c r="D358" s="351" t="s">
        <v>1451</v>
      </c>
      <c r="E358" s="351"/>
      <c r="F358" s="351"/>
      <c r="G358" s="351"/>
      <c r="H358" s="351"/>
      <c r="I358" s="351"/>
      <c r="J358" s="434">
        <f>ROUND(SUM(J350:J357),5)</f>
        <v>-5082435.26</v>
      </c>
      <c r="Q358" s="426"/>
    </row>
    <row r="359" spans="1:18" x14ac:dyDescent="0.25">
      <c r="A359" s="351"/>
      <c r="B359" s="351"/>
      <c r="C359" s="351" t="s">
        <v>1452</v>
      </c>
      <c r="D359" s="351"/>
      <c r="E359" s="351"/>
      <c r="F359" s="351"/>
      <c r="G359" s="351"/>
      <c r="H359" s="351"/>
      <c r="I359" s="351"/>
      <c r="J359" s="431">
        <f>ROUND(J349+J358,5)</f>
        <v>-5082435.26</v>
      </c>
      <c r="Q359" s="426"/>
      <c r="R359" s="422"/>
    </row>
    <row r="360" spans="1:18" x14ac:dyDescent="0.25">
      <c r="A360" s="351"/>
      <c r="B360" s="351"/>
      <c r="C360" s="351" t="s">
        <v>1453</v>
      </c>
      <c r="D360" s="351"/>
      <c r="E360" s="351"/>
      <c r="F360" s="351"/>
      <c r="G360" s="351"/>
      <c r="H360" s="351"/>
      <c r="I360" s="351"/>
      <c r="J360" s="431"/>
    </row>
    <row r="361" spans="1:18" ht="15.75" thickBot="1" x14ac:dyDescent="0.3">
      <c r="A361" s="351"/>
      <c r="B361" s="351"/>
      <c r="C361" s="351"/>
      <c r="D361" s="351" t="s">
        <v>245</v>
      </c>
      <c r="E361" s="351"/>
      <c r="F361" s="351"/>
      <c r="G361" s="351"/>
      <c r="H361" s="351"/>
      <c r="I361" s="351"/>
      <c r="J361" s="433">
        <v>0</v>
      </c>
    </row>
    <row r="362" spans="1:18" ht="15.75" thickBot="1" x14ac:dyDescent="0.3">
      <c r="A362" s="351"/>
      <c r="B362" s="351"/>
      <c r="C362" s="351" t="s">
        <v>1454</v>
      </c>
      <c r="D362" s="351"/>
      <c r="E362" s="351"/>
      <c r="F362" s="351"/>
      <c r="G362" s="351"/>
      <c r="H362" s="351"/>
      <c r="I362" s="351"/>
      <c r="J362" s="435">
        <f>ROUND(SUM(J360:J361),5)</f>
        <v>0</v>
      </c>
    </row>
    <row r="363" spans="1:18" ht="15.75" thickBot="1" x14ac:dyDescent="0.3">
      <c r="A363" s="351"/>
      <c r="B363" s="351" t="s">
        <v>1455</v>
      </c>
      <c r="C363" s="351"/>
      <c r="D363" s="351"/>
      <c r="E363" s="351"/>
      <c r="F363" s="351"/>
      <c r="G363" s="351"/>
      <c r="H363" s="351"/>
      <c r="I363" s="351"/>
      <c r="J363" s="435">
        <f>ROUND(J348+J359-J362,5)</f>
        <v>-5082435.26</v>
      </c>
    </row>
    <row r="364" spans="1:18" s="359" customFormat="1" ht="12" thickBot="1" x14ac:dyDescent="0.25">
      <c r="A364" s="351" t="s">
        <v>1109</v>
      </c>
      <c r="B364" s="351"/>
      <c r="C364" s="351"/>
      <c r="D364" s="351"/>
      <c r="E364" s="351"/>
      <c r="F364" s="351"/>
      <c r="G364" s="351"/>
      <c r="H364" s="351"/>
      <c r="I364" s="351"/>
      <c r="J364" s="436">
        <f>ROUND(J347+J363,5)</f>
        <v>-4865112.63</v>
      </c>
      <c r="L364" s="429"/>
      <c r="M364" s="429"/>
      <c r="N364" s="429"/>
    </row>
    <row r="365" spans="1:18" ht="15.75" thickTop="1" x14ac:dyDescent="0.25"/>
  </sheetData>
  <pageMargins left="0.7" right="0.7" top="0.75" bottom="0.75" header="0.1" footer="0.3"/>
  <pageSetup orientation="portrait" r:id="rId1"/>
  <headerFooter>
    <oddHeader>&amp;L&amp;"Arial,Bold"&amp;8 9:42 PM
&amp;"Arial,Bold"&amp;8 08/22/17
&amp;"Arial,Bold"&amp;8 Accrual Basis&amp;C&amp;"Arial,Bold"&amp;12 Tropical Fish International (Pvt) Limited
&amp;"Arial,Bold"&amp;14 Profit &amp;&amp; Loss
&amp;"Arial,Bold"&amp;10 January through December 2016</oddHeader>
    <oddFooter>&amp;R&amp;"Arial,Bold"&amp;8 Page &amp;P of &amp;N</oddFooter>
  </headerFooter>
  <drawing r:id="rId2"/>
  <legacyDrawing r:id="rId3"/>
  <controls>
    <mc:AlternateContent xmlns:mc="http://schemas.openxmlformats.org/markup-compatibility/2006">
      <mc:Choice Requires="x14">
        <control shapeId="20481" r:id="rId4" name="FILTER">
          <controlPr defaultSize="0" autoLine="0" r:id="rId5">
            <anchor moveWithCells="1">
              <from>
                <xdr:col>0</xdr:col>
                <xdr:colOff>0</xdr:colOff>
                <xdr:row>0</xdr:row>
                <xdr:rowOff>0</xdr:rowOff>
              </from>
              <to>
                <xdr:col>4</xdr:col>
                <xdr:colOff>114300</xdr:colOff>
                <xdr:row>1</xdr:row>
                <xdr:rowOff>28575</xdr:rowOff>
              </to>
            </anchor>
          </controlPr>
        </control>
      </mc:Choice>
      <mc:Fallback>
        <control shapeId="20481" r:id="rId4" name="FILTER"/>
      </mc:Fallback>
    </mc:AlternateContent>
    <mc:AlternateContent xmlns:mc="http://schemas.openxmlformats.org/markup-compatibility/2006">
      <mc:Choice Requires="x14">
        <control shapeId="20482" r:id="rId6" name="HEADER">
          <controlPr defaultSize="0" autoLine="0" r:id="rId7">
            <anchor moveWithCells="1">
              <from>
                <xdr:col>0</xdr:col>
                <xdr:colOff>0</xdr:colOff>
                <xdr:row>0</xdr:row>
                <xdr:rowOff>0</xdr:rowOff>
              </from>
              <to>
                <xdr:col>4</xdr:col>
                <xdr:colOff>114300</xdr:colOff>
                <xdr:row>1</xdr:row>
                <xdr:rowOff>28575</xdr:rowOff>
              </to>
            </anchor>
          </controlPr>
        </control>
      </mc:Choice>
      <mc:Fallback>
        <control shapeId="20482" r:id="rId6" name="HEADER"/>
      </mc:Fallback>
    </mc:AlternateContent>
  </control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77869E-01C9-474A-ADFD-99398E9AB27F}">
  <dimension ref="A1:O270"/>
  <sheetViews>
    <sheetView workbookViewId="0">
      <pane xSplit="9" ySplit="1" topLeftCell="J254" activePane="bottomRight" state="frozenSplit"/>
      <selection pane="topRight" activeCell="J1" sqref="J1"/>
      <selection pane="bottomLeft" activeCell="A2" sqref="A2"/>
      <selection pane="bottomRight" activeCell="O270" sqref="O270"/>
    </sheetView>
  </sheetViews>
  <sheetFormatPr defaultRowHeight="15" x14ac:dyDescent="0.25"/>
  <cols>
    <col min="1" max="8" width="3" style="674" customWidth="1"/>
    <col min="9" max="9" width="38.140625" style="674" customWidth="1"/>
    <col min="10" max="10" width="10.85546875" style="675" bestFit="1" customWidth="1"/>
    <col min="11" max="11" width="10.5703125" style="675" bestFit="1" customWidth="1"/>
    <col min="12" max="13" width="10.85546875" style="675" bestFit="1" customWidth="1"/>
    <col min="14" max="14" width="12.140625" style="667" customWidth="1"/>
    <col min="15" max="15" width="14.85546875" style="667" customWidth="1"/>
    <col min="16" max="16384" width="9.140625" style="667"/>
  </cols>
  <sheetData>
    <row r="1" spans="1:15" s="664" customFormat="1" ht="15.75" thickBot="1" x14ac:dyDescent="0.3">
      <c r="A1" s="662"/>
      <c r="B1" s="662"/>
      <c r="C1" s="662"/>
      <c r="D1" s="662"/>
      <c r="E1" s="662"/>
      <c r="F1" s="662"/>
      <c r="G1" s="662"/>
      <c r="H1" s="662"/>
      <c r="I1" s="662"/>
      <c r="J1" s="663" t="s">
        <v>1764</v>
      </c>
      <c r="K1" s="663" t="s">
        <v>1763</v>
      </c>
      <c r="L1" s="663" t="s">
        <v>1762</v>
      </c>
      <c r="M1" s="663" t="s">
        <v>1758</v>
      </c>
      <c r="N1" s="664" t="s">
        <v>1765</v>
      </c>
      <c r="O1" s="664" t="s">
        <v>1766</v>
      </c>
    </row>
    <row r="2" spans="1:15" ht="15.75" thickTop="1" x14ac:dyDescent="0.25">
      <c r="A2" s="665"/>
      <c r="B2" s="665" t="s">
        <v>1112</v>
      </c>
      <c r="C2" s="665"/>
      <c r="D2" s="665"/>
      <c r="E2" s="665"/>
      <c r="F2" s="665"/>
      <c r="G2" s="665"/>
      <c r="H2" s="665"/>
      <c r="I2" s="665"/>
      <c r="J2" s="666"/>
      <c r="K2" s="666"/>
      <c r="L2" s="666"/>
      <c r="M2" s="666"/>
    </row>
    <row r="3" spans="1:15" x14ac:dyDescent="0.25">
      <c r="A3" s="665"/>
      <c r="B3" s="665"/>
      <c r="C3" s="665"/>
      <c r="D3" s="665" t="s">
        <v>1113</v>
      </c>
      <c r="E3" s="665"/>
      <c r="F3" s="665"/>
      <c r="G3" s="665"/>
      <c r="H3" s="665"/>
      <c r="I3" s="665"/>
      <c r="J3" s="666"/>
      <c r="K3" s="666"/>
      <c r="L3" s="666"/>
      <c r="M3" s="666"/>
    </row>
    <row r="4" spans="1:15" x14ac:dyDescent="0.25">
      <c r="A4" s="665"/>
      <c r="B4" s="665"/>
      <c r="C4" s="665"/>
      <c r="D4" s="665"/>
      <c r="E4" s="665" t="s">
        <v>691</v>
      </c>
      <c r="F4" s="665"/>
      <c r="G4" s="665"/>
      <c r="H4" s="665"/>
      <c r="I4" s="665"/>
      <c r="J4" s="666"/>
      <c r="K4" s="666"/>
      <c r="L4" s="666"/>
      <c r="M4" s="666"/>
    </row>
    <row r="5" spans="1:15" x14ac:dyDescent="0.25">
      <c r="A5" s="665"/>
      <c r="B5" s="665"/>
      <c r="C5" s="665"/>
      <c r="D5" s="665"/>
      <c r="E5" s="665"/>
      <c r="F5" s="665" t="s">
        <v>1114</v>
      </c>
      <c r="G5" s="665"/>
      <c r="H5" s="665"/>
      <c r="I5" s="665"/>
      <c r="J5" s="666">
        <v>13709865.18</v>
      </c>
      <c r="K5" s="666">
        <v>5521729.8499999996</v>
      </c>
      <c r="L5" s="666">
        <v>10274718.289999999</v>
      </c>
      <c r="M5" s="666">
        <f>ROUND(SUM(J5:L5),5)</f>
        <v>29506313.32</v>
      </c>
    </row>
    <row r="6" spans="1:15" x14ac:dyDescent="0.25">
      <c r="A6" s="665"/>
      <c r="B6" s="665"/>
      <c r="C6" s="665"/>
      <c r="D6" s="665"/>
      <c r="E6" s="665"/>
      <c r="F6" s="665" t="s">
        <v>1115</v>
      </c>
      <c r="G6" s="665"/>
      <c r="H6" s="665"/>
      <c r="I6" s="665"/>
      <c r="J6" s="666">
        <v>0</v>
      </c>
      <c r="K6" s="666">
        <v>0</v>
      </c>
      <c r="L6" s="666">
        <v>3942391.18</v>
      </c>
      <c r="M6" s="666">
        <f>ROUND(SUM(J6:L6),5)</f>
        <v>3942391.18</v>
      </c>
    </row>
    <row r="7" spans="1:15" x14ac:dyDescent="0.25">
      <c r="A7" s="665"/>
      <c r="B7" s="665"/>
      <c r="C7" s="665"/>
      <c r="D7" s="665"/>
      <c r="E7" s="665"/>
      <c r="F7" s="665" t="s">
        <v>1118</v>
      </c>
      <c r="G7" s="665"/>
      <c r="H7" s="665"/>
      <c r="I7" s="665"/>
      <c r="J7" s="666">
        <v>1264411.3600000001</v>
      </c>
      <c r="K7" s="666">
        <v>581906.69999999995</v>
      </c>
      <c r="L7" s="666">
        <v>1282172.22</v>
      </c>
      <c r="M7" s="666">
        <f>ROUND(SUM(J7:L7),5)</f>
        <v>3128490.28</v>
      </c>
    </row>
    <row r="8" spans="1:15" x14ac:dyDescent="0.25">
      <c r="A8" s="665"/>
      <c r="B8" s="665"/>
      <c r="C8" s="665"/>
      <c r="D8" s="665"/>
      <c r="E8" s="665"/>
      <c r="F8" s="665" t="s">
        <v>1119</v>
      </c>
      <c r="G8" s="665"/>
      <c r="H8" s="665"/>
      <c r="I8" s="665"/>
      <c r="J8" s="666">
        <v>5266117.0199999996</v>
      </c>
      <c r="K8" s="666">
        <v>2459293.7200000002</v>
      </c>
      <c r="L8" s="666">
        <v>4758645.0599999996</v>
      </c>
      <c r="M8" s="666">
        <f>ROUND(SUM(J8:L8),5)</f>
        <v>12484055.800000001</v>
      </c>
    </row>
    <row r="9" spans="1:15" ht="15.75" thickBot="1" x14ac:dyDescent="0.3">
      <c r="A9" s="665"/>
      <c r="B9" s="665"/>
      <c r="C9" s="665"/>
      <c r="D9" s="665"/>
      <c r="E9" s="665"/>
      <c r="F9" s="665" t="s">
        <v>1120</v>
      </c>
      <c r="G9" s="665"/>
      <c r="H9" s="665"/>
      <c r="I9" s="665"/>
      <c r="J9" s="669">
        <v>40738.910000000003</v>
      </c>
      <c r="K9" s="669">
        <v>23458.83</v>
      </c>
      <c r="L9" s="669">
        <v>1010395.1</v>
      </c>
      <c r="M9" s="669">
        <f>ROUND(SUM(J9:L9),5)</f>
        <v>1074592.8400000001</v>
      </c>
    </row>
    <row r="10" spans="1:15" ht="15.75" thickBot="1" x14ac:dyDescent="0.3">
      <c r="A10" s="665"/>
      <c r="B10" s="665"/>
      <c r="C10" s="665"/>
      <c r="D10" s="665"/>
      <c r="E10" s="665" t="s">
        <v>1127</v>
      </c>
      <c r="F10" s="665"/>
      <c r="G10" s="665"/>
      <c r="H10" s="665"/>
      <c r="I10" s="665"/>
      <c r="J10" s="670">
        <f>ROUND(SUM(J4:J9),5)</f>
        <v>20281132.469999999</v>
      </c>
      <c r="K10" s="670">
        <f>ROUND(SUM(K4:K9),5)</f>
        <v>8586389.0999999996</v>
      </c>
      <c r="L10" s="670">
        <f>ROUND(SUM(L4:L9),5)</f>
        <v>21268321.850000001</v>
      </c>
      <c r="M10" s="670">
        <f>ROUND(SUM(J10:L10),5)</f>
        <v>50135843.420000002</v>
      </c>
    </row>
    <row r="11" spans="1:15" x14ac:dyDescent="0.25">
      <c r="A11" s="665"/>
      <c r="B11" s="665"/>
      <c r="C11" s="665"/>
      <c r="D11" s="665" t="s">
        <v>1128</v>
      </c>
      <c r="E11" s="665"/>
      <c r="F11" s="665"/>
      <c r="G11" s="665"/>
      <c r="H11" s="665"/>
      <c r="I11" s="665"/>
      <c r="J11" s="666">
        <f>ROUND(J3+J10,5)</f>
        <v>20281132.469999999</v>
      </c>
      <c r="K11" s="666">
        <f>ROUND(K3+K10,5)</f>
        <v>8586389.0999999996</v>
      </c>
      <c r="L11" s="666">
        <f>ROUND(L3+L10,5)</f>
        <v>21268321.850000001</v>
      </c>
      <c r="M11" s="666">
        <f>ROUND(SUM(J11:L11),5)</f>
        <v>50135843.420000002</v>
      </c>
    </row>
    <row r="12" spans="1:15" x14ac:dyDescent="0.25">
      <c r="A12" s="665"/>
      <c r="B12" s="665"/>
      <c r="C12" s="665"/>
      <c r="D12" s="665" t="s">
        <v>829</v>
      </c>
      <c r="E12" s="665"/>
      <c r="F12" s="665"/>
      <c r="G12" s="665"/>
      <c r="H12" s="665"/>
      <c r="I12" s="665"/>
      <c r="J12" s="666"/>
      <c r="K12" s="666"/>
      <c r="L12" s="666"/>
      <c r="M12" s="666"/>
    </row>
    <row r="13" spans="1:15" x14ac:dyDescent="0.25">
      <c r="A13" s="665"/>
      <c r="B13" s="665"/>
      <c r="C13" s="665"/>
      <c r="D13" s="665"/>
      <c r="E13" s="665" t="s">
        <v>692</v>
      </c>
      <c r="F13" s="665"/>
      <c r="G13" s="665"/>
      <c r="H13" s="665"/>
      <c r="I13" s="665"/>
      <c r="J13" s="666">
        <v>41766.550000000003</v>
      </c>
      <c r="K13" s="666">
        <v>1500</v>
      </c>
      <c r="L13" s="666">
        <v>70630.78</v>
      </c>
      <c r="M13" s="666">
        <f>ROUND(SUM(J13:L13),5)</f>
        <v>113897.33</v>
      </c>
    </row>
    <row r="14" spans="1:15" x14ac:dyDescent="0.25">
      <c r="A14" s="665"/>
      <c r="B14" s="665"/>
      <c r="C14" s="665"/>
      <c r="D14" s="665"/>
      <c r="E14" s="665" t="s">
        <v>693</v>
      </c>
      <c r="F14" s="665"/>
      <c r="G14" s="665"/>
      <c r="H14" s="665"/>
      <c r="I14" s="665"/>
      <c r="J14" s="666"/>
      <c r="K14" s="666"/>
      <c r="L14" s="666"/>
      <c r="M14" s="666"/>
    </row>
    <row r="15" spans="1:15" x14ac:dyDescent="0.25">
      <c r="A15" s="665"/>
      <c r="B15" s="665"/>
      <c r="C15" s="665"/>
      <c r="D15" s="665"/>
      <c r="E15" s="665"/>
      <c r="F15" s="665" t="s">
        <v>1133</v>
      </c>
      <c r="G15" s="665"/>
      <c r="H15" s="665"/>
      <c r="I15" s="665"/>
      <c r="J15" s="666"/>
      <c r="K15" s="666"/>
      <c r="L15" s="666"/>
      <c r="M15" s="666"/>
    </row>
    <row r="16" spans="1:15" x14ac:dyDescent="0.25">
      <c r="A16" s="665"/>
      <c r="B16" s="665"/>
      <c r="C16" s="665"/>
      <c r="D16" s="665"/>
      <c r="E16" s="665"/>
      <c r="F16" s="665"/>
      <c r="G16" s="665" t="s">
        <v>1134</v>
      </c>
      <c r="H16" s="665"/>
      <c r="I16" s="665"/>
      <c r="J16" s="666">
        <v>4373441.2</v>
      </c>
      <c r="K16" s="666">
        <v>1945752.8</v>
      </c>
      <c r="L16" s="666">
        <v>3100932.46</v>
      </c>
      <c r="M16" s="666">
        <f>ROUND(SUM(J16:L16),5)</f>
        <v>9420126.4600000009</v>
      </c>
    </row>
    <row r="17" spans="1:13" x14ac:dyDescent="0.25">
      <c r="A17" s="665"/>
      <c r="B17" s="665"/>
      <c r="C17" s="665"/>
      <c r="D17" s="665"/>
      <c r="E17" s="665"/>
      <c r="F17" s="665"/>
      <c r="G17" s="665" t="s">
        <v>1563</v>
      </c>
      <c r="H17" s="665"/>
      <c r="I17" s="665"/>
      <c r="J17" s="666">
        <v>0</v>
      </c>
      <c r="K17" s="666">
        <v>3500</v>
      </c>
      <c r="L17" s="666">
        <v>0</v>
      </c>
      <c r="M17" s="666">
        <f>ROUND(SUM(J17:L17),5)</f>
        <v>3500</v>
      </c>
    </row>
    <row r="18" spans="1:13" x14ac:dyDescent="0.25">
      <c r="A18" s="665"/>
      <c r="B18" s="665"/>
      <c r="C18" s="665"/>
      <c r="D18" s="665"/>
      <c r="E18" s="665"/>
      <c r="F18" s="665"/>
      <c r="G18" s="665" t="s">
        <v>1135</v>
      </c>
      <c r="H18" s="665"/>
      <c r="I18" s="665"/>
      <c r="J18" s="666">
        <v>372069</v>
      </c>
      <c r="K18" s="666">
        <v>303258</v>
      </c>
      <c r="L18" s="666">
        <v>295074</v>
      </c>
      <c r="M18" s="666">
        <f>ROUND(SUM(J18:L18),5)</f>
        <v>970401</v>
      </c>
    </row>
    <row r="19" spans="1:13" x14ac:dyDescent="0.25">
      <c r="A19" s="665"/>
      <c r="B19" s="665"/>
      <c r="C19" s="665"/>
      <c r="D19" s="665"/>
      <c r="E19" s="665"/>
      <c r="F19" s="665"/>
      <c r="G19" s="665" t="s">
        <v>1136</v>
      </c>
      <c r="H19" s="665"/>
      <c r="I19" s="665"/>
      <c r="J19" s="666">
        <v>26400</v>
      </c>
      <c r="K19" s="666">
        <v>26400</v>
      </c>
      <c r="L19" s="666">
        <v>21600</v>
      </c>
      <c r="M19" s="666">
        <f>ROUND(SUM(J19:L19),5)</f>
        <v>74400</v>
      </c>
    </row>
    <row r="20" spans="1:13" ht="15.75" thickBot="1" x14ac:dyDescent="0.3">
      <c r="A20" s="665"/>
      <c r="B20" s="665"/>
      <c r="C20" s="665"/>
      <c r="D20" s="665"/>
      <c r="E20" s="665"/>
      <c r="F20" s="665"/>
      <c r="G20" s="665" t="s">
        <v>1137</v>
      </c>
      <c r="H20" s="665"/>
      <c r="I20" s="665"/>
      <c r="J20" s="668">
        <v>522820</v>
      </c>
      <c r="K20" s="668">
        <v>414990</v>
      </c>
      <c r="L20" s="668">
        <v>171000</v>
      </c>
      <c r="M20" s="668">
        <f>ROUND(SUM(J20:L20),5)</f>
        <v>1108810</v>
      </c>
    </row>
    <row r="21" spans="1:13" x14ac:dyDescent="0.25">
      <c r="A21" s="665"/>
      <c r="B21" s="665"/>
      <c r="C21" s="665"/>
      <c r="D21" s="665"/>
      <c r="E21" s="665"/>
      <c r="F21" s="665" t="s">
        <v>1138</v>
      </c>
      <c r="G21" s="665"/>
      <c r="H21" s="665"/>
      <c r="I21" s="665"/>
      <c r="J21" s="666">
        <f>ROUND(SUM(J15:J20),5)</f>
        <v>5294730.2</v>
      </c>
      <c r="K21" s="666">
        <f>ROUND(SUM(K15:K20),5)</f>
        <v>2693900.8</v>
      </c>
      <c r="L21" s="666">
        <f>ROUND(SUM(L15:L20),5)</f>
        <v>3588606.46</v>
      </c>
      <c r="M21" s="666">
        <f>ROUND(SUM(J21:L21),5)</f>
        <v>11577237.460000001</v>
      </c>
    </row>
    <row r="22" spans="1:13" x14ac:dyDescent="0.25">
      <c r="A22" s="665"/>
      <c r="B22" s="665"/>
      <c r="C22" s="665"/>
      <c r="D22" s="665"/>
      <c r="E22" s="665"/>
      <c r="F22" s="665" t="s">
        <v>1139</v>
      </c>
      <c r="G22" s="665"/>
      <c r="H22" s="665"/>
      <c r="I22" s="665"/>
      <c r="J22" s="666"/>
      <c r="K22" s="666"/>
      <c r="L22" s="666"/>
      <c r="M22" s="666"/>
    </row>
    <row r="23" spans="1:13" x14ac:dyDescent="0.25">
      <c r="A23" s="665"/>
      <c r="B23" s="665"/>
      <c r="C23" s="665"/>
      <c r="D23" s="665"/>
      <c r="E23" s="665"/>
      <c r="F23" s="665"/>
      <c r="G23" s="665" t="s">
        <v>1140</v>
      </c>
      <c r="H23" s="665"/>
      <c r="I23" s="665"/>
      <c r="J23" s="666">
        <v>0</v>
      </c>
      <c r="K23" s="666">
        <v>0</v>
      </c>
      <c r="L23" s="666">
        <v>442333.36</v>
      </c>
      <c r="M23" s="666">
        <f>ROUND(SUM(J23:L23),5)</f>
        <v>442333.36</v>
      </c>
    </row>
    <row r="24" spans="1:13" x14ac:dyDescent="0.25">
      <c r="A24" s="665"/>
      <c r="B24" s="665"/>
      <c r="C24" s="665"/>
      <c r="D24" s="665"/>
      <c r="E24" s="665"/>
      <c r="F24" s="665"/>
      <c r="G24" s="665" t="s">
        <v>1147</v>
      </c>
      <c r="H24" s="665"/>
      <c r="I24" s="665"/>
      <c r="J24" s="666">
        <v>28000</v>
      </c>
      <c r="K24" s="666">
        <v>0</v>
      </c>
      <c r="L24" s="666">
        <v>0</v>
      </c>
      <c r="M24" s="666">
        <f>ROUND(SUM(J24:L24),5)</f>
        <v>28000</v>
      </c>
    </row>
    <row r="25" spans="1:13" x14ac:dyDescent="0.25">
      <c r="A25" s="665"/>
      <c r="B25" s="665"/>
      <c r="C25" s="665"/>
      <c r="D25" s="665"/>
      <c r="E25" s="665"/>
      <c r="F25" s="665"/>
      <c r="G25" s="665" t="s">
        <v>1148</v>
      </c>
      <c r="H25" s="665"/>
      <c r="I25" s="665"/>
      <c r="J25" s="666">
        <v>0</v>
      </c>
      <c r="K25" s="666">
        <v>20000</v>
      </c>
      <c r="L25" s="666">
        <v>0</v>
      </c>
      <c r="M25" s="666">
        <f>ROUND(SUM(J25:L25),5)</f>
        <v>20000</v>
      </c>
    </row>
    <row r="26" spans="1:13" ht="15.75" thickBot="1" x14ac:dyDescent="0.3">
      <c r="A26" s="665"/>
      <c r="B26" s="665"/>
      <c r="C26" s="665"/>
      <c r="D26" s="665"/>
      <c r="E26" s="665"/>
      <c r="F26" s="665"/>
      <c r="G26" s="665" t="s">
        <v>1149</v>
      </c>
      <c r="H26" s="665"/>
      <c r="I26" s="665"/>
      <c r="J26" s="668">
        <v>0</v>
      </c>
      <c r="K26" s="668">
        <v>0</v>
      </c>
      <c r="L26" s="668">
        <v>387000</v>
      </c>
      <c r="M26" s="668">
        <f>ROUND(SUM(J26:L26),5)</f>
        <v>387000</v>
      </c>
    </row>
    <row r="27" spans="1:13" x14ac:dyDescent="0.25">
      <c r="A27" s="665"/>
      <c r="B27" s="665"/>
      <c r="C27" s="665"/>
      <c r="D27" s="665"/>
      <c r="E27" s="665"/>
      <c r="F27" s="665" t="s">
        <v>1151</v>
      </c>
      <c r="G27" s="665"/>
      <c r="H27" s="665"/>
      <c r="I27" s="665"/>
      <c r="J27" s="666">
        <f>ROUND(SUM(J22:J26),5)</f>
        <v>28000</v>
      </c>
      <c r="K27" s="666">
        <f>ROUND(SUM(K22:K26),5)</f>
        <v>20000</v>
      </c>
      <c r="L27" s="666">
        <f>ROUND(SUM(L22:L26),5)</f>
        <v>829333.36</v>
      </c>
      <c r="M27" s="666">
        <f>ROUND(SUM(J27:L27),5)</f>
        <v>877333.36</v>
      </c>
    </row>
    <row r="28" spans="1:13" x14ac:dyDescent="0.25">
      <c r="A28" s="665"/>
      <c r="B28" s="665"/>
      <c r="C28" s="665"/>
      <c r="D28" s="665"/>
      <c r="E28" s="665"/>
      <c r="F28" s="665" t="s">
        <v>1152</v>
      </c>
      <c r="G28" s="665"/>
      <c r="H28" s="665"/>
      <c r="I28" s="665"/>
      <c r="J28" s="666"/>
      <c r="K28" s="666"/>
      <c r="L28" s="666"/>
      <c r="M28" s="666"/>
    </row>
    <row r="29" spans="1:13" x14ac:dyDescent="0.25">
      <c r="A29" s="665"/>
      <c r="B29" s="665"/>
      <c r="C29" s="665"/>
      <c r="D29" s="665"/>
      <c r="E29" s="665"/>
      <c r="F29" s="665"/>
      <c r="G29" s="665" t="s">
        <v>1153</v>
      </c>
      <c r="H29" s="665"/>
      <c r="I29" s="665"/>
      <c r="J29" s="666">
        <v>3888856.16</v>
      </c>
      <c r="K29" s="666">
        <v>2124696</v>
      </c>
      <c r="L29" s="666">
        <v>4106910.48</v>
      </c>
      <c r="M29" s="666">
        <f>ROUND(SUM(J29:L29),5)</f>
        <v>10120462.640000001</v>
      </c>
    </row>
    <row r="30" spans="1:13" x14ac:dyDescent="0.25">
      <c r="A30" s="665"/>
      <c r="B30" s="665"/>
      <c r="C30" s="665"/>
      <c r="D30" s="665"/>
      <c r="E30" s="665"/>
      <c r="F30" s="665"/>
      <c r="G30" s="665" t="s">
        <v>1154</v>
      </c>
      <c r="H30" s="665"/>
      <c r="I30" s="665"/>
      <c r="J30" s="666">
        <v>0</v>
      </c>
      <c r="K30" s="666">
        <v>0</v>
      </c>
      <c r="L30" s="666">
        <v>820065.63</v>
      </c>
      <c r="M30" s="666">
        <f>ROUND(SUM(J30:L30),5)</f>
        <v>820065.63</v>
      </c>
    </row>
    <row r="31" spans="1:13" x14ac:dyDescent="0.25">
      <c r="A31" s="665"/>
      <c r="B31" s="665"/>
      <c r="C31" s="665"/>
      <c r="D31" s="665"/>
      <c r="E31" s="665"/>
      <c r="F31" s="665"/>
      <c r="G31" s="665" t="s">
        <v>1156</v>
      </c>
      <c r="H31" s="665"/>
      <c r="I31" s="665"/>
      <c r="J31" s="666">
        <v>34795</v>
      </c>
      <c r="K31" s="666">
        <v>22725.96</v>
      </c>
      <c r="L31" s="666">
        <v>62083.5</v>
      </c>
      <c r="M31" s="666">
        <f>ROUND(SUM(J31:L31),5)</f>
        <v>119604.46</v>
      </c>
    </row>
    <row r="32" spans="1:13" x14ac:dyDescent="0.25">
      <c r="A32" s="665"/>
      <c r="B32" s="665"/>
      <c r="C32" s="665"/>
      <c r="D32" s="665"/>
      <c r="E32" s="665"/>
      <c r="F32" s="665"/>
      <c r="G32" s="665" t="s">
        <v>1157</v>
      </c>
      <c r="H32" s="665"/>
      <c r="I32" s="665"/>
      <c r="J32" s="666">
        <v>0</v>
      </c>
      <c r="K32" s="666">
        <v>0</v>
      </c>
      <c r="L32" s="666">
        <v>1850</v>
      </c>
      <c r="M32" s="666">
        <f>ROUND(SUM(J32:L32),5)</f>
        <v>1850</v>
      </c>
    </row>
    <row r="33" spans="1:13" ht="15.75" thickBot="1" x14ac:dyDescent="0.3">
      <c r="A33" s="665"/>
      <c r="B33" s="665"/>
      <c r="C33" s="665"/>
      <c r="D33" s="665"/>
      <c r="E33" s="665"/>
      <c r="F33" s="665"/>
      <c r="G33" s="665" t="s">
        <v>1159</v>
      </c>
      <c r="H33" s="665"/>
      <c r="I33" s="665"/>
      <c r="J33" s="668">
        <v>1500</v>
      </c>
      <c r="K33" s="668">
        <v>6000</v>
      </c>
      <c r="L33" s="668">
        <v>33055</v>
      </c>
      <c r="M33" s="668">
        <f>ROUND(SUM(J33:L33),5)</f>
        <v>40555</v>
      </c>
    </row>
    <row r="34" spans="1:13" x14ac:dyDescent="0.25">
      <c r="A34" s="665"/>
      <c r="B34" s="665"/>
      <c r="C34" s="665"/>
      <c r="D34" s="665"/>
      <c r="E34" s="665"/>
      <c r="F34" s="665" t="s">
        <v>1160</v>
      </c>
      <c r="G34" s="665"/>
      <c r="H34" s="665"/>
      <c r="I34" s="665"/>
      <c r="J34" s="666">
        <f>ROUND(SUM(J28:J33),5)</f>
        <v>3925151.16</v>
      </c>
      <c r="K34" s="666">
        <f>ROUND(SUM(K28:K33),5)</f>
        <v>2153421.96</v>
      </c>
      <c r="L34" s="666">
        <f>ROUND(SUM(L28:L33),5)</f>
        <v>5023964.6100000003</v>
      </c>
      <c r="M34" s="666">
        <f>ROUND(SUM(J34:L34),5)</f>
        <v>11102537.73</v>
      </c>
    </row>
    <row r="35" spans="1:13" x14ac:dyDescent="0.25">
      <c r="A35" s="665"/>
      <c r="B35" s="665"/>
      <c r="C35" s="665"/>
      <c r="D35" s="665"/>
      <c r="E35" s="665"/>
      <c r="F35" s="665" t="s">
        <v>1161</v>
      </c>
      <c r="G35" s="665"/>
      <c r="H35" s="665"/>
      <c r="I35" s="665"/>
      <c r="J35" s="666"/>
      <c r="K35" s="666"/>
      <c r="L35" s="666"/>
      <c r="M35" s="666"/>
    </row>
    <row r="36" spans="1:13" x14ac:dyDescent="0.25">
      <c r="A36" s="665"/>
      <c r="B36" s="665"/>
      <c r="C36" s="665"/>
      <c r="D36" s="665"/>
      <c r="E36" s="665"/>
      <c r="F36" s="665"/>
      <c r="G36" s="665" t="s">
        <v>1162</v>
      </c>
      <c r="H36" s="665"/>
      <c r="I36" s="665"/>
      <c r="J36" s="666">
        <v>999905</v>
      </c>
      <c r="K36" s="666">
        <v>1078405</v>
      </c>
      <c r="L36" s="666">
        <v>1078405</v>
      </c>
      <c r="M36" s="666">
        <f>ROUND(SUM(J36:L36),5)</f>
        <v>3156715</v>
      </c>
    </row>
    <row r="37" spans="1:13" x14ac:dyDescent="0.25">
      <c r="A37" s="665"/>
      <c r="B37" s="665"/>
      <c r="C37" s="665"/>
      <c r="D37" s="665"/>
      <c r="E37" s="665"/>
      <c r="F37" s="665"/>
      <c r="G37" s="665" t="s">
        <v>1163</v>
      </c>
      <c r="H37" s="665"/>
      <c r="I37" s="665"/>
      <c r="J37" s="666">
        <v>129408.6</v>
      </c>
      <c r="K37" s="666">
        <v>129408.6</v>
      </c>
      <c r="L37" s="666">
        <v>129408.6</v>
      </c>
      <c r="M37" s="666">
        <f>ROUND(SUM(J37:L37),5)</f>
        <v>388225.8</v>
      </c>
    </row>
    <row r="38" spans="1:13" x14ac:dyDescent="0.25">
      <c r="A38" s="665"/>
      <c r="B38" s="665"/>
      <c r="C38" s="665"/>
      <c r="D38" s="665"/>
      <c r="E38" s="665"/>
      <c r="F38" s="665"/>
      <c r="G38" s="665" t="s">
        <v>1164</v>
      </c>
      <c r="H38" s="665"/>
      <c r="I38" s="665"/>
      <c r="J38" s="666">
        <v>32352.15</v>
      </c>
      <c r="K38" s="666">
        <v>32352.15</v>
      </c>
      <c r="L38" s="666">
        <v>32352.15</v>
      </c>
      <c r="M38" s="666">
        <f>ROUND(SUM(J38:L38),5)</f>
        <v>97056.45</v>
      </c>
    </row>
    <row r="39" spans="1:13" x14ac:dyDescent="0.25">
      <c r="A39" s="665"/>
      <c r="B39" s="665"/>
      <c r="C39" s="665"/>
      <c r="D39" s="665"/>
      <c r="E39" s="665"/>
      <c r="F39" s="665"/>
      <c r="G39" s="665" t="s">
        <v>1165</v>
      </c>
      <c r="H39" s="665"/>
      <c r="I39" s="665"/>
      <c r="J39" s="666">
        <v>317143.13</v>
      </c>
      <c r="K39" s="666">
        <v>317143.13</v>
      </c>
      <c r="L39" s="666">
        <v>317143.13</v>
      </c>
      <c r="M39" s="666">
        <f>ROUND(SUM(J39:L39),5)</f>
        <v>951429.39</v>
      </c>
    </row>
    <row r="40" spans="1:13" x14ac:dyDescent="0.25">
      <c r="A40" s="665"/>
      <c r="B40" s="665"/>
      <c r="C40" s="665"/>
      <c r="D40" s="665"/>
      <c r="E40" s="665"/>
      <c r="F40" s="665"/>
      <c r="G40" s="665" t="s">
        <v>1166</v>
      </c>
      <c r="H40" s="665"/>
      <c r="I40" s="665"/>
      <c r="J40" s="666">
        <v>164423.48000000001</v>
      </c>
      <c r="K40" s="666">
        <v>164423.48000000001</v>
      </c>
      <c r="L40" s="666">
        <v>164423.48000000001</v>
      </c>
      <c r="M40" s="666">
        <f>ROUND(SUM(J40:L40),5)</f>
        <v>493270.44</v>
      </c>
    </row>
    <row r="41" spans="1:13" ht="15.75" thickBot="1" x14ac:dyDescent="0.3">
      <c r="A41" s="665"/>
      <c r="B41" s="665"/>
      <c r="C41" s="665"/>
      <c r="D41" s="665"/>
      <c r="E41" s="665"/>
      <c r="F41" s="665"/>
      <c r="G41" s="665" t="s">
        <v>1167</v>
      </c>
      <c r="H41" s="665"/>
      <c r="I41" s="665"/>
      <c r="J41" s="669">
        <v>49526.25</v>
      </c>
      <c r="K41" s="669">
        <v>49526.25</v>
      </c>
      <c r="L41" s="669">
        <v>49526.25</v>
      </c>
      <c r="M41" s="669">
        <f>ROUND(SUM(J41:L41),5)</f>
        <v>148578.75</v>
      </c>
    </row>
    <row r="42" spans="1:13" ht="15.75" thickBot="1" x14ac:dyDescent="0.3">
      <c r="A42" s="665"/>
      <c r="B42" s="665"/>
      <c r="C42" s="665"/>
      <c r="D42" s="665"/>
      <c r="E42" s="665"/>
      <c r="F42" s="665" t="s">
        <v>1169</v>
      </c>
      <c r="G42" s="665"/>
      <c r="H42" s="665"/>
      <c r="I42" s="665"/>
      <c r="J42" s="671">
        <f>ROUND(SUM(J35:J41),5)</f>
        <v>1692758.61</v>
      </c>
      <c r="K42" s="671">
        <f>ROUND(SUM(K35:K41),5)</f>
        <v>1771258.61</v>
      </c>
      <c r="L42" s="671">
        <f>ROUND(SUM(L35:L41),5)</f>
        <v>1771258.61</v>
      </c>
      <c r="M42" s="671">
        <f>ROUND(SUM(J42:L42),5)</f>
        <v>5235275.83</v>
      </c>
    </row>
    <row r="43" spans="1:13" ht="15.75" thickBot="1" x14ac:dyDescent="0.3">
      <c r="A43" s="665"/>
      <c r="B43" s="665"/>
      <c r="C43" s="665"/>
      <c r="D43" s="665"/>
      <c r="E43" s="665" t="s">
        <v>1185</v>
      </c>
      <c r="F43" s="665"/>
      <c r="G43" s="665"/>
      <c r="H43" s="665"/>
      <c r="I43" s="665"/>
      <c r="J43" s="671">
        <f>ROUND(J14+J21+J27+J34+J42,5)</f>
        <v>10940639.970000001</v>
      </c>
      <c r="K43" s="671">
        <f>ROUND(K14+K21+K27+K34+K42,5)</f>
        <v>6638581.3700000001</v>
      </c>
      <c r="L43" s="671">
        <f>ROUND(L14+L21+L27+L34+L42,5)</f>
        <v>11213163.039999999</v>
      </c>
      <c r="M43" s="671">
        <f>ROUND(SUM(J43:L43),5)</f>
        <v>28792384.379999999</v>
      </c>
    </row>
    <row r="44" spans="1:13" ht="15.75" thickBot="1" x14ac:dyDescent="0.3">
      <c r="A44" s="665"/>
      <c r="B44" s="665"/>
      <c r="C44" s="665"/>
      <c r="D44" s="665" t="s">
        <v>1186</v>
      </c>
      <c r="E44" s="665"/>
      <c r="F44" s="665"/>
      <c r="G44" s="665"/>
      <c r="H44" s="665"/>
      <c r="I44" s="665"/>
      <c r="J44" s="670">
        <f>ROUND(SUM(J12:J13)+J43,5)</f>
        <v>10982406.52</v>
      </c>
      <c r="K44" s="670">
        <f>ROUND(SUM(K12:K13)+K43,5)</f>
        <v>6640081.3700000001</v>
      </c>
      <c r="L44" s="670">
        <f>ROUND(SUM(L12:L13)+L43,5)</f>
        <v>11283793.82</v>
      </c>
      <c r="M44" s="670">
        <f>ROUND(SUM(J44:L44),5)</f>
        <v>28906281.710000001</v>
      </c>
    </row>
    <row r="45" spans="1:13" x14ac:dyDescent="0.25">
      <c r="A45" s="665"/>
      <c r="B45" s="665"/>
      <c r="C45" s="665" t="s">
        <v>56</v>
      </c>
      <c r="D45" s="665"/>
      <c r="E45" s="665"/>
      <c r="F45" s="665"/>
      <c r="G45" s="665"/>
      <c r="H45" s="665"/>
      <c r="I45" s="665"/>
      <c r="J45" s="666">
        <f>ROUND(J11-J44,5)</f>
        <v>9298725.9499999993</v>
      </c>
      <c r="K45" s="666">
        <f>ROUND(K11-K44,5)</f>
        <v>1946307.73</v>
      </c>
      <c r="L45" s="666">
        <f>ROUND(L11-L44,5)</f>
        <v>9984528.0299999993</v>
      </c>
      <c r="M45" s="666">
        <f>ROUND(SUM(J45:L45),5)</f>
        <v>21229561.710000001</v>
      </c>
    </row>
    <row r="46" spans="1:13" x14ac:dyDescent="0.25">
      <c r="A46" s="665"/>
      <c r="B46" s="665"/>
      <c r="C46" s="665"/>
      <c r="D46" s="665" t="s">
        <v>1187</v>
      </c>
      <c r="E46" s="665"/>
      <c r="F46" s="665"/>
      <c r="G46" s="665"/>
      <c r="H46" s="665"/>
      <c r="I46" s="665"/>
      <c r="J46" s="666"/>
      <c r="K46" s="666"/>
      <c r="L46" s="666"/>
      <c r="M46" s="666"/>
    </row>
    <row r="47" spans="1:13" x14ac:dyDescent="0.25">
      <c r="A47" s="665"/>
      <c r="B47" s="665"/>
      <c r="C47" s="665"/>
      <c r="D47" s="665"/>
      <c r="E47" s="665" t="s">
        <v>1188</v>
      </c>
      <c r="F47" s="665"/>
      <c r="G47" s="665"/>
      <c r="H47" s="665"/>
      <c r="I47" s="665"/>
      <c r="J47" s="666"/>
      <c r="K47" s="666"/>
      <c r="L47" s="666"/>
      <c r="M47" s="666"/>
    </row>
    <row r="48" spans="1:13" x14ac:dyDescent="0.25">
      <c r="A48" s="665"/>
      <c r="B48" s="665"/>
      <c r="C48" s="665"/>
      <c r="D48" s="665"/>
      <c r="E48" s="665"/>
      <c r="F48" s="665" t="s">
        <v>1189</v>
      </c>
      <c r="G48" s="665"/>
      <c r="H48" s="665"/>
      <c r="I48" s="665"/>
      <c r="J48" s="666"/>
      <c r="K48" s="666"/>
      <c r="L48" s="666"/>
      <c r="M48" s="666"/>
    </row>
    <row r="49" spans="1:13" x14ac:dyDescent="0.25">
      <c r="A49" s="665"/>
      <c r="B49" s="665"/>
      <c r="C49" s="665"/>
      <c r="D49" s="665"/>
      <c r="E49" s="665"/>
      <c r="F49" s="665"/>
      <c r="G49" s="665" t="s">
        <v>1190</v>
      </c>
      <c r="H49" s="665"/>
      <c r="I49" s="665"/>
      <c r="J49" s="666"/>
      <c r="K49" s="666"/>
      <c r="L49" s="666"/>
      <c r="M49" s="666"/>
    </row>
    <row r="50" spans="1:13" x14ac:dyDescent="0.25">
      <c r="A50" s="665"/>
      <c r="B50" s="665"/>
      <c r="C50" s="665"/>
      <c r="D50" s="665"/>
      <c r="E50" s="665"/>
      <c r="F50" s="665"/>
      <c r="G50" s="665"/>
      <c r="H50" s="665" t="s">
        <v>1191</v>
      </c>
      <c r="I50" s="665"/>
      <c r="J50" s="666">
        <v>3000</v>
      </c>
      <c r="K50" s="666">
        <v>220</v>
      </c>
      <c r="L50" s="666">
        <v>3000</v>
      </c>
      <c r="M50" s="666">
        <f>ROUND(SUM(J50:L50),5)</f>
        <v>6220</v>
      </c>
    </row>
    <row r="51" spans="1:13" x14ac:dyDescent="0.25">
      <c r="A51" s="665"/>
      <c r="B51" s="665"/>
      <c r="C51" s="665"/>
      <c r="D51" s="665"/>
      <c r="E51" s="665"/>
      <c r="F51" s="665"/>
      <c r="G51" s="665"/>
      <c r="H51" s="665" t="s">
        <v>1192</v>
      </c>
      <c r="I51" s="665"/>
      <c r="J51" s="666">
        <v>39652.199999999997</v>
      </c>
      <c r="K51" s="666">
        <v>39420.400000000001</v>
      </c>
      <c r="L51" s="666">
        <v>36407</v>
      </c>
      <c r="M51" s="666">
        <f>ROUND(SUM(J51:L51),5)</f>
        <v>115479.6</v>
      </c>
    </row>
    <row r="52" spans="1:13" x14ac:dyDescent="0.25">
      <c r="A52" s="665"/>
      <c r="B52" s="665"/>
      <c r="C52" s="665"/>
      <c r="D52" s="665"/>
      <c r="E52" s="665"/>
      <c r="F52" s="665"/>
      <c r="G52" s="665"/>
      <c r="H52" s="665" t="s">
        <v>1193</v>
      </c>
      <c r="I52" s="665"/>
      <c r="J52" s="666">
        <v>5280</v>
      </c>
      <c r="K52" s="666">
        <v>2250</v>
      </c>
      <c r="L52" s="666">
        <v>9550</v>
      </c>
      <c r="M52" s="666">
        <f>ROUND(SUM(J52:L52),5)</f>
        <v>17080</v>
      </c>
    </row>
    <row r="53" spans="1:13" x14ac:dyDescent="0.25">
      <c r="A53" s="665"/>
      <c r="B53" s="665"/>
      <c r="C53" s="665"/>
      <c r="D53" s="665"/>
      <c r="E53" s="665"/>
      <c r="F53" s="665"/>
      <c r="G53" s="665"/>
      <c r="H53" s="665" t="s">
        <v>1194</v>
      </c>
      <c r="I53" s="665"/>
      <c r="J53" s="666">
        <v>99195.98</v>
      </c>
      <c r="K53" s="666">
        <v>3230</v>
      </c>
      <c r="L53" s="666">
        <v>900</v>
      </c>
      <c r="M53" s="666">
        <f>ROUND(SUM(J53:L53),5)</f>
        <v>103325.98</v>
      </c>
    </row>
    <row r="54" spans="1:13" x14ac:dyDescent="0.25">
      <c r="A54" s="665"/>
      <c r="B54" s="665"/>
      <c r="C54" s="665"/>
      <c r="D54" s="665"/>
      <c r="E54" s="665"/>
      <c r="F54" s="665"/>
      <c r="G54" s="665"/>
      <c r="H54" s="665" t="s">
        <v>1195</v>
      </c>
      <c r="I54" s="665"/>
      <c r="J54" s="666">
        <v>4273.8</v>
      </c>
      <c r="K54" s="666">
        <v>3366</v>
      </c>
      <c r="L54" s="666">
        <v>3366</v>
      </c>
      <c r="M54" s="666">
        <f>ROUND(SUM(J54:L54),5)</f>
        <v>11005.8</v>
      </c>
    </row>
    <row r="55" spans="1:13" x14ac:dyDescent="0.25">
      <c r="A55" s="665"/>
      <c r="B55" s="665"/>
      <c r="C55" s="665"/>
      <c r="D55" s="665"/>
      <c r="E55" s="665"/>
      <c r="F55" s="665"/>
      <c r="G55" s="665"/>
      <c r="H55" s="665" t="s">
        <v>1196</v>
      </c>
      <c r="I55" s="665"/>
      <c r="J55" s="666"/>
      <c r="K55" s="666"/>
      <c r="L55" s="666"/>
      <c r="M55" s="666"/>
    </row>
    <row r="56" spans="1:13" ht="15.75" thickBot="1" x14ac:dyDescent="0.3">
      <c r="A56" s="665"/>
      <c r="B56" s="665"/>
      <c r="C56" s="665"/>
      <c r="D56" s="665"/>
      <c r="E56" s="665"/>
      <c r="F56" s="665"/>
      <c r="G56" s="665"/>
      <c r="H56" s="665"/>
      <c r="I56" s="665" t="s">
        <v>1197</v>
      </c>
      <c r="J56" s="668">
        <v>14140</v>
      </c>
      <c r="K56" s="668">
        <v>9805</v>
      </c>
      <c r="L56" s="668">
        <v>9565</v>
      </c>
      <c r="M56" s="668">
        <f>ROUND(SUM(J56:L56),5)</f>
        <v>33510</v>
      </c>
    </row>
    <row r="57" spans="1:13" x14ac:dyDescent="0.25">
      <c r="A57" s="665"/>
      <c r="B57" s="665"/>
      <c r="C57" s="665"/>
      <c r="D57" s="665"/>
      <c r="E57" s="665"/>
      <c r="F57" s="665"/>
      <c r="G57" s="665"/>
      <c r="H57" s="665" t="s">
        <v>1198</v>
      </c>
      <c r="I57" s="665"/>
      <c r="J57" s="666">
        <f>ROUND(SUM(J55:J56),5)</f>
        <v>14140</v>
      </c>
      <c r="K57" s="666">
        <f>ROUND(SUM(K55:K56),5)</f>
        <v>9805</v>
      </c>
      <c r="L57" s="666">
        <f>ROUND(SUM(L55:L56),5)</f>
        <v>9565</v>
      </c>
      <c r="M57" s="666">
        <f>ROUND(SUM(J57:L57),5)</f>
        <v>33510</v>
      </c>
    </row>
    <row r="58" spans="1:13" x14ac:dyDescent="0.25">
      <c r="A58" s="665"/>
      <c r="B58" s="665"/>
      <c r="C58" s="665"/>
      <c r="D58" s="665"/>
      <c r="E58" s="665"/>
      <c r="F58" s="665"/>
      <c r="G58" s="665"/>
      <c r="H58" s="665" t="s">
        <v>1199</v>
      </c>
      <c r="I58" s="665"/>
      <c r="J58" s="666">
        <v>118016.85</v>
      </c>
      <c r="K58" s="666">
        <v>131132.15</v>
      </c>
      <c r="L58" s="666">
        <v>102181.3</v>
      </c>
      <c r="M58" s="666">
        <f>ROUND(SUM(J58:L58),5)</f>
        <v>351330.3</v>
      </c>
    </row>
    <row r="59" spans="1:13" ht="15.75" thickBot="1" x14ac:dyDescent="0.3">
      <c r="A59" s="665"/>
      <c r="B59" s="665"/>
      <c r="C59" s="665"/>
      <c r="D59" s="665"/>
      <c r="E59" s="665"/>
      <c r="F59" s="665"/>
      <c r="G59" s="665"/>
      <c r="H59" s="665" t="s">
        <v>1201</v>
      </c>
      <c r="I59" s="665"/>
      <c r="J59" s="668">
        <v>22750</v>
      </c>
      <c r="K59" s="668">
        <v>14454</v>
      </c>
      <c r="L59" s="668">
        <v>14834</v>
      </c>
      <c r="M59" s="668">
        <f>ROUND(SUM(J59:L59),5)</f>
        <v>52038</v>
      </c>
    </row>
    <row r="60" spans="1:13" x14ac:dyDescent="0.25">
      <c r="A60" s="665"/>
      <c r="B60" s="665"/>
      <c r="C60" s="665"/>
      <c r="D60" s="665"/>
      <c r="E60" s="665"/>
      <c r="F60" s="665"/>
      <c r="G60" s="665" t="s">
        <v>1208</v>
      </c>
      <c r="H60" s="665"/>
      <c r="I60" s="665"/>
      <c r="J60" s="666">
        <f>ROUND(SUM(J49:J54)+SUM(J57:J59),5)</f>
        <v>306308.83</v>
      </c>
      <c r="K60" s="666">
        <f>ROUND(SUM(K49:K54)+SUM(K57:K59),5)</f>
        <v>203877.55</v>
      </c>
      <c r="L60" s="666">
        <f>ROUND(SUM(L49:L54)+SUM(L57:L59),5)</f>
        <v>179803.3</v>
      </c>
      <c r="M60" s="666">
        <f>ROUND(SUM(J60:L60),5)</f>
        <v>689989.68</v>
      </c>
    </row>
    <row r="61" spans="1:13" x14ac:dyDescent="0.25">
      <c r="A61" s="665"/>
      <c r="B61" s="665"/>
      <c r="C61" s="665"/>
      <c r="D61" s="665"/>
      <c r="E61" s="665"/>
      <c r="F61" s="665"/>
      <c r="G61" s="665" t="s">
        <v>1209</v>
      </c>
      <c r="H61" s="665"/>
      <c r="I61" s="665"/>
      <c r="J61" s="666"/>
      <c r="K61" s="666"/>
      <c r="L61" s="666"/>
      <c r="M61" s="666"/>
    </row>
    <row r="62" spans="1:13" x14ac:dyDescent="0.25">
      <c r="A62" s="665"/>
      <c r="B62" s="665"/>
      <c r="C62" s="665"/>
      <c r="D62" s="665"/>
      <c r="E62" s="665"/>
      <c r="F62" s="665"/>
      <c r="G62" s="665"/>
      <c r="H62" s="665" t="s">
        <v>1210</v>
      </c>
      <c r="I62" s="665"/>
      <c r="J62" s="666">
        <v>194500</v>
      </c>
      <c r="K62" s="666">
        <v>194500</v>
      </c>
      <c r="L62" s="666">
        <v>194500</v>
      </c>
      <c r="M62" s="666">
        <f>ROUND(SUM(J62:L62),5)</f>
        <v>583500</v>
      </c>
    </row>
    <row r="63" spans="1:13" x14ac:dyDescent="0.25">
      <c r="A63" s="665"/>
      <c r="B63" s="665"/>
      <c r="C63" s="665"/>
      <c r="D63" s="665"/>
      <c r="E63" s="665"/>
      <c r="F63" s="665"/>
      <c r="G63" s="665"/>
      <c r="H63" s="665" t="s">
        <v>1211</v>
      </c>
      <c r="I63" s="665"/>
      <c r="J63" s="666">
        <v>23340</v>
      </c>
      <c r="K63" s="666">
        <v>23340</v>
      </c>
      <c r="L63" s="666">
        <v>23340</v>
      </c>
      <c r="M63" s="666">
        <f>ROUND(SUM(J63:L63),5)</f>
        <v>70020</v>
      </c>
    </row>
    <row r="64" spans="1:13" x14ac:dyDescent="0.25">
      <c r="A64" s="665"/>
      <c r="B64" s="665"/>
      <c r="C64" s="665"/>
      <c r="D64" s="665"/>
      <c r="E64" s="665"/>
      <c r="F64" s="665"/>
      <c r="G64" s="665"/>
      <c r="H64" s="665" t="s">
        <v>1212</v>
      </c>
      <c r="I64" s="665"/>
      <c r="J64" s="666">
        <v>5835</v>
      </c>
      <c r="K64" s="666">
        <v>5835</v>
      </c>
      <c r="L64" s="666">
        <v>5835</v>
      </c>
      <c r="M64" s="666">
        <f>ROUND(SUM(J64:L64),5)</f>
        <v>17505</v>
      </c>
    </row>
    <row r="65" spans="1:13" x14ac:dyDescent="0.25">
      <c r="A65" s="665"/>
      <c r="B65" s="665"/>
      <c r="C65" s="665"/>
      <c r="D65" s="665"/>
      <c r="E65" s="665"/>
      <c r="F65" s="665"/>
      <c r="G65" s="665"/>
      <c r="H65" s="665" t="s">
        <v>1213</v>
      </c>
      <c r="I65" s="665"/>
      <c r="J65" s="666">
        <v>140500</v>
      </c>
      <c r="K65" s="666">
        <v>140500</v>
      </c>
      <c r="L65" s="666">
        <v>140500</v>
      </c>
      <c r="M65" s="666">
        <f>ROUND(SUM(J65:L65),5)</f>
        <v>421500</v>
      </c>
    </row>
    <row r="66" spans="1:13" x14ac:dyDescent="0.25">
      <c r="A66" s="665"/>
      <c r="B66" s="665"/>
      <c r="C66" s="665"/>
      <c r="D66" s="665"/>
      <c r="E66" s="665"/>
      <c r="F66" s="665"/>
      <c r="G66" s="665"/>
      <c r="H66" s="665" t="s">
        <v>1214</v>
      </c>
      <c r="I66" s="665"/>
      <c r="J66" s="666">
        <v>5500</v>
      </c>
      <c r="K66" s="666">
        <v>5500</v>
      </c>
      <c r="L66" s="666">
        <v>5500</v>
      </c>
      <c r="M66" s="666">
        <f>ROUND(SUM(J66:L66),5)</f>
        <v>16500</v>
      </c>
    </row>
    <row r="67" spans="1:13" ht="15.75" thickBot="1" x14ac:dyDescent="0.3">
      <c r="A67" s="665"/>
      <c r="B67" s="665"/>
      <c r="C67" s="665"/>
      <c r="D67" s="665"/>
      <c r="E67" s="665"/>
      <c r="F67" s="665"/>
      <c r="G67" s="665"/>
      <c r="H67" s="665" t="s">
        <v>1215</v>
      </c>
      <c r="I67" s="665"/>
      <c r="J67" s="668">
        <v>31000</v>
      </c>
      <c r="K67" s="668">
        <v>31000</v>
      </c>
      <c r="L67" s="668">
        <v>31000</v>
      </c>
      <c r="M67" s="668">
        <f>ROUND(SUM(J67:L67),5)</f>
        <v>93000</v>
      </c>
    </row>
    <row r="68" spans="1:13" x14ac:dyDescent="0.25">
      <c r="A68" s="665"/>
      <c r="B68" s="665"/>
      <c r="C68" s="665"/>
      <c r="D68" s="665"/>
      <c r="E68" s="665"/>
      <c r="F68" s="665"/>
      <c r="G68" s="665" t="s">
        <v>1217</v>
      </c>
      <c r="H68" s="665"/>
      <c r="I68" s="665"/>
      <c r="J68" s="666">
        <f>ROUND(SUM(J61:J67),5)</f>
        <v>400675</v>
      </c>
      <c r="K68" s="666">
        <f>ROUND(SUM(K61:K67),5)</f>
        <v>400675</v>
      </c>
      <c r="L68" s="666">
        <f>ROUND(SUM(L61:L67),5)</f>
        <v>400675</v>
      </c>
      <c r="M68" s="666">
        <f>ROUND(SUM(J68:L68),5)</f>
        <v>1202025</v>
      </c>
    </row>
    <row r="69" spans="1:13" x14ac:dyDescent="0.25">
      <c r="A69" s="665"/>
      <c r="B69" s="665"/>
      <c r="C69" s="665"/>
      <c r="D69" s="665"/>
      <c r="E69" s="665"/>
      <c r="F69" s="665"/>
      <c r="G69" s="665" t="s">
        <v>1218</v>
      </c>
      <c r="H69" s="665"/>
      <c r="I69" s="665"/>
      <c r="J69" s="666"/>
      <c r="K69" s="666"/>
      <c r="L69" s="666"/>
      <c r="M69" s="666"/>
    </row>
    <row r="70" spans="1:13" x14ac:dyDescent="0.25">
      <c r="A70" s="665"/>
      <c r="B70" s="665"/>
      <c r="C70" s="665"/>
      <c r="D70" s="665"/>
      <c r="E70" s="665"/>
      <c r="F70" s="665"/>
      <c r="G70" s="665"/>
      <c r="H70" s="665" t="s">
        <v>1220</v>
      </c>
      <c r="I70" s="665"/>
      <c r="J70" s="666">
        <v>7277.2</v>
      </c>
      <c r="K70" s="666">
        <v>7277.2</v>
      </c>
      <c r="L70" s="666">
        <v>0</v>
      </c>
      <c r="M70" s="666">
        <f>ROUND(SUM(J70:L70),5)</f>
        <v>14554.4</v>
      </c>
    </row>
    <row r="71" spans="1:13" x14ac:dyDescent="0.25">
      <c r="A71" s="665"/>
      <c r="B71" s="665"/>
      <c r="C71" s="665"/>
      <c r="D71" s="665"/>
      <c r="E71" s="665"/>
      <c r="F71" s="665"/>
      <c r="G71" s="665"/>
      <c r="H71" s="665" t="s">
        <v>1222</v>
      </c>
      <c r="I71" s="665"/>
      <c r="J71" s="666">
        <v>2936.02</v>
      </c>
      <c r="K71" s="666">
        <v>2519.9299999999998</v>
      </c>
      <c r="L71" s="666">
        <v>0</v>
      </c>
      <c r="M71" s="666">
        <f>ROUND(SUM(J71:L71),5)</f>
        <v>5455.95</v>
      </c>
    </row>
    <row r="72" spans="1:13" x14ac:dyDescent="0.25">
      <c r="A72" s="665"/>
      <c r="B72" s="665"/>
      <c r="C72" s="665"/>
      <c r="D72" s="665"/>
      <c r="E72" s="665"/>
      <c r="F72" s="665"/>
      <c r="G72" s="665"/>
      <c r="H72" s="665" t="s">
        <v>1223</v>
      </c>
      <c r="I72" s="665"/>
      <c r="J72" s="666">
        <v>-6501.1</v>
      </c>
      <c r="K72" s="666">
        <v>0</v>
      </c>
      <c r="L72" s="666">
        <v>0</v>
      </c>
      <c r="M72" s="666">
        <f>ROUND(SUM(J72:L72),5)</f>
        <v>-6501.1</v>
      </c>
    </row>
    <row r="73" spans="1:13" ht="15.75" thickBot="1" x14ac:dyDescent="0.3">
      <c r="A73" s="665"/>
      <c r="B73" s="665"/>
      <c r="C73" s="665"/>
      <c r="D73" s="665"/>
      <c r="E73" s="665"/>
      <c r="F73" s="665"/>
      <c r="G73" s="665"/>
      <c r="H73" s="665" t="s">
        <v>1224</v>
      </c>
      <c r="I73" s="665"/>
      <c r="J73" s="668">
        <v>46773.39</v>
      </c>
      <c r="K73" s="668">
        <v>46773.39</v>
      </c>
      <c r="L73" s="668">
        <v>46773.39</v>
      </c>
      <c r="M73" s="668">
        <f>ROUND(SUM(J73:L73),5)</f>
        <v>140320.17000000001</v>
      </c>
    </row>
    <row r="74" spans="1:13" x14ac:dyDescent="0.25">
      <c r="A74" s="665"/>
      <c r="B74" s="665"/>
      <c r="C74" s="665"/>
      <c r="D74" s="665"/>
      <c r="E74" s="665"/>
      <c r="F74" s="665"/>
      <c r="G74" s="665" t="s">
        <v>1225</v>
      </c>
      <c r="H74" s="665"/>
      <c r="I74" s="665"/>
      <c r="J74" s="666">
        <f>ROUND(SUM(J69:J73),5)</f>
        <v>50485.51</v>
      </c>
      <c r="K74" s="666">
        <f>ROUND(SUM(K69:K73),5)</f>
        <v>56570.52</v>
      </c>
      <c r="L74" s="666">
        <f>ROUND(SUM(L69:L73),5)</f>
        <v>46773.39</v>
      </c>
      <c r="M74" s="666">
        <f>ROUND(SUM(J74:L74),5)</f>
        <v>153829.42000000001</v>
      </c>
    </row>
    <row r="75" spans="1:13" x14ac:dyDescent="0.25">
      <c r="A75" s="665"/>
      <c r="B75" s="665"/>
      <c r="C75" s="665"/>
      <c r="D75" s="665"/>
      <c r="E75" s="665"/>
      <c r="F75" s="665"/>
      <c r="G75" s="665" t="s">
        <v>1226</v>
      </c>
      <c r="H75" s="665"/>
      <c r="I75" s="665"/>
      <c r="J75" s="666"/>
      <c r="K75" s="666"/>
      <c r="L75" s="666"/>
      <c r="M75" s="666"/>
    </row>
    <row r="76" spans="1:13" x14ac:dyDescent="0.25">
      <c r="A76" s="665"/>
      <c r="B76" s="665"/>
      <c r="C76" s="665"/>
      <c r="D76" s="665"/>
      <c r="E76" s="665"/>
      <c r="F76" s="665"/>
      <c r="G76" s="665"/>
      <c r="H76" s="665" t="s">
        <v>1227</v>
      </c>
      <c r="I76" s="665"/>
      <c r="J76" s="666">
        <v>36500</v>
      </c>
      <c r="K76" s="666">
        <v>960</v>
      </c>
      <c r="L76" s="666">
        <v>40474</v>
      </c>
      <c r="M76" s="666">
        <f>ROUND(SUM(J76:L76),5)</f>
        <v>77934</v>
      </c>
    </row>
    <row r="77" spans="1:13" x14ac:dyDescent="0.25">
      <c r="A77" s="665"/>
      <c r="B77" s="665"/>
      <c r="C77" s="665"/>
      <c r="D77" s="665"/>
      <c r="E77" s="665"/>
      <c r="F77" s="665"/>
      <c r="G77" s="665"/>
      <c r="H77" s="665" t="s">
        <v>1228</v>
      </c>
      <c r="I77" s="665"/>
      <c r="J77" s="666">
        <v>0</v>
      </c>
      <c r="K77" s="666">
        <v>0</v>
      </c>
      <c r="L77" s="666">
        <v>6500</v>
      </c>
      <c r="M77" s="666">
        <f>ROUND(SUM(J77:L77),5)</f>
        <v>6500</v>
      </c>
    </row>
    <row r="78" spans="1:13" x14ac:dyDescent="0.25">
      <c r="A78" s="665"/>
      <c r="B78" s="665"/>
      <c r="C78" s="665"/>
      <c r="D78" s="665"/>
      <c r="E78" s="665"/>
      <c r="F78" s="665"/>
      <c r="G78" s="665"/>
      <c r="H78" s="665" t="s">
        <v>1230</v>
      </c>
      <c r="I78" s="665"/>
      <c r="J78" s="666">
        <v>0</v>
      </c>
      <c r="K78" s="666">
        <v>13900</v>
      </c>
      <c r="L78" s="666">
        <v>26030</v>
      </c>
      <c r="M78" s="666">
        <f>ROUND(SUM(J78:L78),5)</f>
        <v>39930</v>
      </c>
    </row>
    <row r="79" spans="1:13" x14ac:dyDescent="0.25">
      <c r="A79" s="665"/>
      <c r="B79" s="665"/>
      <c r="C79" s="665"/>
      <c r="D79" s="665"/>
      <c r="E79" s="665"/>
      <c r="F79" s="665"/>
      <c r="G79" s="665"/>
      <c r="H79" s="665" t="s">
        <v>1231</v>
      </c>
      <c r="I79" s="665"/>
      <c r="J79" s="666">
        <v>620</v>
      </c>
      <c r="K79" s="666">
        <v>500</v>
      </c>
      <c r="L79" s="666">
        <v>1500</v>
      </c>
      <c r="M79" s="666">
        <f>ROUND(SUM(J79:L79),5)</f>
        <v>2620</v>
      </c>
    </row>
    <row r="80" spans="1:13" ht="15.75" thickBot="1" x14ac:dyDescent="0.3">
      <c r="A80" s="665"/>
      <c r="B80" s="665"/>
      <c r="C80" s="665"/>
      <c r="D80" s="665"/>
      <c r="E80" s="665"/>
      <c r="F80" s="665"/>
      <c r="G80" s="665"/>
      <c r="H80" s="665" t="s">
        <v>1232</v>
      </c>
      <c r="I80" s="665"/>
      <c r="J80" s="668">
        <v>55000</v>
      </c>
      <c r="K80" s="668">
        <v>41500</v>
      </c>
      <c r="L80" s="668">
        <v>41500</v>
      </c>
      <c r="M80" s="668">
        <f>ROUND(SUM(J80:L80),5)</f>
        <v>138000</v>
      </c>
    </row>
    <row r="81" spans="1:15" x14ac:dyDescent="0.25">
      <c r="A81" s="665"/>
      <c r="B81" s="665"/>
      <c r="C81" s="665"/>
      <c r="D81" s="665"/>
      <c r="E81" s="665"/>
      <c r="F81" s="665"/>
      <c r="G81" s="665" t="s">
        <v>1235</v>
      </c>
      <c r="H81" s="665"/>
      <c r="I81" s="665"/>
      <c r="J81" s="666">
        <f>ROUND(SUM(J75:J80),5)</f>
        <v>92120</v>
      </c>
      <c r="K81" s="666">
        <f>ROUND(SUM(K75:K80),5)</f>
        <v>56860</v>
      </c>
      <c r="L81" s="666">
        <f>ROUND(SUM(L75:L80),5)</f>
        <v>116004</v>
      </c>
      <c r="M81" s="666">
        <f>ROUND(SUM(J81:L81),5)</f>
        <v>264984</v>
      </c>
    </row>
    <row r="82" spans="1:15" x14ac:dyDescent="0.25">
      <c r="A82" s="665"/>
      <c r="B82" s="665"/>
      <c r="C82" s="665"/>
      <c r="D82" s="665"/>
      <c r="E82" s="665"/>
      <c r="F82" s="665"/>
      <c r="G82" s="665" t="s">
        <v>1236</v>
      </c>
      <c r="H82" s="665"/>
      <c r="I82" s="665"/>
      <c r="J82" s="666"/>
      <c r="K82" s="666"/>
      <c r="L82" s="666"/>
      <c r="M82" s="666"/>
    </row>
    <row r="83" spans="1:15" x14ac:dyDescent="0.25">
      <c r="A83" s="665"/>
      <c r="B83" s="665"/>
      <c r="C83" s="665"/>
      <c r="D83" s="665"/>
      <c r="E83" s="665"/>
      <c r="F83" s="665"/>
      <c r="G83" s="665"/>
      <c r="H83" s="665" t="s">
        <v>1237</v>
      </c>
      <c r="I83" s="665"/>
      <c r="J83" s="666">
        <v>19054.5</v>
      </c>
      <c r="K83" s="666">
        <v>42165</v>
      </c>
      <c r="L83" s="666">
        <v>17115</v>
      </c>
      <c r="M83" s="666">
        <f>ROUND(SUM(J83:L83),5)</f>
        <v>78334.5</v>
      </c>
    </row>
    <row r="84" spans="1:15" x14ac:dyDescent="0.25">
      <c r="A84" s="665"/>
      <c r="B84" s="665"/>
      <c r="C84" s="665"/>
      <c r="D84" s="665"/>
      <c r="E84" s="665"/>
      <c r="F84" s="665"/>
      <c r="G84" s="665"/>
      <c r="H84" s="665" t="s">
        <v>1238</v>
      </c>
      <c r="I84" s="665"/>
      <c r="J84" s="666">
        <v>0</v>
      </c>
      <c r="K84" s="666">
        <v>4550</v>
      </c>
      <c r="L84" s="666">
        <v>0</v>
      </c>
      <c r="M84" s="666">
        <f>ROUND(SUM(J84:L84),5)</f>
        <v>4550</v>
      </c>
    </row>
    <row r="85" spans="1:15" x14ac:dyDescent="0.25">
      <c r="A85" s="665"/>
      <c r="B85" s="665"/>
      <c r="C85" s="665"/>
      <c r="D85" s="665"/>
      <c r="E85" s="665"/>
      <c r="F85" s="665"/>
      <c r="G85" s="665"/>
      <c r="H85" s="665" t="s">
        <v>1239</v>
      </c>
      <c r="I85" s="665"/>
      <c r="J85" s="666">
        <v>34240</v>
      </c>
      <c r="K85" s="666">
        <v>20145</v>
      </c>
      <c r="L85" s="666">
        <v>33568</v>
      </c>
      <c r="M85" s="666">
        <f>ROUND(SUM(J85:L85),5)</f>
        <v>87953</v>
      </c>
    </row>
    <row r="86" spans="1:15" x14ac:dyDescent="0.25">
      <c r="A86" s="665"/>
      <c r="B86" s="665"/>
      <c r="C86" s="665"/>
      <c r="D86" s="665"/>
      <c r="E86" s="665"/>
      <c r="F86" s="665"/>
      <c r="G86" s="665"/>
      <c r="H86" s="665" t="s">
        <v>1240</v>
      </c>
      <c r="I86" s="665"/>
      <c r="J86" s="666">
        <v>3155</v>
      </c>
      <c r="K86" s="666">
        <v>7657</v>
      </c>
      <c r="L86" s="666">
        <v>3775</v>
      </c>
      <c r="M86" s="666">
        <f>ROUND(SUM(J86:L86),5)</f>
        <v>14587</v>
      </c>
    </row>
    <row r="87" spans="1:15" x14ac:dyDescent="0.25">
      <c r="A87" s="665"/>
      <c r="B87" s="665"/>
      <c r="C87" s="665"/>
      <c r="D87" s="665"/>
      <c r="E87" s="665"/>
      <c r="F87" s="665"/>
      <c r="G87" s="665"/>
      <c r="H87" s="665" t="s">
        <v>1241</v>
      </c>
      <c r="I87" s="665"/>
      <c r="J87" s="666">
        <v>201577.5</v>
      </c>
      <c r="K87" s="666">
        <v>107941.5</v>
      </c>
      <c r="L87" s="666">
        <v>120946.5</v>
      </c>
      <c r="M87" s="666">
        <f>ROUND(SUM(J87:L87),5)</f>
        <v>430465.5</v>
      </c>
    </row>
    <row r="88" spans="1:15" x14ac:dyDescent="0.25">
      <c r="A88" s="665"/>
      <c r="B88" s="665"/>
      <c r="C88" s="665"/>
      <c r="D88" s="665"/>
      <c r="E88" s="665"/>
      <c r="F88" s="665"/>
      <c r="G88" s="665"/>
      <c r="H88" s="665" t="s">
        <v>1242</v>
      </c>
      <c r="I88" s="665"/>
      <c r="J88" s="666">
        <v>0</v>
      </c>
      <c r="K88" s="666">
        <v>0</v>
      </c>
      <c r="L88" s="666">
        <v>2850</v>
      </c>
      <c r="M88" s="666">
        <f>ROUND(SUM(J88:L88),5)</f>
        <v>2850</v>
      </c>
    </row>
    <row r="89" spans="1:15" x14ac:dyDescent="0.25">
      <c r="A89" s="665"/>
      <c r="B89" s="665"/>
      <c r="C89" s="665"/>
      <c r="D89" s="665"/>
      <c r="E89" s="665"/>
      <c r="F89" s="665"/>
      <c r="G89" s="665"/>
      <c r="H89" s="665" t="s">
        <v>757</v>
      </c>
      <c r="I89" s="665"/>
      <c r="J89" s="666">
        <v>143450.54</v>
      </c>
      <c r="K89" s="666">
        <v>143450.54</v>
      </c>
      <c r="L89" s="666">
        <v>143450.54</v>
      </c>
      <c r="M89" s="666">
        <f>ROUND(SUM(J89:L89),5)</f>
        <v>430351.62</v>
      </c>
      <c r="N89" s="679"/>
      <c r="O89" s="679">
        <f>+M89</f>
        <v>430351.62</v>
      </c>
    </row>
    <row r="90" spans="1:15" x14ac:dyDescent="0.25">
      <c r="A90" s="665"/>
      <c r="B90" s="665"/>
      <c r="C90" s="665"/>
      <c r="D90" s="665"/>
      <c r="E90" s="665"/>
      <c r="F90" s="665"/>
      <c r="G90" s="665"/>
      <c r="H90" s="665" t="s">
        <v>759</v>
      </c>
      <c r="I90" s="665"/>
      <c r="J90" s="666">
        <v>123689.25</v>
      </c>
      <c r="K90" s="666">
        <v>123689.25</v>
      </c>
      <c r="L90" s="666">
        <v>123689.25</v>
      </c>
      <c r="M90" s="666">
        <f>ROUND(SUM(J90:L90),5)</f>
        <v>371067.75</v>
      </c>
      <c r="N90" s="679">
        <f>+M90</f>
        <v>371067.75</v>
      </c>
    </row>
    <row r="91" spans="1:15" x14ac:dyDescent="0.25">
      <c r="A91" s="665"/>
      <c r="B91" s="665"/>
      <c r="C91" s="665"/>
      <c r="D91" s="665"/>
      <c r="E91" s="665"/>
      <c r="F91" s="665"/>
      <c r="G91" s="665"/>
      <c r="H91" s="665" t="s">
        <v>758</v>
      </c>
      <c r="I91" s="665"/>
      <c r="J91" s="666">
        <v>56356.160000000003</v>
      </c>
      <c r="K91" s="666">
        <v>56356.160000000003</v>
      </c>
      <c r="L91" s="666">
        <v>56356.160000000003</v>
      </c>
      <c r="M91" s="666">
        <f>ROUND(SUM(J91:L91),5)</f>
        <v>169068.48</v>
      </c>
    </row>
    <row r="92" spans="1:15" ht="15.75" thickBot="1" x14ac:dyDescent="0.3">
      <c r="A92" s="665"/>
      <c r="B92" s="665"/>
      <c r="C92" s="665"/>
      <c r="D92" s="665"/>
      <c r="E92" s="665"/>
      <c r="F92" s="665"/>
      <c r="G92" s="665"/>
      <c r="H92" s="665" t="s">
        <v>1245</v>
      </c>
      <c r="I92" s="665"/>
      <c r="J92" s="668">
        <v>5100</v>
      </c>
      <c r="K92" s="668">
        <v>0</v>
      </c>
      <c r="L92" s="668">
        <v>3500</v>
      </c>
      <c r="M92" s="668">
        <f>ROUND(SUM(J92:L92),5)</f>
        <v>8600</v>
      </c>
    </row>
    <row r="93" spans="1:15" x14ac:dyDescent="0.25">
      <c r="A93" s="665"/>
      <c r="B93" s="665"/>
      <c r="C93" s="665"/>
      <c r="D93" s="665"/>
      <c r="E93" s="665"/>
      <c r="F93" s="665"/>
      <c r="G93" s="665" t="s">
        <v>1247</v>
      </c>
      <c r="H93" s="665"/>
      <c r="I93" s="665"/>
      <c r="J93" s="666">
        <f>ROUND(SUM(J82:J92),5)</f>
        <v>586622.94999999995</v>
      </c>
      <c r="K93" s="666">
        <f>ROUND(SUM(K82:K92),5)</f>
        <v>505954.45</v>
      </c>
      <c r="L93" s="666">
        <f>ROUND(SUM(L82:L92),5)</f>
        <v>505250.45</v>
      </c>
      <c r="M93" s="666">
        <f>ROUND(SUM(J93:L93),5)</f>
        <v>1597827.85</v>
      </c>
    </row>
    <row r="94" spans="1:15" x14ac:dyDescent="0.25">
      <c r="A94" s="665"/>
      <c r="B94" s="665"/>
      <c r="C94" s="665"/>
      <c r="D94" s="665"/>
      <c r="E94" s="665"/>
      <c r="F94" s="665"/>
      <c r="G94" s="665" t="s">
        <v>1248</v>
      </c>
      <c r="H94" s="665"/>
      <c r="I94" s="665"/>
      <c r="J94" s="666"/>
      <c r="K94" s="666"/>
      <c r="L94" s="666"/>
      <c r="M94" s="666"/>
    </row>
    <row r="95" spans="1:15" ht="15.75" thickBot="1" x14ac:dyDescent="0.3">
      <c r="A95" s="665"/>
      <c r="B95" s="665"/>
      <c r="C95" s="665"/>
      <c r="D95" s="665"/>
      <c r="E95" s="665"/>
      <c r="F95" s="665"/>
      <c r="G95" s="665"/>
      <c r="H95" s="665" t="s">
        <v>1251</v>
      </c>
      <c r="I95" s="665"/>
      <c r="J95" s="668">
        <v>0</v>
      </c>
      <c r="K95" s="668">
        <v>0</v>
      </c>
      <c r="L95" s="668">
        <v>1163.1099999999999</v>
      </c>
      <c r="M95" s="668">
        <f>ROUND(SUM(J95:L95),5)</f>
        <v>1163.1099999999999</v>
      </c>
    </row>
    <row r="96" spans="1:15" x14ac:dyDescent="0.25">
      <c r="A96" s="665"/>
      <c r="B96" s="665"/>
      <c r="C96" s="665"/>
      <c r="D96" s="665"/>
      <c r="E96" s="665"/>
      <c r="F96" s="665"/>
      <c r="G96" s="665" t="s">
        <v>1256</v>
      </c>
      <c r="H96" s="665"/>
      <c r="I96" s="665"/>
      <c r="J96" s="666">
        <f>ROUND(SUM(J94:J95),5)</f>
        <v>0</v>
      </c>
      <c r="K96" s="666">
        <f>ROUND(SUM(K94:K95),5)</f>
        <v>0</v>
      </c>
      <c r="L96" s="666">
        <f>ROUND(SUM(L94:L95),5)</f>
        <v>1163.1099999999999</v>
      </c>
      <c r="M96" s="666">
        <f>ROUND(SUM(J96:L96),5)</f>
        <v>1163.1099999999999</v>
      </c>
    </row>
    <row r="97" spans="1:13" ht="15.75" thickBot="1" x14ac:dyDescent="0.3">
      <c r="A97" s="665"/>
      <c r="B97" s="665"/>
      <c r="C97" s="665"/>
      <c r="D97" s="665"/>
      <c r="E97" s="665"/>
      <c r="F97" s="665"/>
      <c r="G97" s="665" t="s">
        <v>1564</v>
      </c>
      <c r="H97" s="665"/>
      <c r="I97" s="665"/>
      <c r="J97" s="668">
        <v>0</v>
      </c>
      <c r="K97" s="668">
        <v>0</v>
      </c>
      <c r="L97" s="668">
        <v>1500</v>
      </c>
      <c r="M97" s="668">
        <f>ROUND(SUM(J97:L97),5)</f>
        <v>1500</v>
      </c>
    </row>
    <row r="98" spans="1:13" x14ac:dyDescent="0.25">
      <c r="A98" s="665"/>
      <c r="B98" s="665"/>
      <c r="C98" s="665"/>
      <c r="D98" s="665"/>
      <c r="E98" s="665"/>
      <c r="F98" s="665" t="s">
        <v>1257</v>
      </c>
      <c r="G98" s="665"/>
      <c r="H98" s="665"/>
      <c r="I98" s="665"/>
      <c r="J98" s="666">
        <f>ROUND(J48+J60+J68+J74+J81+J93+SUM(J96:J97),5)</f>
        <v>1436212.29</v>
      </c>
      <c r="K98" s="666">
        <f>ROUND(K48+K60+K68+K74+K81+K93+SUM(K96:K97),5)</f>
        <v>1223937.52</v>
      </c>
      <c r="L98" s="666">
        <f>ROUND(L48+L60+L68+L74+L81+L93+SUM(L96:L97),5)</f>
        <v>1251169.25</v>
      </c>
      <c r="M98" s="666">
        <f>ROUND(SUM(J98:L98),5)</f>
        <v>3911319.06</v>
      </c>
    </row>
    <row r="99" spans="1:13" x14ac:dyDescent="0.25">
      <c r="A99" s="665"/>
      <c r="B99" s="665"/>
      <c r="C99" s="665"/>
      <c r="D99" s="665"/>
      <c r="E99" s="665"/>
      <c r="F99" s="665" t="s">
        <v>1258</v>
      </c>
      <c r="G99" s="665"/>
      <c r="H99" s="665"/>
      <c r="I99" s="665"/>
      <c r="J99" s="666"/>
      <c r="K99" s="666"/>
      <c r="L99" s="666"/>
      <c r="M99" s="666"/>
    </row>
    <row r="100" spans="1:13" x14ac:dyDescent="0.25">
      <c r="A100" s="665"/>
      <c r="B100" s="665"/>
      <c r="C100" s="665"/>
      <c r="D100" s="665"/>
      <c r="E100" s="665"/>
      <c r="F100" s="665"/>
      <c r="G100" s="665" t="s">
        <v>1259</v>
      </c>
      <c r="H100" s="665"/>
      <c r="I100" s="665"/>
      <c r="J100" s="666"/>
      <c r="K100" s="666"/>
      <c r="L100" s="666"/>
      <c r="M100" s="666"/>
    </row>
    <row r="101" spans="1:13" x14ac:dyDescent="0.25">
      <c r="A101" s="665"/>
      <c r="B101" s="665"/>
      <c r="C101" s="665"/>
      <c r="D101" s="665"/>
      <c r="E101" s="665"/>
      <c r="F101" s="665"/>
      <c r="G101" s="665"/>
      <c r="H101" s="665" t="s">
        <v>1260</v>
      </c>
      <c r="I101" s="665"/>
      <c r="J101" s="666">
        <v>37000</v>
      </c>
      <c r="K101" s="666">
        <v>0</v>
      </c>
      <c r="L101" s="666">
        <v>0</v>
      </c>
      <c r="M101" s="666">
        <f>ROUND(SUM(J101:L101),5)</f>
        <v>37000</v>
      </c>
    </row>
    <row r="102" spans="1:13" x14ac:dyDescent="0.25">
      <c r="A102" s="665"/>
      <c r="B102" s="665"/>
      <c r="C102" s="665"/>
      <c r="D102" s="665"/>
      <c r="E102" s="665"/>
      <c r="F102" s="665"/>
      <c r="G102" s="665"/>
      <c r="H102" s="665" t="s">
        <v>1261</v>
      </c>
      <c r="I102" s="665"/>
      <c r="J102" s="666">
        <v>0</v>
      </c>
      <c r="K102" s="666">
        <v>910</v>
      </c>
      <c r="L102" s="666">
        <v>0</v>
      </c>
      <c r="M102" s="666">
        <f>ROUND(SUM(J102:L102),5)</f>
        <v>910</v>
      </c>
    </row>
    <row r="103" spans="1:13" x14ac:dyDescent="0.25">
      <c r="A103" s="665"/>
      <c r="B103" s="665"/>
      <c r="C103" s="665"/>
      <c r="D103" s="665"/>
      <c r="E103" s="665"/>
      <c r="F103" s="665"/>
      <c r="G103" s="665"/>
      <c r="H103" s="665" t="s">
        <v>1262</v>
      </c>
      <c r="I103" s="665"/>
      <c r="J103" s="666">
        <v>56036.800000000003</v>
      </c>
      <c r="K103" s="666">
        <v>43129.2</v>
      </c>
      <c r="L103" s="666">
        <v>63905.8</v>
      </c>
      <c r="M103" s="666">
        <f>ROUND(SUM(J103:L103),5)</f>
        <v>163071.79999999999</v>
      </c>
    </row>
    <row r="104" spans="1:13" x14ac:dyDescent="0.25">
      <c r="A104" s="665"/>
      <c r="B104" s="665"/>
      <c r="C104" s="665"/>
      <c r="D104" s="665"/>
      <c r="E104" s="665"/>
      <c r="F104" s="665"/>
      <c r="G104" s="665"/>
      <c r="H104" s="665" t="s">
        <v>1263</v>
      </c>
      <c r="I104" s="665"/>
      <c r="J104" s="666">
        <v>0</v>
      </c>
      <c r="K104" s="666">
        <v>17500</v>
      </c>
      <c r="L104" s="666">
        <v>8400</v>
      </c>
      <c r="M104" s="666">
        <f>ROUND(SUM(J104:L104),5)</f>
        <v>25900</v>
      </c>
    </row>
    <row r="105" spans="1:13" x14ac:dyDescent="0.25">
      <c r="A105" s="665"/>
      <c r="B105" s="665"/>
      <c r="C105" s="665"/>
      <c r="D105" s="665"/>
      <c r="E105" s="665"/>
      <c r="F105" s="665"/>
      <c r="G105" s="665"/>
      <c r="H105" s="665" t="s">
        <v>1264</v>
      </c>
      <c r="I105" s="665"/>
      <c r="J105" s="666">
        <v>51979.28</v>
      </c>
      <c r="K105" s="666">
        <v>2325</v>
      </c>
      <c r="L105" s="666">
        <v>3139</v>
      </c>
      <c r="M105" s="666">
        <f>ROUND(SUM(J105:L105),5)</f>
        <v>57443.28</v>
      </c>
    </row>
    <row r="106" spans="1:13" x14ac:dyDescent="0.25">
      <c r="A106" s="665"/>
      <c r="B106" s="665"/>
      <c r="C106" s="665"/>
      <c r="D106" s="665"/>
      <c r="E106" s="665"/>
      <c r="F106" s="665"/>
      <c r="G106" s="665"/>
      <c r="H106" s="665" t="s">
        <v>1265</v>
      </c>
      <c r="I106" s="665"/>
      <c r="J106" s="666">
        <v>56964</v>
      </c>
      <c r="K106" s="666">
        <v>50914</v>
      </c>
      <c r="L106" s="666">
        <v>65287</v>
      </c>
      <c r="M106" s="666">
        <f>ROUND(SUM(J106:L106),5)</f>
        <v>173165</v>
      </c>
    </row>
    <row r="107" spans="1:13" x14ac:dyDescent="0.25">
      <c r="A107" s="665"/>
      <c r="B107" s="665"/>
      <c r="C107" s="665"/>
      <c r="D107" s="665"/>
      <c r="E107" s="665"/>
      <c r="F107" s="665"/>
      <c r="G107" s="665"/>
      <c r="H107" s="665" t="s">
        <v>1266</v>
      </c>
      <c r="I107" s="665"/>
      <c r="J107" s="666">
        <v>1541</v>
      </c>
      <c r="K107" s="666">
        <v>3162.5</v>
      </c>
      <c r="L107" s="666">
        <v>2403.5</v>
      </c>
      <c r="M107" s="666">
        <f>ROUND(SUM(J107:L107),5)</f>
        <v>7107</v>
      </c>
    </row>
    <row r="108" spans="1:13" x14ac:dyDescent="0.25">
      <c r="A108" s="665"/>
      <c r="B108" s="665"/>
      <c r="C108" s="665"/>
      <c r="D108" s="665"/>
      <c r="E108" s="665"/>
      <c r="F108" s="665"/>
      <c r="G108" s="665"/>
      <c r="H108" s="665" t="s">
        <v>1267</v>
      </c>
      <c r="I108" s="665"/>
      <c r="J108" s="666">
        <v>7180.8</v>
      </c>
      <c r="K108" s="666">
        <v>6956.4</v>
      </c>
      <c r="L108" s="666">
        <v>7819.6</v>
      </c>
      <c r="M108" s="666">
        <f>ROUND(SUM(J108:L108),5)</f>
        <v>21956.799999999999</v>
      </c>
    </row>
    <row r="109" spans="1:13" x14ac:dyDescent="0.25">
      <c r="A109" s="665"/>
      <c r="B109" s="665"/>
      <c r="C109" s="665"/>
      <c r="D109" s="665"/>
      <c r="E109" s="665"/>
      <c r="F109" s="665"/>
      <c r="G109" s="665"/>
      <c r="H109" s="665" t="s">
        <v>1268</v>
      </c>
      <c r="I109" s="665"/>
      <c r="J109" s="666">
        <v>0</v>
      </c>
      <c r="K109" s="666">
        <v>80000</v>
      </c>
      <c r="L109" s="666">
        <v>11500</v>
      </c>
      <c r="M109" s="666">
        <f>ROUND(SUM(J109:L109),5)</f>
        <v>91500</v>
      </c>
    </row>
    <row r="110" spans="1:13" x14ac:dyDescent="0.25">
      <c r="A110" s="665"/>
      <c r="B110" s="665"/>
      <c r="C110" s="665"/>
      <c r="D110" s="665"/>
      <c r="E110" s="665"/>
      <c r="F110" s="665"/>
      <c r="G110" s="665"/>
      <c r="H110" s="665" t="s">
        <v>1269</v>
      </c>
      <c r="I110" s="665"/>
      <c r="J110" s="666">
        <v>0</v>
      </c>
      <c r="K110" s="666">
        <v>7400</v>
      </c>
      <c r="L110" s="666">
        <v>0</v>
      </c>
      <c r="M110" s="666">
        <f>ROUND(SUM(J110:L110),5)</f>
        <v>7400</v>
      </c>
    </row>
    <row r="111" spans="1:13" x14ac:dyDescent="0.25">
      <c r="A111" s="665"/>
      <c r="B111" s="665"/>
      <c r="C111" s="665"/>
      <c r="D111" s="665"/>
      <c r="E111" s="665"/>
      <c r="F111" s="665"/>
      <c r="G111" s="665"/>
      <c r="H111" s="665" t="s">
        <v>1270</v>
      </c>
      <c r="I111" s="665"/>
      <c r="J111" s="666">
        <v>0</v>
      </c>
      <c r="K111" s="666">
        <v>1430</v>
      </c>
      <c r="L111" s="666">
        <v>0</v>
      </c>
      <c r="M111" s="666">
        <f>ROUND(SUM(J111:L111),5)</f>
        <v>1430</v>
      </c>
    </row>
    <row r="112" spans="1:13" x14ac:dyDescent="0.25">
      <c r="A112" s="665"/>
      <c r="B112" s="665"/>
      <c r="C112" s="665"/>
      <c r="D112" s="665"/>
      <c r="E112" s="665"/>
      <c r="F112" s="665"/>
      <c r="G112" s="665"/>
      <c r="H112" s="665" t="s">
        <v>1272</v>
      </c>
      <c r="I112" s="665"/>
      <c r="J112" s="666">
        <v>14850</v>
      </c>
      <c r="K112" s="666">
        <v>7485</v>
      </c>
      <c r="L112" s="666">
        <v>7200</v>
      </c>
      <c r="M112" s="666">
        <f>ROUND(SUM(J112:L112),5)</f>
        <v>29535</v>
      </c>
    </row>
    <row r="113" spans="1:13" ht="15.75" thickBot="1" x14ac:dyDescent="0.3">
      <c r="A113" s="665"/>
      <c r="B113" s="665"/>
      <c r="C113" s="665"/>
      <c r="D113" s="665"/>
      <c r="E113" s="665"/>
      <c r="F113" s="665"/>
      <c r="G113" s="665"/>
      <c r="H113" s="665" t="s">
        <v>1273</v>
      </c>
      <c r="I113" s="665"/>
      <c r="J113" s="668">
        <v>16103.89</v>
      </c>
      <c r="K113" s="668">
        <v>17400</v>
      </c>
      <c r="L113" s="668">
        <v>900</v>
      </c>
      <c r="M113" s="668">
        <f>ROUND(SUM(J113:L113),5)</f>
        <v>34403.89</v>
      </c>
    </row>
    <row r="114" spans="1:13" x14ac:dyDescent="0.25">
      <c r="A114" s="665"/>
      <c r="B114" s="665"/>
      <c r="C114" s="665"/>
      <c r="D114" s="665"/>
      <c r="E114" s="665"/>
      <c r="F114" s="665"/>
      <c r="G114" s="665" t="s">
        <v>1275</v>
      </c>
      <c r="H114" s="665"/>
      <c r="I114" s="665"/>
      <c r="J114" s="666">
        <f>ROUND(SUM(J100:J113),5)</f>
        <v>241655.77</v>
      </c>
      <c r="K114" s="666">
        <f>ROUND(SUM(K100:K113),5)</f>
        <v>238612.1</v>
      </c>
      <c r="L114" s="666">
        <f>ROUND(SUM(L100:L113),5)</f>
        <v>170554.9</v>
      </c>
      <c r="M114" s="666">
        <f>ROUND(SUM(J114:L114),5)</f>
        <v>650822.77</v>
      </c>
    </row>
    <row r="115" spans="1:13" x14ac:dyDescent="0.25">
      <c r="A115" s="665"/>
      <c r="B115" s="665"/>
      <c r="C115" s="665"/>
      <c r="D115" s="665"/>
      <c r="E115" s="665"/>
      <c r="F115" s="665"/>
      <c r="G115" s="665" t="s">
        <v>1276</v>
      </c>
      <c r="H115" s="665"/>
      <c r="I115" s="665"/>
      <c r="J115" s="666"/>
      <c r="K115" s="666"/>
      <c r="L115" s="666"/>
      <c r="M115" s="666"/>
    </row>
    <row r="116" spans="1:13" x14ac:dyDescent="0.25">
      <c r="A116" s="665"/>
      <c r="B116" s="665"/>
      <c r="C116" s="665"/>
      <c r="D116" s="665"/>
      <c r="E116" s="665"/>
      <c r="F116" s="665"/>
      <c r="G116" s="665"/>
      <c r="H116" s="665" t="s">
        <v>1277</v>
      </c>
      <c r="I116" s="665"/>
      <c r="J116" s="666">
        <v>47500</v>
      </c>
      <c r="K116" s="666">
        <v>47500</v>
      </c>
      <c r="L116" s="666">
        <v>47500</v>
      </c>
      <c r="M116" s="666">
        <f>ROUND(SUM(J116:L116),5)</f>
        <v>142500</v>
      </c>
    </row>
    <row r="117" spans="1:13" x14ac:dyDescent="0.25">
      <c r="A117" s="665"/>
      <c r="B117" s="665"/>
      <c r="C117" s="665"/>
      <c r="D117" s="665"/>
      <c r="E117" s="665"/>
      <c r="F117" s="665"/>
      <c r="G117" s="665"/>
      <c r="H117" s="665" t="s">
        <v>1278</v>
      </c>
      <c r="I117" s="665"/>
      <c r="J117" s="666">
        <v>5700</v>
      </c>
      <c r="K117" s="666">
        <v>5700</v>
      </c>
      <c r="L117" s="666">
        <v>5700</v>
      </c>
      <c r="M117" s="666">
        <f>ROUND(SUM(J117:L117),5)</f>
        <v>17100</v>
      </c>
    </row>
    <row r="118" spans="1:13" x14ac:dyDescent="0.25">
      <c r="A118" s="665"/>
      <c r="B118" s="665"/>
      <c r="C118" s="665"/>
      <c r="D118" s="665"/>
      <c r="E118" s="665"/>
      <c r="F118" s="665"/>
      <c r="G118" s="665"/>
      <c r="H118" s="665" t="s">
        <v>1279</v>
      </c>
      <c r="I118" s="665"/>
      <c r="J118" s="666">
        <v>1425</v>
      </c>
      <c r="K118" s="666">
        <v>1425</v>
      </c>
      <c r="L118" s="666">
        <v>1425</v>
      </c>
      <c r="M118" s="666">
        <f>ROUND(SUM(J118:L118),5)</f>
        <v>4275</v>
      </c>
    </row>
    <row r="119" spans="1:13" ht="15.75" thickBot="1" x14ac:dyDescent="0.3">
      <c r="A119" s="665"/>
      <c r="B119" s="665"/>
      <c r="C119" s="665"/>
      <c r="D119" s="665"/>
      <c r="E119" s="665"/>
      <c r="F119" s="665"/>
      <c r="G119" s="665"/>
      <c r="H119" s="665" t="s">
        <v>1280</v>
      </c>
      <c r="I119" s="665"/>
      <c r="J119" s="668">
        <v>17500</v>
      </c>
      <c r="K119" s="668">
        <v>17500</v>
      </c>
      <c r="L119" s="668">
        <v>17500</v>
      </c>
      <c r="M119" s="668">
        <f>ROUND(SUM(J119:L119),5)</f>
        <v>52500</v>
      </c>
    </row>
    <row r="120" spans="1:13" x14ac:dyDescent="0.25">
      <c r="A120" s="665"/>
      <c r="B120" s="665"/>
      <c r="C120" s="665"/>
      <c r="D120" s="665"/>
      <c r="E120" s="665"/>
      <c r="F120" s="665"/>
      <c r="G120" s="665" t="s">
        <v>1283</v>
      </c>
      <c r="H120" s="665"/>
      <c r="I120" s="665"/>
      <c r="J120" s="666">
        <f>ROUND(SUM(J115:J119),5)</f>
        <v>72125</v>
      </c>
      <c r="K120" s="666">
        <f>ROUND(SUM(K115:K119),5)</f>
        <v>72125</v>
      </c>
      <c r="L120" s="666">
        <f>ROUND(SUM(L115:L119),5)</f>
        <v>72125</v>
      </c>
      <c r="M120" s="666">
        <f>ROUND(SUM(J120:L120),5)</f>
        <v>216375</v>
      </c>
    </row>
    <row r="121" spans="1:13" x14ac:dyDescent="0.25">
      <c r="A121" s="665"/>
      <c r="B121" s="665"/>
      <c r="C121" s="665"/>
      <c r="D121" s="665"/>
      <c r="E121" s="665"/>
      <c r="F121" s="665"/>
      <c r="G121" s="665" t="s">
        <v>1284</v>
      </c>
      <c r="H121" s="665"/>
      <c r="I121" s="665"/>
      <c r="J121" s="666"/>
      <c r="K121" s="666"/>
      <c r="L121" s="666"/>
      <c r="M121" s="666"/>
    </row>
    <row r="122" spans="1:13" x14ac:dyDescent="0.25">
      <c r="A122" s="665"/>
      <c r="B122" s="665"/>
      <c r="C122" s="665"/>
      <c r="D122" s="665"/>
      <c r="E122" s="665"/>
      <c r="F122" s="665"/>
      <c r="G122" s="665"/>
      <c r="H122" s="665" t="s">
        <v>1285</v>
      </c>
      <c r="I122" s="665"/>
      <c r="J122" s="666">
        <v>-3246.48</v>
      </c>
      <c r="K122" s="666">
        <v>0</v>
      </c>
      <c r="L122" s="666">
        <v>0</v>
      </c>
      <c r="M122" s="666">
        <f>ROUND(SUM(J122:L122),5)</f>
        <v>-3246.48</v>
      </c>
    </row>
    <row r="123" spans="1:13" ht="15.75" thickBot="1" x14ac:dyDescent="0.3">
      <c r="A123" s="665"/>
      <c r="B123" s="665"/>
      <c r="C123" s="665"/>
      <c r="D123" s="665"/>
      <c r="E123" s="665"/>
      <c r="F123" s="665"/>
      <c r="G123" s="665"/>
      <c r="H123" s="665" t="s">
        <v>1287</v>
      </c>
      <c r="I123" s="665"/>
      <c r="J123" s="668">
        <v>1409.79</v>
      </c>
      <c r="K123" s="668">
        <v>3082.46</v>
      </c>
      <c r="L123" s="668">
        <v>2031.68</v>
      </c>
      <c r="M123" s="668">
        <f>ROUND(SUM(J123:L123),5)</f>
        <v>6523.93</v>
      </c>
    </row>
    <row r="124" spans="1:13" x14ac:dyDescent="0.25">
      <c r="A124" s="665"/>
      <c r="B124" s="665"/>
      <c r="C124" s="665"/>
      <c r="D124" s="665"/>
      <c r="E124" s="665"/>
      <c r="F124" s="665"/>
      <c r="G124" s="665" t="s">
        <v>1289</v>
      </c>
      <c r="H124" s="665"/>
      <c r="I124" s="665"/>
      <c r="J124" s="666">
        <f>ROUND(SUM(J121:J123),5)</f>
        <v>-1836.69</v>
      </c>
      <c r="K124" s="666">
        <f>ROUND(SUM(K121:K123),5)</f>
        <v>3082.46</v>
      </c>
      <c r="L124" s="666">
        <f>ROUND(SUM(L121:L123),5)</f>
        <v>2031.68</v>
      </c>
      <c r="M124" s="666">
        <f>ROUND(SUM(J124:L124),5)</f>
        <v>3277.45</v>
      </c>
    </row>
    <row r="125" spans="1:13" x14ac:dyDescent="0.25">
      <c r="A125" s="665"/>
      <c r="B125" s="665"/>
      <c r="C125" s="665"/>
      <c r="D125" s="665"/>
      <c r="E125" s="665"/>
      <c r="F125" s="665"/>
      <c r="G125" s="665" t="s">
        <v>1290</v>
      </c>
      <c r="H125" s="665"/>
      <c r="I125" s="665"/>
      <c r="J125" s="666"/>
      <c r="K125" s="666"/>
      <c r="L125" s="666"/>
      <c r="M125" s="666"/>
    </row>
    <row r="126" spans="1:13" x14ac:dyDescent="0.25">
      <c r="A126" s="665"/>
      <c r="B126" s="665"/>
      <c r="C126" s="665"/>
      <c r="D126" s="665"/>
      <c r="E126" s="665"/>
      <c r="F126" s="665"/>
      <c r="G126" s="665"/>
      <c r="H126" s="665" t="s">
        <v>1291</v>
      </c>
      <c r="I126" s="665"/>
      <c r="J126" s="666">
        <v>0</v>
      </c>
      <c r="K126" s="666">
        <v>27500</v>
      </c>
      <c r="L126" s="666">
        <v>0</v>
      </c>
      <c r="M126" s="666">
        <f>ROUND(SUM(J126:L126),5)</f>
        <v>27500</v>
      </c>
    </row>
    <row r="127" spans="1:13" x14ac:dyDescent="0.25">
      <c r="A127" s="665"/>
      <c r="B127" s="665"/>
      <c r="C127" s="665"/>
      <c r="D127" s="665"/>
      <c r="E127" s="665"/>
      <c r="F127" s="665"/>
      <c r="G127" s="665"/>
      <c r="H127" s="665" t="s">
        <v>1292</v>
      </c>
      <c r="I127" s="665"/>
      <c r="J127" s="666">
        <v>25005</v>
      </c>
      <c r="K127" s="666">
        <v>0</v>
      </c>
      <c r="L127" s="666">
        <v>65770</v>
      </c>
      <c r="M127" s="666">
        <f>ROUND(SUM(J127:L127),5)</f>
        <v>90775</v>
      </c>
    </row>
    <row r="128" spans="1:13" x14ac:dyDescent="0.25">
      <c r="A128" s="665"/>
      <c r="B128" s="665"/>
      <c r="C128" s="665"/>
      <c r="D128" s="665"/>
      <c r="E128" s="665"/>
      <c r="F128" s="665"/>
      <c r="G128" s="665"/>
      <c r="H128" s="665" t="s">
        <v>1293</v>
      </c>
      <c r="I128" s="665"/>
      <c r="J128" s="666">
        <v>0</v>
      </c>
      <c r="K128" s="666">
        <v>6000</v>
      </c>
      <c r="L128" s="666">
        <v>14780</v>
      </c>
      <c r="M128" s="666">
        <f>ROUND(SUM(J128:L128),5)</f>
        <v>20780</v>
      </c>
    </row>
    <row r="129" spans="1:15" x14ac:dyDescent="0.25">
      <c r="A129" s="665"/>
      <c r="B129" s="665"/>
      <c r="C129" s="665"/>
      <c r="D129" s="665"/>
      <c r="E129" s="665"/>
      <c r="F129" s="665"/>
      <c r="G129" s="665"/>
      <c r="H129" s="665" t="s">
        <v>1294</v>
      </c>
      <c r="I129" s="665"/>
      <c r="J129" s="666">
        <v>1000</v>
      </c>
      <c r="K129" s="666">
        <v>0</v>
      </c>
      <c r="L129" s="666">
        <v>0</v>
      </c>
      <c r="M129" s="666">
        <f>ROUND(SUM(J129:L129),5)</f>
        <v>1000</v>
      </c>
    </row>
    <row r="130" spans="1:15" ht="15.75" thickBot="1" x14ac:dyDescent="0.3">
      <c r="A130" s="665"/>
      <c r="B130" s="665"/>
      <c r="C130" s="665"/>
      <c r="D130" s="665"/>
      <c r="E130" s="665"/>
      <c r="F130" s="665"/>
      <c r="G130" s="665"/>
      <c r="H130" s="665" t="s">
        <v>1565</v>
      </c>
      <c r="I130" s="665"/>
      <c r="J130" s="668">
        <v>0</v>
      </c>
      <c r="K130" s="668">
        <v>12000</v>
      </c>
      <c r="L130" s="668">
        <v>0</v>
      </c>
      <c r="M130" s="668">
        <f>ROUND(SUM(J130:L130),5)</f>
        <v>12000</v>
      </c>
    </row>
    <row r="131" spans="1:15" x14ac:dyDescent="0.25">
      <c r="A131" s="665"/>
      <c r="B131" s="665"/>
      <c r="C131" s="665"/>
      <c r="D131" s="665"/>
      <c r="E131" s="665"/>
      <c r="F131" s="665"/>
      <c r="G131" s="665" t="s">
        <v>1295</v>
      </c>
      <c r="H131" s="665"/>
      <c r="I131" s="665"/>
      <c r="J131" s="666">
        <f>ROUND(SUM(J125:J130),5)</f>
        <v>26005</v>
      </c>
      <c r="K131" s="666">
        <f>ROUND(SUM(K125:K130),5)</f>
        <v>45500</v>
      </c>
      <c r="L131" s="666">
        <f>ROUND(SUM(L125:L130),5)</f>
        <v>80550</v>
      </c>
      <c r="M131" s="666">
        <f>ROUND(SUM(J131:L131),5)</f>
        <v>152055</v>
      </c>
    </row>
    <row r="132" spans="1:15" x14ac:dyDescent="0.25">
      <c r="A132" s="665"/>
      <c r="B132" s="665"/>
      <c r="C132" s="665"/>
      <c r="D132" s="665"/>
      <c r="E132" s="665"/>
      <c r="F132" s="665"/>
      <c r="G132" s="665" t="s">
        <v>1296</v>
      </c>
      <c r="H132" s="665"/>
      <c r="I132" s="665"/>
      <c r="J132" s="666"/>
      <c r="K132" s="666"/>
      <c r="L132" s="666"/>
      <c r="M132" s="666"/>
    </row>
    <row r="133" spans="1:15" x14ac:dyDescent="0.25">
      <c r="A133" s="665"/>
      <c r="B133" s="665"/>
      <c r="C133" s="665"/>
      <c r="D133" s="665"/>
      <c r="E133" s="665"/>
      <c r="F133" s="665"/>
      <c r="G133" s="665"/>
      <c r="H133" s="665" t="s">
        <v>1297</v>
      </c>
      <c r="I133" s="665"/>
      <c r="J133" s="666">
        <v>2449</v>
      </c>
      <c r="K133" s="666">
        <v>26094</v>
      </c>
      <c r="L133" s="666">
        <v>10099</v>
      </c>
      <c r="M133" s="666">
        <f>ROUND(SUM(J133:L133),5)</f>
        <v>38642</v>
      </c>
    </row>
    <row r="134" spans="1:15" x14ac:dyDescent="0.25">
      <c r="A134" s="665"/>
      <c r="B134" s="665"/>
      <c r="C134" s="665"/>
      <c r="D134" s="665"/>
      <c r="E134" s="665"/>
      <c r="F134" s="665"/>
      <c r="G134" s="665"/>
      <c r="H134" s="665" t="s">
        <v>1298</v>
      </c>
      <c r="I134" s="665"/>
      <c r="J134" s="666">
        <v>23646</v>
      </c>
      <c r="K134" s="666">
        <v>47915</v>
      </c>
      <c r="L134" s="666">
        <v>17859</v>
      </c>
      <c r="M134" s="666">
        <f>ROUND(SUM(J134:L134),5)</f>
        <v>89420</v>
      </c>
    </row>
    <row r="135" spans="1:15" x14ac:dyDescent="0.25">
      <c r="A135" s="665"/>
      <c r="B135" s="665"/>
      <c r="C135" s="665"/>
      <c r="D135" s="665"/>
      <c r="E135" s="665"/>
      <c r="F135" s="665"/>
      <c r="G135" s="665"/>
      <c r="H135" s="665" t="s">
        <v>1299</v>
      </c>
      <c r="I135" s="665"/>
      <c r="J135" s="666">
        <v>3250</v>
      </c>
      <c r="K135" s="666">
        <v>1780</v>
      </c>
      <c r="L135" s="666">
        <v>3160</v>
      </c>
      <c r="M135" s="666">
        <f>ROUND(SUM(J135:L135),5)</f>
        <v>8190</v>
      </c>
    </row>
    <row r="136" spans="1:15" x14ac:dyDescent="0.25">
      <c r="A136" s="665"/>
      <c r="B136" s="665"/>
      <c r="C136" s="665"/>
      <c r="D136" s="665"/>
      <c r="E136" s="665"/>
      <c r="F136" s="665"/>
      <c r="G136" s="665"/>
      <c r="H136" s="665" t="s">
        <v>1300</v>
      </c>
      <c r="I136" s="665"/>
      <c r="J136" s="666">
        <v>0</v>
      </c>
      <c r="K136" s="666">
        <v>0</v>
      </c>
      <c r="L136" s="666">
        <v>52020</v>
      </c>
      <c r="M136" s="666">
        <f>ROUND(SUM(J136:L136),5)</f>
        <v>52020</v>
      </c>
    </row>
    <row r="137" spans="1:15" x14ac:dyDescent="0.25">
      <c r="A137" s="665"/>
      <c r="B137" s="665"/>
      <c r="C137" s="665"/>
      <c r="D137" s="665"/>
      <c r="E137" s="665"/>
      <c r="F137" s="665"/>
      <c r="G137" s="665"/>
      <c r="H137" s="665" t="s">
        <v>1301</v>
      </c>
      <c r="I137" s="665"/>
      <c r="J137" s="666">
        <v>4000</v>
      </c>
      <c r="K137" s="666">
        <v>0</v>
      </c>
      <c r="L137" s="666">
        <v>0</v>
      </c>
      <c r="M137" s="666">
        <f>ROUND(SUM(J137:L137),5)</f>
        <v>4000</v>
      </c>
    </row>
    <row r="138" spans="1:15" x14ac:dyDescent="0.25">
      <c r="A138" s="665"/>
      <c r="B138" s="665"/>
      <c r="C138" s="665"/>
      <c r="D138" s="665"/>
      <c r="E138" s="665"/>
      <c r="F138" s="665"/>
      <c r="G138" s="665"/>
      <c r="H138" s="665" t="s">
        <v>755</v>
      </c>
      <c r="I138" s="665"/>
      <c r="J138" s="666">
        <v>57395.31</v>
      </c>
      <c r="K138" s="666">
        <v>57395.31</v>
      </c>
      <c r="L138" s="666">
        <v>57395.31</v>
      </c>
      <c r="M138" s="666">
        <f>ROUND(SUM(J138:L138),5)</f>
        <v>172185.93</v>
      </c>
      <c r="N138" s="679"/>
      <c r="O138" s="679">
        <f>+M138</f>
        <v>172185.93</v>
      </c>
    </row>
    <row r="139" spans="1:15" ht="15.75" thickBot="1" x14ac:dyDescent="0.3">
      <c r="A139" s="665"/>
      <c r="B139" s="665"/>
      <c r="C139" s="665"/>
      <c r="D139" s="665"/>
      <c r="E139" s="665"/>
      <c r="F139" s="665"/>
      <c r="G139" s="665"/>
      <c r="H139" s="665" t="s">
        <v>756</v>
      </c>
      <c r="I139" s="665"/>
      <c r="J139" s="668">
        <v>63272.31</v>
      </c>
      <c r="K139" s="668">
        <v>63272.31</v>
      </c>
      <c r="L139" s="668">
        <v>63272.31</v>
      </c>
      <c r="M139" s="668">
        <f>ROUND(SUM(J139:L139),5)</f>
        <v>189816.93</v>
      </c>
    </row>
    <row r="140" spans="1:15" x14ac:dyDescent="0.25">
      <c r="A140" s="665"/>
      <c r="B140" s="665"/>
      <c r="C140" s="665"/>
      <c r="D140" s="665"/>
      <c r="E140" s="665"/>
      <c r="F140" s="665"/>
      <c r="G140" s="665" t="s">
        <v>1303</v>
      </c>
      <c r="H140" s="665"/>
      <c r="I140" s="665"/>
      <c r="J140" s="666">
        <f>ROUND(SUM(J132:J139),5)</f>
        <v>154012.62</v>
      </c>
      <c r="K140" s="666">
        <f>ROUND(SUM(K132:K139),5)</f>
        <v>196456.62</v>
      </c>
      <c r="L140" s="666">
        <f>ROUND(SUM(L132:L139),5)</f>
        <v>203805.62</v>
      </c>
      <c r="M140" s="666">
        <f>ROUND(SUM(J140:L140),5)</f>
        <v>554274.86</v>
      </c>
    </row>
    <row r="141" spans="1:15" x14ac:dyDescent="0.25">
      <c r="A141" s="665"/>
      <c r="B141" s="665"/>
      <c r="C141" s="665"/>
      <c r="D141" s="665"/>
      <c r="E141" s="665"/>
      <c r="F141" s="665"/>
      <c r="G141" s="665" t="s">
        <v>1304</v>
      </c>
      <c r="H141" s="665"/>
      <c r="I141" s="665"/>
      <c r="J141" s="666"/>
      <c r="K141" s="666"/>
      <c r="L141" s="666"/>
      <c r="M141" s="666"/>
    </row>
    <row r="142" spans="1:15" x14ac:dyDescent="0.25">
      <c r="A142" s="665"/>
      <c r="B142" s="665"/>
      <c r="C142" s="665"/>
      <c r="D142" s="665"/>
      <c r="E142" s="665"/>
      <c r="F142" s="665"/>
      <c r="G142" s="665"/>
      <c r="H142" s="665" t="s">
        <v>1305</v>
      </c>
      <c r="I142" s="665"/>
      <c r="J142" s="666">
        <v>330</v>
      </c>
      <c r="K142" s="666">
        <v>0</v>
      </c>
      <c r="L142" s="666">
        <v>5000</v>
      </c>
      <c r="M142" s="666">
        <f>ROUND(SUM(J142:L142),5)</f>
        <v>5330</v>
      </c>
    </row>
    <row r="143" spans="1:15" x14ac:dyDescent="0.25">
      <c r="A143" s="665"/>
      <c r="B143" s="665"/>
      <c r="C143" s="665"/>
      <c r="D143" s="665"/>
      <c r="E143" s="665"/>
      <c r="F143" s="665"/>
      <c r="G143" s="665"/>
      <c r="H143" s="665" t="s">
        <v>1306</v>
      </c>
      <c r="I143" s="665"/>
      <c r="J143" s="666">
        <v>34777.68</v>
      </c>
      <c r="K143" s="666">
        <v>0</v>
      </c>
      <c r="L143" s="666">
        <v>411</v>
      </c>
      <c r="M143" s="666">
        <f>ROUND(SUM(J143:L143),5)</f>
        <v>35188.68</v>
      </c>
    </row>
    <row r="144" spans="1:15" ht="15.75" thickBot="1" x14ac:dyDescent="0.3">
      <c r="A144" s="665"/>
      <c r="B144" s="665"/>
      <c r="C144" s="665"/>
      <c r="D144" s="665"/>
      <c r="E144" s="665"/>
      <c r="F144" s="665"/>
      <c r="G144" s="665"/>
      <c r="H144" s="665" t="s">
        <v>1307</v>
      </c>
      <c r="I144" s="665"/>
      <c r="J144" s="669">
        <v>2000</v>
      </c>
      <c r="K144" s="669">
        <v>950</v>
      </c>
      <c r="L144" s="669">
        <v>0</v>
      </c>
      <c r="M144" s="669">
        <f>ROUND(SUM(J144:L144),5)</f>
        <v>2950</v>
      </c>
    </row>
    <row r="145" spans="1:15" ht="15.75" thickBot="1" x14ac:dyDescent="0.3">
      <c r="A145" s="665"/>
      <c r="B145" s="665"/>
      <c r="C145" s="665"/>
      <c r="D145" s="665"/>
      <c r="E145" s="665"/>
      <c r="F145" s="665"/>
      <c r="G145" s="665" t="s">
        <v>1308</v>
      </c>
      <c r="H145" s="665"/>
      <c r="I145" s="665"/>
      <c r="J145" s="670">
        <f>ROUND(SUM(J141:J144),5)</f>
        <v>37107.68</v>
      </c>
      <c r="K145" s="670">
        <f>ROUND(SUM(K141:K144),5)</f>
        <v>950</v>
      </c>
      <c r="L145" s="670">
        <f>ROUND(SUM(L141:L144),5)</f>
        <v>5411</v>
      </c>
      <c r="M145" s="670">
        <f>ROUND(SUM(J145:L145),5)</f>
        <v>43468.68</v>
      </c>
    </row>
    <row r="146" spans="1:15" x14ac:dyDescent="0.25">
      <c r="A146" s="665"/>
      <c r="B146" s="665"/>
      <c r="C146" s="665"/>
      <c r="D146" s="665"/>
      <c r="E146" s="665"/>
      <c r="F146" s="665" t="s">
        <v>1310</v>
      </c>
      <c r="G146" s="665"/>
      <c r="H146" s="665"/>
      <c r="I146" s="665"/>
      <c r="J146" s="666">
        <f>ROUND(J99+J114+J120+J124+J131+J140+J145,5)</f>
        <v>529069.38</v>
      </c>
      <c r="K146" s="666">
        <f>ROUND(K99+K114+K120+K124+K131+K140+K145,5)</f>
        <v>556726.18000000005</v>
      </c>
      <c r="L146" s="666">
        <f>ROUND(L99+L114+L120+L124+L131+L140+L145,5)</f>
        <v>534478.19999999995</v>
      </c>
      <c r="M146" s="666">
        <f>ROUND(SUM(J146:L146),5)</f>
        <v>1620273.76</v>
      </c>
    </row>
    <row r="147" spans="1:15" x14ac:dyDescent="0.25">
      <c r="A147" s="665"/>
      <c r="B147" s="665"/>
      <c r="C147" s="665"/>
      <c r="D147" s="665"/>
      <c r="E147" s="665"/>
      <c r="F147" s="665" t="s">
        <v>1311</v>
      </c>
      <c r="G147" s="665"/>
      <c r="H147" s="665"/>
      <c r="I147" s="665"/>
      <c r="J147" s="666"/>
      <c r="K147" s="666"/>
      <c r="L147" s="666"/>
      <c r="M147" s="666"/>
    </row>
    <row r="148" spans="1:15" x14ac:dyDescent="0.25">
      <c r="A148" s="665"/>
      <c r="B148" s="665"/>
      <c r="C148" s="665"/>
      <c r="D148" s="665"/>
      <c r="E148" s="665"/>
      <c r="F148" s="665"/>
      <c r="G148" s="665" t="s">
        <v>1312</v>
      </c>
      <c r="H148" s="665"/>
      <c r="I148" s="665"/>
      <c r="J148" s="666"/>
      <c r="K148" s="666"/>
      <c r="L148" s="666"/>
      <c r="M148" s="666"/>
    </row>
    <row r="149" spans="1:15" x14ac:dyDescent="0.25">
      <c r="A149" s="665"/>
      <c r="B149" s="665"/>
      <c r="C149" s="665"/>
      <c r="D149" s="665"/>
      <c r="E149" s="665"/>
      <c r="F149" s="665"/>
      <c r="G149" s="665"/>
      <c r="H149" s="665" t="s">
        <v>1313</v>
      </c>
      <c r="I149" s="665"/>
      <c r="J149" s="666">
        <v>5300</v>
      </c>
      <c r="K149" s="666">
        <v>4800</v>
      </c>
      <c r="L149" s="666">
        <v>4200</v>
      </c>
      <c r="M149" s="666">
        <f>ROUND(SUM(J149:L149),5)</f>
        <v>14300</v>
      </c>
    </row>
    <row r="150" spans="1:15" x14ac:dyDescent="0.25">
      <c r="A150" s="665"/>
      <c r="B150" s="665"/>
      <c r="C150" s="665"/>
      <c r="D150" s="665"/>
      <c r="E150" s="665"/>
      <c r="F150" s="665"/>
      <c r="G150" s="665"/>
      <c r="H150" s="665" t="s">
        <v>1314</v>
      </c>
      <c r="I150" s="665"/>
      <c r="J150" s="666">
        <v>12181</v>
      </c>
      <c r="K150" s="666">
        <v>14031</v>
      </c>
      <c r="L150" s="666">
        <v>11492</v>
      </c>
      <c r="M150" s="666">
        <f>ROUND(SUM(J150:L150),5)</f>
        <v>37704</v>
      </c>
    </row>
    <row r="151" spans="1:15" x14ac:dyDescent="0.25">
      <c r="A151" s="665"/>
      <c r="B151" s="665"/>
      <c r="C151" s="665"/>
      <c r="D151" s="665"/>
      <c r="E151" s="665"/>
      <c r="F151" s="665"/>
      <c r="G151" s="665"/>
      <c r="H151" s="665" t="s">
        <v>1316</v>
      </c>
      <c r="I151" s="665"/>
      <c r="J151" s="666">
        <v>-907</v>
      </c>
      <c r="K151" s="666">
        <v>0</v>
      </c>
      <c r="L151" s="666">
        <v>0</v>
      </c>
      <c r="M151" s="666">
        <f>ROUND(SUM(J151:L151),5)</f>
        <v>-907</v>
      </c>
    </row>
    <row r="152" spans="1:15" ht="15.75" thickBot="1" x14ac:dyDescent="0.3">
      <c r="A152" s="665"/>
      <c r="B152" s="665"/>
      <c r="C152" s="665"/>
      <c r="D152" s="665"/>
      <c r="E152" s="665"/>
      <c r="F152" s="665"/>
      <c r="G152" s="665"/>
      <c r="H152" s="665" t="s">
        <v>1317</v>
      </c>
      <c r="I152" s="665"/>
      <c r="J152" s="668">
        <v>2100</v>
      </c>
      <c r="K152" s="668">
        <v>0</v>
      </c>
      <c r="L152" s="668">
        <v>7200</v>
      </c>
      <c r="M152" s="668">
        <f>ROUND(SUM(J152:L152),5)</f>
        <v>9300</v>
      </c>
    </row>
    <row r="153" spans="1:15" x14ac:dyDescent="0.25">
      <c r="A153" s="665"/>
      <c r="B153" s="665"/>
      <c r="C153" s="665"/>
      <c r="D153" s="665"/>
      <c r="E153" s="665"/>
      <c r="F153" s="665"/>
      <c r="G153" s="665" t="s">
        <v>1318</v>
      </c>
      <c r="H153" s="665"/>
      <c r="I153" s="665"/>
      <c r="J153" s="666">
        <f>ROUND(SUM(J148:J152),5)</f>
        <v>18674</v>
      </c>
      <c r="K153" s="666">
        <f>ROUND(SUM(K148:K152),5)</f>
        <v>18831</v>
      </c>
      <c r="L153" s="666">
        <f>ROUND(SUM(L148:L152),5)</f>
        <v>22892</v>
      </c>
      <c r="M153" s="666">
        <f>ROUND(SUM(J153:L153),5)</f>
        <v>60397</v>
      </c>
    </row>
    <row r="154" spans="1:15" x14ac:dyDescent="0.25">
      <c r="A154" s="665"/>
      <c r="B154" s="665"/>
      <c r="C154" s="665"/>
      <c r="D154" s="665"/>
      <c r="E154" s="665"/>
      <c r="F154" s="665"/>
      <c r="G154" s="665" t="s">
        <v>1319</v>
      </c>
      <c r="H154" s="665"/>
      <c r="I154" s="665"/>
      <c r="J154" s="666"/>
      <c r="K154" s="666"/>
      <c r="L154" s="666"/>
      <c r="M154" s="666"/>
    </row>
    <row r="155" spans="1:15" x14ac:dyDescent="0.25">
      <c r="A155" s="665"/>
      <c r="B155" s="665"/>
      <c r="C155" s="665"/>
      <c r="D155" s="665"/>
      <c r="E155" s="665"/>
      <c r="F155" s="665"/>
      <c r="G155" s="665"/>
      <c r="H155" s="665" t="s">
        <v>1320</v>
      </c>
      <c r="I155" s="665"/>
      <c r="J155" s="666">
        <v>1325</v>
      </c>
      <c r="K155" s="666">
        <v>1037</v>
      </c>
      <c r="L155" s="666">
        <v>1155</v>
      </c>
      <c r="M155" s="666">
        <f>ROUND(SUM(J155:L155),5)</f>
        <v>3517</v>
      </c>
    </row>
    <row r="156" spans="1:15" x14ac:dyDescent="0.25">
      <c r="A156" s="665"/>
      <c r="B156" s="665"/>
      <c r="C156" s="665"/>
      <c r="D156" s="665"/>
      <c r="E156" s="665"/>
      <c r="F156" s="665"/>
      <c r="G156" s="665"/>
      <c r="H156" s="665" t="s">
        <v>1321</v>
      </c>
      <c r="I156" s="665"/>
      <c r="J156" s="666">
        <v>40315.5</v>
      </c>
      <c r="K156" s="666">
        <v>36414</v>
      </c>
      <c r="L156" s="666">
        <v>40315.5</v>
      </c>
      <c r="M156" s="666">
        <f>ROUND(SUM(J156:L156),5)</f>
        <v>117045</v>
      </c>
    </row>
    <row r="157" spans="1:15" ht="15.75" thickBot="1" x14ac:dyDescent="0.3">
      <c r="A157" s="665"/>
      <c r="B157" s="665"/>
      <c r="C157" s="665"/>
      <c r="D157" s="665"/>
      <c r="E157" s="665"/>
      <c r="F157" s="665"/>
      <c r="G157" s="665"/>
      <c r="H157" s="665" t="s">
        <v>753</v>
      </c>
      <c r="I157" s="665"/>
      <c r="J157" s="669">
        <v>9452.4</v>
      </c>
      <c r="K157" s="669">
        <v>9452.4</v>
      </c>
      <c r="L157" s="669">
        <v>9452.4</v>
      </c>
      <c r="M157" s="669">
        <f>ROUND(SUM(J157:L157),5)</f>
        <v>28357.200000000001</v>
      </c>
      <c r="N157" s="679"/>
      <c r="O157" s="679">
        <f>+M157</f>
        <v>28357.200000000001</v>
      </c>
    </row>
    <row r="158" spans="1:15" ht="15.75" thickBot="1" x14ac:dyDescent="0.3">
      <c r="A158" s="665"/>
      <c r="B158" s="665"/>
      <c r="C158" s="665"/>
      <c r="D158" s="665"/>
      <c r="E158" s="665"/>
      <c r="F158" s="665"/>
      <c r="G158" s="665" t="s">
        <v>1322</v>
      </c>
      <c r="H158" s="665"/>
      <c r="I158" s="665"/>
      <c r="J158" s="670">
        <f>ROUND(SUM(J154:J157),5)</f>
        <v>51092.9</v>
      </c>
      <c r="K158" s="670">
        <f>ROUND(SUM(K154:K157),5)</f>
        <v>46903.4</v>
      </c>
      <c r="L158" s="670">
        <f>ROUND(SUM(L154:L157),5)</f>
        <v>50922.9</v>
      </c>
      <c r="M158" s="670">
        <f>ROUND(SUM(J158:L158),5)</f>
        <v>148919.20000000001</v>
      </c>
    </row>
    <row r="159" spans="1:15" x14ac:dyDescent="0.25">
      <c r="A159" s="665"/>
      <c r="B159" s="665"/>
      <c r="C159" s="665"/>
      <c r="D159" s="665"/>
      <c r="E159" s="665"/>
      <c r="F159" s="665" t="s">
        <v>1323</v>
      </c>
      <c r="G159" s="665"/>
      <c r="H159" s="665"/>
      <c r="I159" s="665"/>
      <c r="J159" s="666">
        <f>ROUND(J147+J153+J158,5)</f>
        <v>69766.899999999994</v>
      </c>
      <c r="K159" s="666">
        <f>ROUND(K147+K153+K158,5)</f>
        <v>65734.399999999994</v>
      </c>
      <c r="L159" s="666">
        <f>ROUND(L147+L153+L158,5)</f>
        <v>73814.899999999994</v>
      </c>
      <c r="M159" s="666">
        <f>ROUND(SUM(J159:L159),5)</f>
        <v>209316.2</v>
      </c>
    </row>
    <row r="160" spans="1:15" x14ac:dyDescent="0.25">
      <c r="A160" s="665"/>
      <c r="B160" s="665"/>
      <c r="C160" s="665"/>
      <c r="D160" s="665"/>
      <c r="E160" s="665"/>
      <c r="F160" s="665" t="s">
        <v>1324</v>
      </c>
      <c r="G160" s="665"/>
      <c r="H160" s="665"/>
      <c r="I160" s="665"/>
      <c r="J160" s="666"/>
      <c r="K160" s="666"/>
      <c r="L160" s="666"/>
      <c r="M160" s="666"/>
    </row>
    <row r="161" spans="1:13" x14ac:dyDescent="0.25">
      <c r="A161" s="665"/>
      <c r="B161" s="665"/>
      <c r="C161" s="665"/>
      <c r="D161" s="665"/>
      <c r="E161" s="665"/>
      <c r="F161" s="665"/>
      <c r="G161" s="665" t="s">
        <v>1325</v>
      </c>
      <c r="H161" s="665"/>
      <c r="I161" s="665"/>
      <c r="J161" s="666"/>
      <c r="K161" s="666"/>
      <c r="L161" s="666"/>
      <c r="M161" s="666"/>
    </row>
    <row r="162" spans="1:13" x14ac:dyDescent="0.25">
      <c r="A162" s="665"/>
      <c r="B162" s="665"/>
      <c r="C162" s="665"/>
      <c r="D162" s="665"/>
      <c r="E162" s="665"/>
      <c r="F162" s="665"/>
      <c r="G162" s="665"/>
      <c r="H162" s="665" t="s">
        <v>1326</v>
      </c>
      <c r="I162" s="665"/>
      <c r="J162" s="666">
        <v>0</v>
      </c>
      <c r="K162" s="666">
        <v>72828</v>
      </c>
      <c r="L162" s="666">
        <v>80631</v>
      </c>
      <c r="M162" s="666">
        <f>ROUND(SUM(J162:L162),5)</f>
        <v>153459</v>
      </c>
    </row>
    <row r="163" spans="1:13" x14ac:dyDescent="0.25">
      <c r="A163" s="665"/>
      <c r="B163" s="665"/>
      <c r="C163" s="665"/>
      <c r="D163" s="665"/>
      <c r="E163" s="665"/>
      <c r="F163" s="665"/>
      <c r="G163" s="665"/>
      <c r="H163" s="665" t="s">
        <v>1327</v>
      </c>
      <c r="I163" s="665"/>
      <c r="J163" s="666"/>
      <c r="K163" s="666"/>
      <c r="L163" s="666"/>
      <c r="M163" s="666"/>
    </row>
    <row r="164" spans="1:13" x14ac:dyDescent="0.25">
      <c r="A164" s="665"/>
      <c r="B164" s="665"/>
      <c r="C164" s="665"/>
      <c r="D164" s="665"/>
      <c r="E164" s="665"/>
      <c r="F164" s="665"/>
      <c r="G164" s="665"/>
      <c r="H164" s="665"/>
      <c r="I164" s="665" t="s">
        <v>1328</v>
      </c>
      <c r="J164" s="666">
        <v>30385</v>
      </c>
      <c r="K164" s="666">
        <v>29342</v>
      </c>
      <c r="L164" s="666">
        <v>35260</v>
      </c>
      <c r="M164" s="666">
        <f>ROUND(SUM(J164:L164),5)</f>
        <v>94987</v>
      </c>
    </row>
    <row r="165" spans="1:13" ht="15.75" thickBot="1" x14ac:dyDescent="0.3">
      <c r="A165" s="665"/>
      <c r="B165" s="665"/>
      <c r="C165" s="665"/>
      <c r="D165" s="665"/>
      <c r="E165" s="665"/>
      <c r="F165" s="665"/>
      <c r="G165" s="665"/>
      <c r="H165" s="665"/>
      <c r="I165" s="665" t="s">
        <v>1329</v>
      </c>
      <c r="J165" s="668">
        <v>925</v>
      </c>
      <c r="K165" s="668">
        <v>500</v>
      </c>
      <c r="L165" s="668">
        <v>800</v>
      </c>
      <c r="M165" s="668">
        <f>ROUND(SUM(J165:L165),5)</f>
        <v>2225</v>
      </c>
    </row>
    <row r="166" spans="1:13" x14ac:dyDescent="0.25">
      <c r="A166" s="665"/>
      <c r="B166" s="665"/>
      <c r="C166" s="665"/>
      <c r="D166" s="665"/>
      <c r="E166" s="665"/>
      <c r="F166" s="665"/>
      <c r="G166" s="665"/>
      <c r="H166" s="665" t="s">
        <v>1330</v>
      </c>
      <c r="I166" s="665"/>
      <c r="J166" s="666">
        <f>ROUND(SUM(J163:J165),5)</f>
        <v>31310</v>
      </c>
      <c r="K166" s="666">
        <f>ROUND(SUM(K163:K165),5)</f>
        <v>29842</v>
      </c>
      <c r="L166" s="666">
        <f>ROUND(SUM(L163:L165),5)</f>
        <v>36060</v>
      </c>
      <c r="M166" s="666">
        <f>ROUND(SUM(J166:L166),5)</f>
        <v>97212</v>
      </c>
    </row>
    <row r="167" spans="1:13" ht="15.75" thickBot="1" x14ac:dyDescent="0.3">
      <c r="A167" s="665"/>
      <c r="B167" s="665"/>
      <c r="C167" s="665"/>
      <c r="D167" s="665"/>
      <c r="E167" s="665"/>
      <c r="F167" s="665"/>
      <c r="G167" s="665"/>
      <c r="H167" s="665" t="s">
        <v>1331</v>
      </c>
      <c r="I167" s="665"/>
      <c r="J167" s="668">
        <v>-718.7</v>
      </c>
      <c r="K167" s="668">
        <v>0</v>
      </c>
      <c r="L167" s="668">
        <v>0</v>
      </c>
      <c r="M167" s="668">
        <f>ROUND(SUM(J167:L167),5)</f>
        <v>-718.7</v>
      </c>
    </row>
    <row r="168" spans="1:13" x14ac:dyDescent="0.25">
      <c r="A168" s="665"/>
      <c r="B168" s="665"/>
      <c r="C168" s="665"/>
      <c r="D168" s="665"/>
      <c r="E168" s="665"/>
      <c r="F168" s="665"/>
      <c r="G168" s="665" t="s">
        <v>1332</v>
      </c>
      <c r="H168" s="665"/>
      <c r="I168" s="665"/>
      <c r="J168" s="666">
        <f>ROUND(SUM(J161:J162)+SUM(J166:J167),5)</f>
        <v>30591.3</v>
      </c>
      <c r="K168" s="666">
        <f>ROUND(SUM(K161:K162)+SUM(K166:K167),5)</f>
        <v>102670</v>
      </c>
      <c r="L168" s="666">
        <f>ROUND(SUM(L161:L162)+SUM(L166:L167),5)</f>
        <v>116691</v>
      </c>
      <c r="M168" s="666">
        <f>ROUND(SUM(J168:L168),5)</f>
        <v>249952.3</v>
      </c>
    </row>
    <row r="169" spans="1:13" x14ac:dyDescent="0.25">
      <c r="A169" s="665"/>
      <c r="B169" s="665"/>
      <c r="C169" s="665"/>
      <c r="D169" s="665"/>
      <c r="E169" s="665"/>
      <c r="F169" s="665"/>
      <c r="G169" s="665" t="s">
        <v>1333</v>
      </c>
      <c r="H169" s="665"/>
      <c r="I169" s="665"/>
      <c r="J169" s="666"/>
      <c r="K169" s="666"/>
      <c r="L169" s="666"/>
      <c r="M169" s="666"/>
    </row>
    <row r="170" spans="1:13" x14ac:dyDescent="0.25">
      <c r="A170" s="665"/>
      <c r="B170" s="665"/>
      <c r="C170" s="665"/>
      <c r="D170" s="665"/>
      <c r="E170" s="665"/>
      <c r="F170" s="665"/>
      <c r="G170" s="665"/>
      <c r="H170" s="665" t="s">
        <v>1334</v>
      </c>
      <c r="I170" s="665"/>
      <c r="J170" s="666">
        <v>66390.61</v>
      </c>
      <c r="K170" s="666">
        <v>66390.61</v>
      </c>
      <c r="L170" s="666">
        <v>66390.61</v>
      </c>
      <c r="M170" s="666">
        <f>ROUND(SUM(J170:L170),5)</f>
        <v>199171.83</v>
      </c>
    </row>
    <row r="171" spans="1:13" x14ac:dyDescent="0.25">
      <c r="A171" s="665"/>
      <c r="B171" s="665"/>
      <c r="C171" s="665"/>
      <c r="D171" s="665"/>
      <c r="E171" s="665"/>
      <c r="F171" s="665"/>
      <c r="G171" s="665"/>
      <c r="H171" s="665" t="s">
        <v>1335</v>
      </c>
      <c r="I171" s="665"/>
      <c r="J171" s="666">
        <v>6000</v>
      </c>
      <c r="K171" s="666">
        <v>6000</v>
      </c>
      <c r="L171" s="666">
        <v>6000</v>
      </c>
      <c r="M171" s="666">
        <f>ROUND(SUM(J171:L171),5)</f>
        <v>18000</v>
      </c>
    </row>
    <row r="172" spans="1:13" ht="15.75" thickBot="1" x14ac:dyDescent="0.3">
      <c r="A172" s="665"/>
      <c r="B172" s="665"/>
      <c r="C172" s="665"/>
      <c r="D172" s="665"/>
      <c r="E172" s="665"/>
      <c r="F172" s="665"/>
      <c r="G172" s="665"/>
      <c r="H172" s="665" t="s">
        <v>1336</v>
      </c>
      <c r="I172" s="665"/>
      <c r="J172" s="668">
        <v>1500</v>
      </c>
      <c r="K172" s="668">
        <v>1500</v>
      </c>
      <c r="L172" s="668">
        <v>1500</v>
      </c>
      <c r="M172" s="668">
        <f>ROUND(SUM(J172:L172),5)</f>
        <v>4500</v>
      </c>
    </row>
    <row r="173" spans="1:13" x14ac:dyDescent="0.25">
      <c r="A173" s="665"/>
      <c r="B173" s="665"/>
      <c r="C173" s="665"/>
      <c r="D173" s="665"/>
      <c r="E173" s="665"/>
      <c r="F173" s="665"/>
      <c r="G173" s="665" t="s">
        <v>1338</v>
      </c>
      <c r="H173" s="665"/>
      <c r="I173" s="665"/>
      <c r="J173" s="666">
        <f>ROUND(SUM(J169:J172),5)</f>
        <v>73890.61</v>
      </c>
      <c r="K173" s="666">
        <f>ROUND(SUM(K169:K172),5)</f>
        <v>73890.61</v>
      </c>
      <c r="L173" s="666">
        <f>ROUND(SUM(L169:L172),5)</f>
        <v>73890.61</v>
      </c>
      <c r="M173" s="666">
        <f>ROUND(SUM(J173:L173),5)</f>
        <v>221671.83</v>
      </c>
    </row>
    <row r="174" spans="1:13" x14ac:dyDescent="0.25">
      <c r="A174" s="665"/>
      <c r="B174" s="665"/>
      <c r="C174" s="665"/>
      <c r="D174" s="665"/>
      <c r="E174" s="665"/>
      <c r="F174" s="665"/>
      <c r="G174" s="665" t="s">
        <v>1339</v>
      </c>
      <c r="H174" s="665"/>
      <c r="I174" s="665"/>
      <c r="J174" s="666"/>
      <c r="K174" s="666"/>
      <c r="L174" s="666"/>
      <c r="M174" s="666"/>
    </row>
    <row r="175" spans="1:13" x14ac:dyDescent="0.25">
      <c r="A175" s="665"/>
      <c r="B175" s="665"/>
      <c r="C175" s="665"/>
      <c r="D175" s="665"/>
      <c r="E175" s="665"/>
      <c r="F175" s="665"/>
      <c r="G175" s="665"/>
      <c r="H175" s="665" t="s">
        <v>1341</v>
      </c>
      <c r="I175" s="665"/>
      <c r="J175" s="666">
        <v>37220.699999999997</v>
      </c>
      <c r="K175" s="666">
        <v>32606</v>
      </c>
      <c r="L175" s="666">
        <v>37666.400000000001</v>
      </c>
      <c r="M175" s="666">
        <f>ROUND(SUM(J175:L175),5)</f>
        <v>107493.1</v>
      </c>
    </row>
    <row r="176" spans="1:13" ht="15.75" thickBot="1" x14ac:dyDescent="0.3">
      <c r="A176" s="665"/>
      <c r="B176" s="665"/>
      <c r="C176" s="665"/>
      <c r="D176" s="665"/>
      <c r="E176" s="665"/>
      <c r="F176" s="665"/>
      <c r="G176" s="665"/>
      <c r="H176" s="665" t="s">
        <v>1342</v>
      </c>
      <c r="I176" s="665"/>
      <c r="J176" s="669">
        <v>75000</v>
      </c>
      <c r="K176" s="669">
        <v>75000</v>
      </c>
      <c r="L176" s="669">
        <v>75000</v>
      </c>
      <c r="M176" s="669">
        <f>ROUND(SUM(J176:L176),5)</f>
        <v>225000</v>
      </c>
    </row>
    <row r="177" spans="1:13" ht="15.75" thickBot="1" x14ac:dyDescent="0.3">
      <c r="A177" s="665"/>
      <c r="B177" s="665"/>
      <c r="C177" s="665"/>
      <c r="D177" s="665"/>
      <c r="E177" s="665"/>
      <c r="F177" s="665"/>
      <c r="G177" s="665" t="s">
        <v>1343</v>
      </c>
      <c r="H177" s="665"/>
      <c r="I177" s="665"/>
      <c r="J177" s="670">
        <f>ROUND(SUM(J174:J176),5)</f>
        <v>112220.7</v>
      </c>
      <c r="K177" s="670">
        <f>ROUND(SUM(K174:K176),5)</f>
        <v>107606</v>
      </c>
      <c r="L177" s="670">
        <f>ROUND(SUM(L174:L176),5)</f>
        <v>112666.4</v>
      </c>
      <c r="M177" s="670">
        <f>ROUND(SUM(J177:L177),5)</f>
        <v>332493.09999999998</v>
      </c>
    </row>
    <row r="178" spans="1:13" x14ac:dyDescent="0.25">
      <c r="A178" s="665"/>
      <c r="B178" s="665"/>
      <c r="C178" s="665"/>
      <c r="D178" s="665"/>
      <c r="E178" s="665"/>
      <c r="F178" s="665" t="s">
        <v>1344</v>
      </c>
      <c r="G178" s="665"/>
      <c r="H178" s="665"/>
      <c r="I178" s="665"/>
      <c r="J178" s="666">
        <f>ROUND(J160+J168+J173+J177,5)</f>
        <v>216702.61</v>
      </c>
      <c r="K178" s="666">
        <f>ROUND(K160+K168+K173+K177,5)</f>
        <v>284166.61</v>
      </c>
      <c r="L178" s="666">
        <f>ROUND(L160+L168+L173+L177,5)</f>
        <v>303248.01</v>
      </c>
      <c r="M178" s="666">
        <f>ROUND(SUM(J178:L178),5)</f>
        <v>804117.23</v>
      </c>
    </row>
    <row r="179" spans="1:13" x14ac:dyDescent="0.25">
      <c r="A179" s="665"/>
      <c r="B179" s="665"/>
      <c r="C179" s="665"/>
      <c r="D179" s="665"/>
      <c r="E179" s="665"/>
      <c r="F179" s="665" t="s">
        <v>1353</v>
      </c>
      <c r="G179" s="665"/>
      <c r="H179" s="665"/>
      <c r="I179" s="665"/>
      <c r="J179" s="666"/>
      <c r="K179" s="666"/>
      <c r="L179" s="666"/>
      <c r="M179" s="666"/>
    </row>
    <row r="180" spans="1:13" x14ac:dyDescent="0.25">
      <c r="A180" s="665"/>
      <c r="B180" s="665"/>
      <c r="C180" s="665"/>
      <c r="D180" s="665"/>
      <c r="E180" s="665"/>
      <c r="F180" s="665"/>
      <c r="G180" s="665" t="s">
        <v>1354</v>
      </c>
      <c r="H180" s="665"/>
      <c r="I180" s="665"/>
      <c r="J180" s="666"/>
      <c r="K180" s="666"/>
      <c r="L180" s="666"/>
      <c r="M180" s="666"/>
    </row>
    <row r="181" spans="1:13" x14ac:dyDescent="0.25">
      <c r="A181" s="665"/>
      <c r="B181" s="665"/>
      <c r="C181" s="665"/>
      <c r="D181" s="665"/>
      <c r="E181" s="665"/>
      <c r="F181" s="665"/>
      <c r="G181" s="665"/>
      <c r="H181" s="665" t="s">
        <v>1357</v>
      </c>
      <c r="I181" s="665"/>
      <c r="J181" s="666">
        <v>9000</v>
      </c>
      <c r="K181" s="666">
        <v>9000</v>
      </c>
      <c r="L181" s="666">
        <v>9000</v>
      </c>
      <c r="M181" s="666">
        <f>ROUND(SUM(J181:L181),5)</f>
        <v>27000</v>
      </c>
    </row>
    <row r="182" spans="1:13" x14ac:dyDescent="0.25">
      <c r="A182" s="665"/>
      <c r="B182" s="665"/>
      <c r="C182" s="665"/>
      <c r="D182" s="665"/>
      <c r="E182" s="665"/>
      <c r="F182" s="665"/>
      <c r="G182" s="665"/>
      <c r="H182" s="665" t="s">
        <v>1358</v>
      </c>
      <c r="I182" s="665"/>
      <c r="J182" s="666">
        <v>2250</v>
      </c>
      <c r="K182" s="666">
        <v>2250</v>
      </c>
      <c r="L182" s="666">
        <v>2250</v>
      </c>
      <c r="M182" s="666">
        <f>ROUND(SUM(J182:L182),5)</f>
        <v>6750</v>
      </c>
    </row>
    <row r="183" spans="1:13" ht="15.75" thickBot="1" x14ac:dyDescent="0.3">
      <c r="A183" s="665"/>
      <c r="B183" s="665"/>
      <c r="C183" s="665"/>
      <c r="D183" s="665"/>
      <c r="E183" s="665"/>
      <c r="F183" s="665"/>
      <c r="G183" s="665"/>
      <c r="H183" s="665" t="s">
        <v>1359</v>
      </c>
      <c r="I183" s="665"/>
      <c r="J183" s="668">
        <v>500000</v>
      </c>
      <c r="K183" s="668">
        <v>500000</v>
      </c>
      <c r="L183" s="668">
        <v>500000</v>
      </c>
      <c r="M183" s="668">
        <f>ROUND(SUM(J183:L183),5)</f>
        <v>1500000</v>
      </c>
    </row>
    <row r="184" spans="1:13" x14ac:dyDescent="0.25">
      <c r="A184" s="665"/>
      <c r="B184" s="665"/>
      <c r="C184" s="665"/>
      <c r="D184" s="665"/>
      <c r="E184" s="665"/>
      <c r="F184" s="665"/>
      <c r="G184" s="665" t="s">
        <v>1362</v>
      </c>
      <c r="H184" s="665"/>
      <c r="I184" s="665"/>
      <c r="J184" s="666">
        <f>ROUND(SUM(J180:J183),5)</f>
        <v>511250</v>
      </c>
      <c r="K184" s="666">
        <f>ROUND(SUM(K180:K183),5)</f>
        <v>511250</v>
      </c>
      <c r="L184" s="666">
        <f>ROUND(SUM(L180:L183),5)</f>
        <v>511250</v>
      </c>
      <c r="M184" s="666">
        <f>ROUND(SUM(J184:L184),5)</f>
        <v>1533750</v>
      </c>
    </row>
    <row r="185" spans="1:13" x14ac:dyDescent="0.25">
      <c r="A185" s="665"/>
      <c r="B185" s="665"/>
      <c r="C185" s="665"/>
      <c r="D185" s="665"/>
      <c r="E185" s="665"/>
      <c r="F185" s="665"/>
      <c r="G185" s="665" t="s">
        <v>1363</v>
      </c>
      <c r="H185" s="665"/>
      <c r="I185" s="665"/>
      <c r="J185" s="666"/>
      <c r="K185" s="666"/>
      <c r="L185" s="666"/>
      <c r="M185" s="666"/>
    </row>
    <row r="186" spans="1:13" x14ac:dyDescent="0.25">
      <c r="A186" s="665"/>
      <c r="B186" s="665"/>
      <c r="C186" s="665"/>
      <c r="D186" s="665"/>
      <c r="E186" s="665"/>
      <c r="F186" s="665"/>
      <c r="G186" s="665"/>
      <c r="H186" s="665" t="s">
        <v>1365</v>
      </c>
      <c r="I186" s="665"/>
      <c r="J186" s="666">
        <v>14100</v>
      </c>
      <c r="K186" s="666">
        <v>0</v>
      </c>
      <c r="L186" s="666">
        <v>0</v>
      </c>
      <c r="M186" s="666">
        <f>ROUND(SUM(J186:L186),5)</f>
        <v>14100</v>
      </c>
    </row>
    <row r="187" spans="1:13" x14ac:dyDescent="0.25">
      <c r="A187" s="665"/>
      <c r="B187" s="665"/>
      <c r="C187" s="665"/>
      <c r="D187" s="665"/>
      <c r="E187" s="665"/>
      <c r="F187" s="665"/>
      <c r="G187" s="665"/>
      <c r="H187" s="665" t="s">
        <v>1366</v>
      </c>
      <c r="I187" s="665"/>
      <c r="J187" s="666">
        <v>0</v>
      </c>
      <c r="K187" s="666">
        <v>3588</v>
      </c>
      <c r="L187" s="666">
        <v>4446</v>
      </c>
      <c r="M187" s="666">
        <f>ROUND(SUM(J187:L187),5)</f>
        <v>8034</v>
      </c>
    </row>
    <row r="188" spans="1:13" x14ac:dyDescent="0.25">
      <c r="A188" s="665"/>
      <c r="B188" s="665"/>
      <c r="C188" s="665"/>
      <c r="D188" s="665"/>
      <c r="E188" s="665"/>
      <c r="F188" s="665"/>
      <c r="G188" s="665"/>
      <c r="H188" s="665" t="s">
        <v>1372</v>
      </c>
      <c r="I188" s="665"/>
      <c r="J188" s="666">
        <v>0</v>
      </c>
      <c r="K188" s="666">
        <v>0</v>
      </c>
      <c r="L188" s="666">
        <v>0</v>
      </c>
      <c r="M188" s="666">
        <f>ROUND(SUM(J188:L188),5)</f>
        <v>0</v>
      </c>
    </row>
    <row r="189" spans="1:13" x14ac:dyDescent="0.25">
      <c r="A189" s="665"/>
      <c r="B189" s="665"/>
      <c r="C189" s="665"/>
      <c r="D189" s="665"/>
      <c r="E189" s="665"/>
      <c r="F189" s="665"/>
      <c r="G189" s="665"/>
      <c r="H189" s="665" t="s">
        <v>1374</v>
      </c>
      <c r="I189" s="665"/>
      <c r="J189" s="666">
        <v>0</v>
      </c>
      <c r="K189" s="666">
        <v>0</v>
      </c>
      <c r="L189" s="666">
        <v>0</v>
      </c>
      <c r="M189" s="666">
        <f>ROUND(SUM(J189:L189),5)</f>
        <v>0</v>
      </c>
    </row>
    <row r="190" spans="1:13" x14ac:dyDescent="0.25">
      <c r="A190" s="665"/>
      <c r="B190" s="665"/>
      <c r="C190" s="665"/>
      <c r="D190" s="665"/>
      <c r="E190" s="665"/>
      <c r="F190" s="665"/>
      <c r="G190" s="665"/>
      <c r="H190" s="665" t="s">
        <v>1375</v>
      </c>
      <c r="I190" s="665"/>
      <c r="J190" s="666">
        <v>8160</v>
      </c>
      <c r="K190" s="666">
        <v>8160</v>
      </c>
      <c r="L190" s="666">
        <v>8160</v>
      </c>
      <c r="M190" s="666">
        <f>ROUND(SUM(J190:L190),5)</f>
        <v>24480</v>
      </c>
    </row>
    <row r="191" spans="1:13" x14ac:dyDescent="0.25">
      <c r="A191" s="665"/>
      <c r="B191" s="665"/>
      <c r="C191" s="665"/>
      <c r="D191" s="665"/>
      <c r="E191" s="665"/>
      <c r="F191" s="665"/>
      <c r="G191" s="665"/>
      <c r="H191" s="665" t="s">
        <v>1376</v>
      </c>
      <c r="I191" s="665"/>
      <c r="J191" s="666">
        <v>117000</v>
      </c>
      <c r="K191" s="666">
        <v>86000</v>
      </c>
      <c r="L191" s="666">
        <v>0</v>
      </c>
      <c r="M191" s="666">
        <f>ROUND(SUM(J191:L191),5)</f>
        <v>203000</v>
      </c>
    </row>
    <row r="192" spans="1:13" x14ac:dyDescent="0.25">
      <c r="A192" s="665"/>
      <c r="B192" s="665"/>
      <c r="C192" s="665"/>
      <c r="D192" s="665"/>
      <c r="E192" s="665"/>
      <c r="F192" s="665"/>
      <c r="G192" s="665"/>
      <c r="H192" s="665" t="s">
        <v>1377</v>
      </c>
      <c r="I192" s="665"/>
      <c r="J192" s="666">
        <v>0</v>
      </c>
      <c r="K192" s="666">
        <v>0</v>
      </c>
      <c r="L192" s="666">
        <v>0</v>
      </c>
      <c r="M192" s="666">
        <f>ROUND(SUM(J192:L192),5)</f>
        <v>0</v>
      </c>
    </row>
    <row r="193" spans="1:13" x14ac:dyDescent="0.25">
      <c r="A193" s="665"/>
      <c r="B193" s="665"/>
      <c r="C193" s="665"/>
      <c r="D193" s="665"/>
      <c r="E193" s="665"/>
      <c r="F193" s="665"/>
      <c r="G193" s="665"/>
      <c r="H193" s="665" t="s">
        <v>1378</v>
      </c>
      <c r="I193" s="665"/>
      <c r="J193" s="666">
        <v>2340</v>
      </c>
      <c r="K193" s="666">
        <v>0</v>
      </c>
      <c r="L193" s="666">
        <v>0</v>
      </c>
      <c r="M193" s="666">
        <f>ROUND(SUM(J193:L193),5)</f>
        <v>2340</v>
      </c>
    </row>
    <row r="194" spans="1:13" x14ac:dyDescent="0.25">
      <c r="A194" s="665"/>
      <c r="B194" s="665"/>
      <c r="C194" s="665"/>
      <c r="D194" s="665"/>
      <c r="E194" s="665"/>
      <c r="F194" s="665"/>
      <c r="G194" s="665"/>
      <c r="H194" s="665" t="s">
        <v>1379</v>
      </c>
      <c r="I194" s="665"/>
      <c r="J194" s="666">
        <v>0</v>
      </c>
      <c r="K194" s="666">
        <v>0</v>
      </c>
      <c r="L194" s="666">
        <v>0</v>
      </c>
      <c r="M194" s="666">
        <f>ROUND(SUM(J194:L194),5)</f>
        <v>0</v>
      </c>
    </row>
    <row r="195" spans="1:13" x14ac:dyDescent="0.25">
      <c r="A195" s="665"/>
      <c r="B195" s="665"/>
      <c r="C195" s="665"/>
      <c r="D195" s="665"/>
      <c r="E195" s="665"/>
      <c r="F195" s="665"/>
      <c r="G195" s="665"/>
      <c r="H195" s="665" t="s">
        <v>1566</v>
      </c>
      <c r="I195" s="665"/>
      <c r="J195" s="666">
        <v>0</v>
      </c>
      <c r="K195" s="666">
        <v>0</v>
      </c>
      <c r="L195" s="666">
        <v>0</v>
      </c>
      <c r="M195" s="666">
        <f>ROUND(SUM(J195:L195),5)</f>
        <v>0</v>
      </c>
    </row>
    <row r="196" spans="1:13" x14ac:dyDescent="0.25">
      <c r="A196" s="665"/>
      <c r="B196" s="665"/>
      <c r="C196" s="665"/>
      <c r="D196" s="665"/>
      <c r="E196" s="665"/>
      <c r="F196" s="665"/>
      <c r="G196" s="665"/>
      <c r="H196" s="665" t="s">
        <v>1380</v>
      </c>
      <c r="I196" s="665"/>
      <c r="J196" s="666">
        <v>0</v>
      </c>
      <c r="K196" s="666">
        <v>18010</v>
      </c>
      <c r="L196" s="666">
        <v>0</v>
      </c>
      <c r="M196" s="666">
        <f>ROUND(SUM(J196:L196),5)</f>
        <v>18010</v>
      </c>
    </row>
    <row r="197" spans="1:13" x14ac:dyDescent="0.25">
      <c r="A197" s="665"/>
      <c r="B197" s="665"/>
      <c r="C197" s="665"/>
      <c r="D197" s="665"/>
      <c r="E197" s="665"/>
      <c r="F197" s="665"/>
      <c r="G197" s="665"/>
      <c r="H197" s="665" t="s">
        <v>1381</v>
      </c>
      <c r="I197" s="665"/>
      <c r="J197" s="666">
        <v>0</v>
      </c>
      <c r="K197" s="666">
        <v>0</v>
      </c>
      <c r="L197" s="666">
        <v>0</v>
      </c>
      <c r="M197" s="666">
        <f>ROUND(SUM(J197:L197),5)</f>
        <v>0</v>
      </c>
    </row>
    <row r="198" spans="1:13" ht="15.75" thickBot="1" x14ac:dyDescent="0.3">
      <c r="A198" s="665"/>
      <c r="B198" s="665"/>
      <c r="C198" s="665"/>
      <c r="D198" s="665"/>
      <c r="E198" s="665"/>
      <c r="F198" s="665"/>
      <c r="G198" s="665"/>
      <c r="H198" s="665" t="s">
        <v>1567</v>
      </c>
      <c r="I198" s="665"/>
      <c r="J198" s="668">
        <v>0</v>
      </c>
      <c r="K198" s="668">
        <v>0</v>
      </c>
      <c r="L198" s="668">
        <v>0</v>
      </c>
      <c r="M198" s="668">
        <f>ROUND(SUM(J198:L198),5)</f>
        <v>0</v>
      </c>
    </row>
    <row r="199" spans="1:13" x14ac:dyDescent="0.25">
      <c r="A199" s="665"/>
      <c r="B199" s="665"/>
      <c r="C199" s="665"/>
      <c r="D199" s="665"/>
      <c r="E199" s="665"/>
      <c r="F199" s="665"/>
      <c r="G199" s="665" t="s">
        <v>1382</v>
      </c>
      <c r="H199" s="665"/>
      <c r="I199" s="665"/>
      <c r="J199" s="666">
        <f>ROUND(SUM(J185:J198),5)</f>
        <v>141600</v>
      </c>
      <c r="K199" s="666">
        <f>ROUND(SUM(K185:K198),5)</f>
        <v>115758</v>
      </c>
      <c r="L199" s="666">
        <f>ROUND(SUM(L185:L198),5)</f>
        <v>12606</v>
      </c>
      <c r="M199" s="666">
        <f>ROUND(SUM(J199:L199),5)</f>
        <v>269964</v>
      </c>
    </row>
    <row r="200" spans="1:13" x14ac:dyDescent="0.25">
      <c r="A200" s="665"/>
      <c r="B200" s="665"/>
      <c r="C200" s="665"/>
      <c r="D200" s="665"/>
      <c r="E200" s="665"/>
      <c r="F200" s="665"/>
      <c r="G200" s="665" t="s">
        <v>1383</v>
      </c>
      <c r="H200" s="665"/>
      <c r="I200" s="665"/>
      <c r="J200" s="666"/>
      <c r="K200" s="666"/>
      <c r="L200" s="666"/>
      <c r="M200" s="666"/>
    </row>
    <row r="201" spans="1:13" x14ac:dyDescent="0.25">
      <c r="A201" s="665"/>
      <c r="B201" s="665"/>
      <c r="C201" s="665"/>
      <c r="D201" s="665"/>
      <c r="E201" s="665"/>
      <c r="F201" s="665"/>
      <c r="G201" s="665"/>
      <c r="H201" s="665" t="s">
        <v>1384</v>
      </c>
      <c r="I201" s="665"/>
      <c r="J201" s="666">
        <v>0</v>
      </c>
      <c r="K201" s="666">
        <v>0</v>
      </c>
      <c r="L201" s="666">
        <v>0</v>
      </c>
      <c r="M201" s="666">
        <f>ROUND(SUM(J201:L201),5)</f>
        <v>0</v>
      </c>
    </row>
    <row r="202" spans="1:13" x14ac:dyDescent="0.25">
      <c r="A202" s="665"/>
      <c r="B202" s="665"/>
      <c r="C202" s="665"/>
      <c r="D202" s="665"/>
      <c r="E202" s="665"/>
      <c r="F202" s="665"/>
      <c r="G202" s="665"/>
      <c r="H202" s="665" t="s">
        <v>1385</v>
      </c>
      <c r="I202" s="665"/>
      <c r="J202" s="666">
        <v>0</v>
      </c>
      <c r="K202" s="666">
        <v>0</v>
      </c>
      <c r="L202" s="666">
        <v>0</v>
      </c>
      <c r="M202" s="666">
        <f>ROUND(SUM(J202:L202),5)</f>
        <v>0</v>
      </c>
    </row>
    <row r="203" spans="1:13" x14ac:dyDescent="0.25">
      <c r="A203" s="665"/>
      <c r="B203" s="665"/>
      <c r="C203" s="665"/>
      <c r="D203" s="665"/>
      <c r="E203" s="665"/>
      <c r="F203" s="665"/>
      <c r="G203" s="665"/>
      <c r="H203" s="665" t="s">
        <v>1386</v>
      </c>
      <c r="I203" s="665"/>
      <c r="J203" s="666">
        <v>0</v>
      </c>
      <c r="K203" s="666">
        <v>0</v>
      </c>
      <c r="L203" s="666">
        <v>0</v>
      </c>
      <c r="M203" s="666">
        <f>ROUND(SUM(J203:L203),5)</f>
        <v>0</v>
      </c>
    </row>
    <row r="204" spans="1:13" x14ac:dyDescent="0.25">
      <c r="A204" s="665"/>
      <c r="B204" s="665"/>
      <c r="C204" s="665"/>
      <c r="D204" s="665"/>
      <c r="E204" s="665"/>
      <c r="F204" s="665"/>
      <c r="G204" s="665"/>
      <c r="H204" s="665" t="s">
        <v>1387</v>
      </c>
      <c r="I204" s="665"/>
      <c r="J204" s="666">
        <v>0</v>
      </c>
      <c r="K204" s="666">
        <v>0</v>
      </c>
      <c r="L204" s="666">
        <v>0</v>
      </c>
      <c r="M204" s="666">
        <f>ROUND(SUM(J204:L204),5)</f>
        <v>0</v>
      </c>
    </row>
    <row r="205" spans="1:13" x14ac:dyDescent="0.25">
      <c r="A205" s="665"/>
      <c r="B205" s="665"/>
      <c r="C205" s="665"/>
      <c r="D205" s="665"/>
      <c r="E205" s="665"/>
      <c r="F205" s="665"/>
      <c r="G205" s="665"/>
      <c r="H205" s="665" t="s">
        <v>1389</v>
      </c>
      <c r="I205" s="665"/>
      <c r="J205" s="666">
        <v>0</v>
      </c>
      <c r="K205" s="666">
        <v>0</v>
      </c>
      <c r="L205" s="666">
        <v>0</v>
      </c>
      <c r="M205" s="666">
        <f>ROUND(SUM(J205:L205),5)</f>
        <v>0</v>
      </c>
    </row>
    <row r="206" spans="1:13" ht="15.75" thickBot="1" x14ac:dyDescent="0.3">
      <c r="A206" s="665"/>
      <c r="B206" s="665"/>
      <c r="C206" s="665"/>
      <c r="D206" s="665"/>
      <c r="E206" s="665"/>
      <c r="F206" s="665"/>
      <c r="G206" s="665"/>
      <c r="H206" s="665" t="s">
        <v>1390</v>
      </c>
      <c r="I206" s="665"/>
      <c r="J206" s="668">
        <v>0</v>
      </c>
      <c r="K206" s="668">
        <v>0</v>
      </c>
      <c r="L206" s="668">
        <v>0</v>
      </c>
      <c r="M206" s="668">
        <f>ROUND(SUM(J206:L206),5)</f>
        <v>0</v>
      </c>
    </row>
    <row r="207" spans="1:13" x14ac:dyDescent="0.25">
      <c r="A207" s="665"/>
      <c r="B207" s="665"/>
      <c r="C207" s="665"/>
      <c r="D207" s="665"/>
      <c r="E207" s="665"/>
      <c r="F207" s="665"/>
      <c r="G207" s="665" t="s">
        <v>1392</v>
      </c>
      <c r="H207" s="665"/>
      <c r="I207" s="665"/>
      <c r="J207" s="666">
        <f>ROUND(SUM(J200:J206),5)</f>
        <v>0</v>
      </c>
      <c r="K207" s="666">
        <f>ROUND(SUM(K200:K206),5)</f>
        <v>0</v>
      </c>
      <c r="L207" s="666">
        <f>ROUND(SUM(L200:L206),5)</f>
        <v>0</v>
      </c>
      <c r="M207" s="666">
        <f>ROUND(SUM(J207:L207),5)</f>
        <v>0</v>
      </c>
    </row>
    <row r="208" spans="1:13" x14ac:dyDescent="0.25">
      <c r="A208" s="665"/>
      <c r="B208" s="665"/>
      <c r="C208" s="665"/>
      <c r="D208" s="665"/>
      <c r="E208" s="665"/>
      <c r="F208" s="665"/>
      <c r="G208" s="665" t="s">
        <v>1393</v>
      </c>
      <c r="H208" s="665"/>
      <c r="I208" s="665"/>
      <c r="J208" s="666"/>
      <c r="K208" s="666"/>
      <c r="L208" s="666"/>
      <c r="M208" s="666"/>
    </row>
    <row r="209" spans="1:13" x14ac:dyDescent="0.25">
      <c r="A209" s="665"/>
      <c r="B209" s="665"/>
      <c r="C209" s="665"/>
      <c r="D209" s="665"/>
      <c r="E209" s="665"/>
      <c r="F209" s="665"/>
      <c r="G209" s="665"/>
      <c r="H209" s="665" t="s">
        <v>1394</v>
      </c>
      <c r="I209" s="665"/>
      <c r="J209" s="666">
        <v>0</v>
      </c>
      <c r="K209" s="666">
        <v>0</v>
      </c>
      <c r="L209" s="666">
        <v>0</v>
      </c>
      <c r="M209" s="666">
        <f>ROUND(SUM(J209:L209),5)</f>
        <v>0</v>
      </c>
    </row>
    <row r="210" spans="1:13" x14ac:dyDescent="0.25">
      <c r="A210" s="665"/>
      <c r="B210" s="665"/>
      <c r="C210" s="665"/>
      <c r="D210" s="665"/>
      <c r="E210" s="665"/>
      <c r="F210" s="665"/>
      <c r="G210" s="665"/>
      <c r="H210" s="665" t="s">
        <v>1395</v>
      </c>
      <c r="I210" s="665"/>
      <c r="J210" s="666">
        <v>0</v>
      </c>
      <c r="K210" s="666">
        <v>0</v>
      </c>
      <c r="L210" s="666">
        <v>0</v>
      </c>
      <c r="M210" s="666">
        <f>ROUND(SUM(J210:L210),5)</f>
        <v>0</v>
      </c>
    </row>
    <row r="211" spans="1:13" x14ac:dyDescent="0.25">
      <c r="A211" s="665"/>
      <c r="B211" s="665"/>
      <c r="C211" s="665"/>
      <c r="D211" s="665"/>
      <c r="E211" s="665"/>
      <c r="F211" s="665"/>
      <c r="G211" s="665"/>
      <c r="H211" s="665" t="s">
        <v>1396</v>
      </c>
      <c r="I211" s="665"/>
      <c r="J211" s="666">
        <v>0</v>
      </c>
      <c r="K211" s="666">
        <v>0</v>
      </c>
      <c r="L211" s="666">
        <v>0</v>
      </c>
      <c r="M211" s="666">
        <f>ROUND(SUM(J211:L211),5)</f>
        <v>0</v>
      </c>
    </row>
    <row r="212" spans="1:13" x14ac:dyDescent="0.25">
      <c r="A212" s="665"/>
      <c r="B212" s="665"/>
      <c r="C212" s="665"/>
      <c r="D212" s="665"/>
      <c r="E212" s="665"/>
      <c r="F212" s="665"/>
      <c r="G212" s="665"/>
      <c r="H212" s="665" t="s">
        <v>1397</v>
      </c>
      <c r="I212" s="665"/>
      <c r="J212" s="666">
        <v>0</v>
      </c>
      <c r="K212" s="666">
        <v>0</v>
      </c>
      <c r="L212" s="666">
        <v>0</v>
      </c>
      <c r="M212" s="666">
        <f>ROUND(SUM(J212:L212),5)</f>
        <v>0</v>
      </c>
    </row>
    <row r="213" spans="1:13" ht="15.75" thickBot="1" x14ac:dyDescent="0.3">
      <c r="A213" s="665"/>
      <c r="B213" s="665"/>
      <c r="C213" s="665"/>
      <c r="D213" s="665"/>
      <c r="E213" s="665"/>
      <c r="F213" s="665"/>
      <c r="G213" s="665"/>
      <c r="H213" s="665" t="s">
        <v>1398</v>
      </c>
      <c r="I213" s="665"/>
      <c r="J213" s="668">
        <v>0</v>
      </c>
      <c r="K213" s="668">
        <v>0</v>
      </c>
      <c r="L213" s="668">
        <v>0</v>
      </c>
      <c r="M213" s="668">
        <f>ROUND(SUM(J213:L213),5)</f>
        <v>0</v>
      </c>
    </row>
    <row r="214" spans="1:13" x14ac:dyDescent="0.25">
      <c r="A214" s="665"/>
      <c r="B214" s="665"/>
      <c r="C214" s="665"/>
      <c r="D214" s="665"/>
      <c r="E214" s="665"/>
      <c r="F214" s="665"/>
      <c r="G214" s="665" t="s">
        <v>1399</v>
      </c>
      <c r="H214" s="665"/>
      <c r="I214" s="665"/>
      <c r="J214" s="666">
        <f>ROUND(SUM(J208:J213),5)</f>
        <v>0</v>
      </c>
      <c r="K214" s="666">
        <f>ROUND(SUM(K208:K213),5)</f>
        <v>0</v>
      </c>
      <c r="L214" s="666">
        <f>ROUND(SUM(L208:L213),5)</f>
        <v>0</v>
      </c>
      <c r="M214" s="666">
        <f>ROUND(SUM(J214:L214),5)</f>
        <v>0</v>
      </c>
    </row>
    <row r="215" spans="1:13" x14ac:dyDescent="0.25">
      <c r="A215" s="665"/>
      <c r="B215" s="665"/>
      <c r="C215" s="665"/>
      <c r="D215" s="665"/>
      <c r="E215" s="665"/>
      <c r="F215" s="665"/>
      <c r="G215" s="665" t="s">
        <v>1400</v>
      </c>
      <c r="H215" s="665"/>
      <c r="I215" s="665"/>
      <c r="J215" s="666"/>
      <c r="K215" s="666"/>
      <c r="L215" s="666"/>
      <c r="M215" s="666"/>
    </row>
    <row r="216" spans="1:13" x14ac:dyDescent="0.25">
      <c r="A216" s="665"/>
      <c r="B216" s="665"/>
      <c r="C216" s="665"/>
      <c r="D216" s="665"/>
      <c r="E216" s="665"/>
      <c r="F216" s="665"/>
      <c r="G216" s="665"/>
      <c r="H216" s="665" t="s">
        <v>1568</v>
      </c>
      <c r="I216" s="665"/>
      <c r="J216" s="666">
        <v>0</v>
      </c>
      <c r="K216" s="666">
        <v>0</v>
      </c>
      <c r="L216" s="666">
        <v>0</v>
      </c>
      <c r="M216" s="666">
        <f>ROUND(SUM(J216:L216),5)</f>
        <v>0</v>
      </c>
    </row>
    <row r="217" spans="1:13" x14ac:dyDescent="0.25">
      <c r="A217" s="665"/>
      <c r="B217" s="665"/>
      <c r="C217" s="665"/>
      <c r="D217" s="665"/>
      <c r="E217" s="665"/>
      <c r="F217" s="665"/>
      <c r="G217" s="665"/>
      <c r="H217" s="665" t="s">
        <v>1401</v>
      </c>
      <c r="I217" s="665"/>
      <c r="J217" s="666">
        <v>15000</v>
      </c>
      <c r="K217" s="666">
        <v>0</v>
      </c>
      <c r="L217" s="666">
        <v>0</v>
      </c>
      <c r="M217" s="666">
        <f>ROUND(SUM(J217:L217),5)</f>
        <v>15000</v>
      </c>
    </row>
    <row r="218" spans="1:13" x14ac:dyDescent="0.25">
      <c r="A218" s="665"/>
      <c r="B218" s="665"/>
      <c r="C218" s="665"/>
      <c r="D218" s="665"/>
      <c r="E218" s="665"/>
      <c r="F218" s="665"/>
      <c r="G218" s="665"/>
      <c r="H218" s="665" t="s">
        <v>1402</v>
      </c>
      <c r="I218" s="665"/>
      <c r="J218" s="666">
        <v>0</v>
      </c>
      <c r="K218" s="666">
        <v>0</v>
      </c>
      <c r="L218" s="666">
        <v>0</v>
      </c>
      <c r="M218" s="666">
        <f>ROUND(SUM(J218:L218),5)</f>
        <v>0</v>
      </c>
    </row>
    <row r="219" spans="1:13" x14ac:dyDescent="0.25">
      <c r="A219" s="665"/>
      <c r="B219" s="665"/>
      <c r="C219" s="665"/>
      <c r="D219" s="665"/>
      <c r="E219" s="665"/>
      <c r="F219" s="665"/>
      <c r="G219" s="665"/>
      <c r="H219" s="665" t="s">
        <v>1404</v>
      </c>
      <c r="I219" s="665"/>
      <c r="J219" s="666">
        <v>0</v>
      </c>
      <c r="K219" s="666">
        <v>0</v>
      </c>
      <c r="L219" s="666">
        <v>0</v>
      </c>
      <c r="M219" s="666">
        <f>ROUND(SUM(J219:L219),5)</f>
        <v>0</v>
      </c>
    </row>
    <row r="220" spans="1:13" x14ac:dyDescent="0.25">
      <c r="A220" s="665"/>
      <c r="B220" s="665"/>
      <c r="C220" s="665"/>
      <c r="D220" s="665"/>
      <c r="E220" s="665"/>
      <c r="F220" s="665"/>
      <c r="G220" s="665"/>
      <c r="H220" s="665" t="s">
        <v>1405</v>
      </c>
      <c r="I220" s="665"/>
      <c r="J220" s="666">
        <v>0</v>
      </c>
      <c r="K220" s="666">
        <v>0</v>
      </c>
      <c r="L220" s="666">
        <v>0</v>
      </c>
      <c r="M220" s="666">
        <f>ROUND(SUM(J220:L220),5)</f>
        <v>0</v>
      </c>
    </row>
    <row r="221" spans="1:13" x14ac:dyDescent="0.25">
      <c r="A221" s="665"/>
      <c r="B221" s="665"/>
      <c r="C221" s="665"/>
      <c r="D221" s="665"/>
      <c r="E221" s="665"/>
      <c r="F221" s="665"/>
      <c r="G221" s="665"/>
      <c r="H221" s="665" t="s">
        <v>1406</v>
      </c>
      <c r="I221" s="665"/>
      <c r="J221" s="666">
        <v>0</v>
      </c>
      <c r="K221" s="666">
        <v>0</v>
      </c>
      <c r="L221" s="666">
        <v>0</v>
      </c>
      <c r="M221" s="666">
        <f>ROUND(SUM(J221:L221),5)</f>
        <v>0</v>
      </c>
    </row>
    <row r="222" spans="1:13" x14ac:dyDescent="0.25">
      <c r="A222" s="665"/>
      <c r="B222" s="665"/>
      <c r="C222" s="665"/>
      <c r="D222" s="665"/>
      <c r="E222" s="665"/>
      <c r="F222" s="665"/>
      <c r="G222" s="665"/>
      <c r="H222" s="665" t="s">
        <v>1408</v>
      </c>
      <c r="I222" s="665"/>
      <c r="J222" s="666"/>
      <c r="K222" s="666"/>
      <c r="L222" s="666"/>
      <c r="M222" s="666"/>
    </row>
    <row r="223" spans="1:13" x14ac:dyDescent="0.25">
      <c r="A223" s="665"/>
      <c r="B223" s="665"/>
      <c r="C223" s="665"/>
      <c r="D223" s="665"/>
      <c r="E223" s="665"/>
      <c r="F223" s="665"/>
      <c r="G223" s="665"/>
      <c r="H223" s="665"/>
      <c r="I223" s="665" t="s">
        <v>1409</v>
      </c>
      <c r="J223" s="666">
        <v>0</v>
      </c>
      <c r="K223" s="666">
        <v>0</v>
      </c>
      <c r="L223" s="666">
        <v>0</v>
      </c>
      <c r="M223" s="666">
        <f>ROUND(SUM(J223:L223),5)</f>
        <v>0</v>
      </c>
    </row>
    <row r="224" spans="1:13" x14ac:dyDescent="0.25">
      <c r="A224" s="665"/>
      <c r="B224" s="665"/>
      <c r="C224" s="665"/>
      <c r="D224" s="665"/>
      <c r="E224" s="665"/>
      <c r="F224" s="665"/>
      <c r="G224" s="665"/>
      <c r="H224" s="665"/>
      <c r="I224" s="665" t="s">
        <v>1410</v>
      </c>
      <c r="J224" s="666">
        <v>0</v>
      </c>
      <c r="K224" s="666">
        <v>0</v>
      </c>
      <c r="L224" s="666">
        <v>0</v>
      </c>
      <c r="M224" s="666">
        <f>ROUND(SUM(J224:L224),5)</f>
        <v>0</v>
      </c>
    </row>
    <row r="225" spans="1:14" x14ac:dyDescent="0.25">
      <c r="A225" s="665"/>
      <c r="B225" s="665"/>
      <c r="C225" s="665"/>
      <c r="D225" s="665"/>
      <c r="E225" s="665"/>
      <c r="F225" s="665"/>
      <c r="G225" s="665"/>
      <c r="H225" s="665"/>
      <c r="I225" s="665" t="s">
        <v>1412</v>
      </c>
      <c r="J225" s="666">
        <v>0</v>
      </c>
      <c r="K225" s="666">
        <v>0</v>
      </c>
      <c r="L225" s="666">
        <v>0</v>
      </c>
      <c r="M225" s="666">
        <f>ROUND(SUM(J225:L225),5)</f>
        <v>0</v>
      </c>
    </row>
    <row r="226" spans="1:14" x14ac:dyDescent="0.25">
      <c r="A226" s="665"/>
      <c r="B226" s="665"/>
      <c r="C226" s="665"/>
      <c r="D226" s="665"/>
      <c r="E226" s="665"/>
      <c r="F226" s="665"/>
      <c r="G226" s="665"/>
      <c r="H226" s="665"/>
      <c r="I226" s="665" t="s">
        <v>1569</v>
      </c>
      <c r="J226" s="666">
        <v>0</v>
      </c>
      <c r="K226" s="666">
        <v>0</v>
      </c>
      <c r="L226" s="666">
        <v>0</v>
      </c>
      <c r="M226" s="666">
        <f>ROUND(SUM(J226:L226),5)</f>
        <v>0</v>
      </c>
    </row>
    <row r="227" spans="1:14" ht="15.75" thickBot="1" x14ac:dyDescent="0.3">
      <c r="A227" s="665"/>
      <c r="B227" s="665"/>
      <c r="C227" s="665"/>
      <c r="D227" s="665"/>
      <c r="E227" s="665"/>
      <c r="F227" s="665"/>
      <c r="G227" s="665"/>
      <c r="H227" s="665"/>
      <c r="I227" s="665" t="s">
        <v>1414</v>
      </c>
      <c r="J227" s="668">
        <v>0</v>
      </c>
      <c r="K227" s="668">
        <v>0</v>
      </c>
      <c r="L227" s="668">
        <v>0</v>
      </c>
      <c r="M227" s="668">
        <f>ROUND(SUM(J227:L227),5)</f>
        <v>0</v>
      </c>
    </row>
    <row r="228" spans="1:14" x14ac:dyDescent="0.25">
      <c r="A228" s="665"/>
      <c r="B228" s="665"/>
      <c r="C228" s="665"/>
      <c r="D228" s="665"/>
      <c r="E228" s="665"/>
      <c r="F228" s="665"/>
      <c r="G228" s="665"/>
      <c r="H228" s="665" t="s">
        <v>1415</v>
      </c>
      <c r="I228" s="665"/>
      <c r="J228" s="666">
        <f>ROUND(SUM(J222:J227),5)</f>
        <v>0</v>
      </c>
      <c r="K228" s="666">
        <f>ROUND(SUM(K222:K227),5)</f>
        <v>0</v>
      </c>
      <c r="L228" s="666">
        <f>ROUND(SUM(L222:L227),5)</f>
        <v>0</v>
      </c>
      <c r="M228" s="666">
        <f>ROUND(SUM(J228:L228),5)</f>
        <v>0</v>
      </c>
    </row>
    <row r="229" spans="1:14" x14ac:dyDescent="0.25">
      <c r="A229" s="665"/>
      <c r="B229" s="665"/>
      <c r="C229" s="665"/>
      <c r="D229" s="665"/>
      <c r="E229" s="665"/>
      <c r="F229" s="665"/>
      <c r="G229" s="665"/>
      <c r="H229" s="665" t="s">
        <v>1570</v>
      </c>
      <c r="I229" s="665"/>
      <c r="J229" s="666">
        <v>0</v>
      </c>
      <c r="K229" s="666">
        <v>0</v>
      </c>
      <c r="L229" s="666">
        <v>0</v>
      </c>
      <c r="M229" s="666">
        <f>ROUND(SUM(J229:L229),5)</f>
        <v>0</v>
      </c>
    </row>
    <row r="230" spans="1:14" ht="15.75" thickBot="1" x14ac:dyDescent="0.3">
      <c r="A230" s="665"/>
      <c r="B230" s="665"/>
      <c r="C230" s="665"/>
      <c r="D230" s="665"/>
      <c r="E230" s="665"/>
      <c r="F230" s="665"/>
      <c r="G230" s="665"/>
      <c r="H230" s="665" t="s">
        <v>1416</v>
      </c>
      <c r="I230" s="665"/>
      <c r="J230" s="668">
        <v>0</v>
      </c>
      <c r="K230" s="668">
        <v>0</v>
      </c>
      <c r="L230" s="668">
        <v>0</v>
      </c>
      <c r="M230" s="668">
        <f>ROUND(SUM(J230:L230),5)</f>
        <v>0</v>
      </c>
    </row>
    <row r="231" spans="1:14" x14ac:dyDescent="0.25">
      <c r="A231" s="665"/>
      <c r="B231" s="665"/>
      <c r="C231" s="665"/>
      <c r="D231" s="665"/>
      <c r="E231" s="665"/>
      <c r="F231" s="665"/>
      <c r="G231" s="665" t="s">
        <v>1417</v>
      </c>
      <c r="H231" s="665"/>
      <c r="I231" s="665"/>
      <c r="J231" s="666">
        <f>ROUND(SUM(J215:J221)+SUM(J228:J230),5)</f>
        <v>15000</v>
      </c>
      <c r="K231" s="666">
        <f>ROUND(SUM(K215:K221)+SUM(K228:K230),5)</f>
        <v>0</v>
      </c>
      <c r="L231" s="666">
        <f>ROUND(SUM(L215:L221)+SUM(L228:L230),5)</f>
        <v>0</v>
      </c>
      <c r="M231" s="666">
        <f>ROUND(SUM(J231:L231),5)</f>
        <v>15000</v>
      </c>
    </row>
    <row r="232" spans="1:14" x14ac:dyDescent="0.25">
      <c r="A232" s="665"/>
      <c r="B232" s="665"/>
      <c r="C232" s="665"/>
      <c r="D232" s="665"/>
      <c r="E232" s="665"/>
      <c r="F232" s="665"/>
      <c r="G232" s="665" t="s">
        <v>1418</v>
      </c>
      <c r="H232" s="665"/>
      <c r="I232" s="665"/>
      <c r="J232" s="666"/>
      <c r="K232" s="666"/>
      <c r="L232" s="666"/>
      <c r="M232" s="666"/>
    </row>
    <row r="233" spans="1:14" x14ac:dyDescent="0.25">
      <c r="A233" s="665"/>
      <c r="B233" s="665"/>
      <c r="C233" s="665"/>
      <c r="D233" s="665"/>
      <c r="E233" s="665"/>
      <c r="F233" s="665"/>
      <c r="G233" s="665"/>
      <c r="H233" s="665" t="s">
        <v>754</v>
      </c>
      <c r="I233" s="665"/>
      <c r="J233" s="666">
        <v>122091.49</v>
      </c>
      <c r="K233" s="666">
        <v>122091.49</v>
      </c>
      <c r="L233" s="666">
        <v>122091.49</v>
      </c>
      <c r="M233" s="666">
        <f>ROUND(SUM(J233:L233),5)</f>
        <v>366274.47</v>
      </c>
      <c r="N233" s="679">
        <f>+M233</f>
        <v>366274.47</v>
      </c>
    </row>
    <row r="234" spans="1:14" x14ac:dyDescent="0.25">
      <c r="A234" s="665"/>
      <c r="B234" s="665"/>
      <c r="C234" s="665"/>
      <c r="D234" s="665"/>
      <c r="E234" s="665"/>
      <c r="F234" s="665"/>
      <c r="G234" s="665"/>
      <c r="H234" s="665" t="s">
        <v>749</v>
      </c>
      <c r="I234" s="665"/>
      <c r="J234" s="666">
        <v>60726.16</v>
      </c>
      <c r="K234" s="666">
        <v>60726.16</v>
      </c>
      <c r="L234" s="666">
        <v>60726.16</v>
      </c>
      <c r="M234" s="666">
        <f>ROUND(SUM(J234:L234),5)</f>
        <v>182178.48</v>
      </c>
    </row>
    <row r="235" spans="1:14" x14ac:dyDescent="0.25">
      <c r="A235" s="665"/>
      <c r="B235" s="665"/>
      <c r="C235" s="665"/>
      <c r="D235" s="665"/>
      <c r="E235" s="665"/>
      <c r="F235" s="665"/>
      <c r="G235" s="665"/>
      <c r="H235" s="665" t="s">
        <v>750</v>
      </c>
      <c r="I235" s="665"/>
      <c r="J235" s="666">
        <v>146470.76999999999</v>
      </c>
      <c r="K235" s="666">
        <v>146470.76999999999</v>
      </c>
      <c r="L235" s="666">
        <v>146470.76999999999</v>
      </c>
      <c r="M235" s="666">
        <f>ROUND(SUM(J235:L235),5)</f>
        <v>439412.31</v>
      </c>
    </row>
    <row r="236" spans="1:14" ht="15.75" thickBot="1" x14ac:dyDescent="0.3">
      <c r="A236" s="665"/>
      <c r="B236" s="665"/>
      <c r="C236" s="665"/>
      <c r="D236" s="665"/>
      <c r="E236" s="665"/>
      <c r="F236" s="665"/>
      <c r="G236" s="665"/>
      <c r="H236" s="665" t="s">
        <v>751</v>
      </c>
      <c r="I236" s="665"/>
      <c r="J236" s="668">
        <v>50238.05</v>
      </c>
      <c r="K236" s="668">
        <v>50238.05</v>
      </c>
      <c r="L236" s="668">
        <v>50238.05</v>
      </c>
      <c r="M236" s="668">
        <f>ROUND(SUM(J236:L236),5)</f>
        <v>150714.15</v>
      </c>
    </row>
    <row r="237" spans="1:14" x14ac:dyDescent="0.25">
      <c r="A237" s="665"/>
      <c r="B237" s="665"/>
      <c r="C237" s="665"/>
      <c r="D237" s="665"/>
      <c r="E237" s="665"/>
      <c r="F237" s="665"/>
      <c r="G237" s="665" t="s">
        <v>1419</v>
      </c>
      <c r="H237" s="665"/>
      <c r="I237" s="665"/>
      <c r="J237" s="666">
        <f>ROUND(SUM(J232:J236),5)</f>
        <v>379526.47</v>
      </c>
      <c r="K237" s="666">
        <f>ROUND(SUM(K232:K236),5)</f>
        <v>379526.47</v>
      </c>
      <c r="L237" s="666">
        <f>ROUND(SUM(L232:L236),5)</f>
        <v>379526.47</v>
      </c>
      <c r="M237" s="666">
        <f>ROUND(SUM(J237:L237),5)</f>
        <v>1138579.4099999999</v>
      </c>
    </row>
    <row r="238" spans="1:14" x14ac:dyDescent="0.25">
      <c r="A238" s="665"/>
      <c r="B238" s="665"/>
      <c r="C238" s="665"/>
      <c r="D238" s="665"/>
      <c r="E238" s="665"/>
      <c r="F238" s="665"/>
      <c r="G238" s="665" t="s">
        <v>1420</v>
      </c>
      <c r="H238" s="665"/>
      <c r="I238" s="665"/>
      <c r="J238" s="666"/>
      <c r="K238" s="666"/>
      <c r="L238" s="666"/>
      <c r="M238" s="666"/>
    </row>
    <row r="239" spans="1:14" ht="15.75" thickBot="1" x14ac:dyDescent="0.3">
      <c r="A239" s="665"/>
      <c r="B239" s="665"/>
      <c r="C239" s="665"/>
      <c r="D239" s="665"/>
      <c r="E239" s="665"/>
      <c r="F239" s="665"/>
      <c r="G239" s="665"/>
      <c r="H239" s="665" t="s">
        <v>1421</v>
      </c>
      <c r="I239" s="665"/>
      <c r="J239" s="668">
        <v>0</v>
      </c>
      <c r="K239" s="668">
        <v>1100</v>
      </c>
      <c r="L239" s="668">
        <v>6030</v>
      </c>
      <c r="M239" s="668">
        <f>ROUND(SUM(J239:L239),5)</f>
        <v>7130</v>
      </c>
    </row>
    <row r="240" spans="1:14" x14ac:dyDescent="0.25">
      <c r="A240" s="665"/>
      <c r="B240" s="665"/>
      <c r="C240" s="665"/>
      <c r="D240" s="665"/>
      <c r="E240" s="665"/>
      <c r="F240" s="665"/>
      <c r="G240" s="665" t="s">
        <v>1422</v>
      </c>
      <c r="H240" s="665"/>
      <c r="I240" s="665"/>
      <c r="J240" s="666">
        <f>ROUND(SUM(J238:J239),5)</f>
        <v>0</v>
      </c>
      <c r="K240" s="666">
        <f>ROUND(SUM(K238:K239),5)</f>
        <v>1100</v>
      </c>
      <c r="L240" s="666">
        <f>ROUND(SUM(L238:L239),5)</f>
        <v>6030</v>
      </c>
      <c r="M240" s="666">
        <f>ROUND(SUM(J240:L240),5)</f>
        <v>7130</v>
      </c>
    </row>
    <row r="241" spans="1:13" x14ac:dyDescent="0.25">
      <c r="A241" s="665"/>
      <c r="B241" s="665"/>
      <c r="C241" s="665"/>
      <c r="D241" s="665"/>
      <c r="E241" s="665"/>
      <c r="F241" s="665"/>
      <c r="G241" s="665" t="s">
        <v>1423</v>
      </c>
      <c r="H241" s="665"/>
      <c r="I241" s="665"/>
      <c r="J241" s="666"/>
      <c r="K241" s="666"/>
      <c r="L241" s="666"/>
      <c r="M241" s="666"/>
    </row>
    <row r="242" spans="1:13" x14ac:dyDescent="0.25">
      <c r="A242" s="665"/>
      <c r="B242" s="665"/>
      <c r="C242" s="665"/>
      <c r="D242" s="665"/>
      <c r="E242" s="665"/>
      <c r="F242" s="665"/>
      <c r="G242" s="665"/>
      <c r="H242" s="665" t="s">
        <v>1424</v>
      </c>
      <c r="I242" s="665"/>
      <c r="J242" s="666">
        <v>73493.960000000006</v>
      </c>
      <c r="K242" s="666">
        <v>69075.09</v>
      </c>
      <c r="L242" s="666">
        <v>53457.68</v>
      </c>
      <c r="M242" s="666">
        <f>ROUND(SUM(J242:L242),5)</f>
        <v>196026.73</v>
      </c>
    </row>
    <row r="243" spans="1:13" x14ac:dyDescent="0.25">
      <c r="A243" s="665"/>
      <c r="B243" s="665"/>
      <c r="C243" s="665"/>
      <c r="D243" s="665"/>
      <c r="E243" s="665"/>
      <c r="F243" s="665"/>
      <c r="G243" s="665"/>
      <c r="H243" s="665" t="s">
        <v>1425</v>
      </c>
      <c r="I243" s="665"/>
      <c r="J243" s="666">
        <v>32834.49</v>
      </c>
      <c r="K243" s="666">
        <v>17294.95</v>
      </c>
      <c r="L243" s="666">
        <v>24432.06</v>
      </c>
      <c r="M243" s="666">
        <f>ROUND(SUM(J243:L243),5)</f>
        <v>74561.5</v>
      </c>
    </row>
    <row r="244" spans="1:13" x14ac:dyDescent="0.25">
      <c r="A244" s="665"/>
      <c r="B244" s="665"/>
      <c r="C244" s="665"/>
      <c r="D244" s="665"/>
      <c r="E244" s="665"/>
      <c r="F244" s="665"/>
      <c r="G244" s="665"/>
      <c r="H244" s="665" t="s">
        <v>1426</v>
      </c>
      <c r="I244" s="665"/>
      <c r="J244" s="666">
        <v>1532853.78</v>
      </c>
      <c r="K244" s="666">
        <v>884180.4</v>
      </c>
      <c r="L244" s="666">
        <v>380388.16</v>
      </c>
      <c r="M244" s="666">
        <f>ROUND(SUM(J244:L244),5)</f>
        <v>2797422.34</v>
      </c>
    </row>
    <row r="245" spans="1:13" x14ac:dyDescent="0.25">
      <c r="A245" s="665"/>
      <c r="B245" s="665"/>
      <c r="C245" s="665"/>
      <c r="D245" s="665"/>
      <c r="E245" s="665"/>
      <c r="F245" s="665"/>
      <c r="G245" s="665"/>
      <c r="H245" s="665" t="s">
        <v>1427</v>
      </c>
      <c r="I245" s="665"/>
      <c r="J245" s="666">
        <v>26564.03</v>
      </c>
      <c r="K245" s="666">
        <v>25039.78</v>
      </c>
      <c r="L245" s="666">
        <v>0</v>
      </c>
      <c r="M245" s="666">
        <f>ROUND(SUM(J245:L245),5)</f>
        <v>51603.81</v>
      </c>
    </row>
    <row r="246" spans="1:13" x14ac:dyDescent="0.25">
      <c r="A246" s="665"/>
      <c r="B246" s="665"/>
      <c r="C246" s="665"/>
      <c r="D246" s="665"/>
      <c r="E246" s="665"/>
      <c r="F246" s="665"/>
      <c r="G246" s="665"/>
      <c r="H246" s="665" t="s">
        <v>1428</v>
      </c>
      <c r="I246" s="665"/>
      <c r="J246" s="666">
        <v>0</v>
      </c>
      <c r="K246" s="666">
        <v>0</v>
      </c>
      <c r="L246" s="666">
        <v>92.38</v>
      </c>
      <c r="M246" s="666">
        <f>ROUND(SUM(J246:L246),5)</f>
        <v>92.38</v>
      </c>
    </row>
    <row r="247" spans="1:13" ht="15.75" thickBot="1" x14ac:dyDescent="0.3">
      <c r="A247" s="665"/>
      <c r="B247" s="665"/>
      <c r="C247" s="665"/>
      <c r="D247" s="665"/>
      <c r="E247" s="665"/>
      <c r="F247" s="665"/>
      <c r="G247" s="665"/>
      <c r="H247" s="665" t="s">
        <v>1433</v>
      </c>
      <c r="I247" s="665"/>
      <c r="J247" s="669">
        <v>51745.66</v>
      </c>
      <c r="K247" s="669">
        <v>0</v>
      </c>
      <c r="L247" s="669">
        <v>0</v>
      </c>
      <c r="M247" s="669">
        <f>ROUND(SUM(J247:L247),5)</f>
        <v>51745.66</v>
      </c>
    </row>
    <row r="248" spans="1:13" ht="15.75" thickBot="1" x14ac:dyDescent="0.3">
      <c r="A248" s="665"/>
      <c r="B248" s="665"/>
      <c r="C248" s="665"/>
      <c r="D248" s="665"/>
      <c r="E248" s="665"/>
      <c r="F248" s="665"/>
      <c r="G248" s="665" t="s">
        <v>1435</v>
      </c>
      <c r="H248" s="665"/>
      <c r="I248" s="665"/>
      <c r="J248" s="671">
        <f>ROUND(SUM(J241:J247),5)</f>
        <v>1717491.92</v>
      </c>
      <c r="K248" s="671">
        <f>ROUND(SUM(K241:K247),5)</f>
        <v>995590.22</v>
      </c>
      <c r="L248" s="671">
        <f>ROUND(SUM(L241:L247),5)</f>
        <v>458370.28</v>
      </c>
      <c r="M248" s="671">
        <f>ROUND(SUM(J248:L248),5)</f>
        <v>3171452.42</v>
      </c>
    </row>
    <row r="249" spans="1:13" ht="15.75" thickBot="1" x14ac:dyDescent="0.3">
      <c r="A249" s="665"/>
      <c r="B249" s="665"/>
      <c r="C249" s="665"/>
      <c r="D249" s="665"/>
      <c r="E249" s="665"/>
      <c r="F249" s="665" t="s">
        <v>1437</v>
      </c>
      <c r="G249" s="665"/>
      <c r="H249" s="665"/>
      <c r="I249" s="665"/>
      <c r="J249" s="670">
        <f>ROUND(J179+J184+J199+J207+J214+J231+J237+J240+J248,5)</f>
        <v>2764868.39</v>
      </c>
      <c r="K249" s="670">
        <f>ROUND(K179+K184+K199+K207+K214+K231+K237+K240+K248,5)</f>
        <v>2003224.69</v>
      </c>
      <c r="L249" s="670">
        <f>ROUND(L179+L184+L199+L207+L214+L231+L237+L240+L248,5)</f>
        <v>1367782.75</v>
      </c>
      <c r="M249" s="670">
        <f>ROUND(SUM(J249:L249),5)</f>
        <v>6135875.8300000001</v>
      </c>
    </row>
    <row r="250" spans="1:13" x14ac:dyDescent="0.25">
      <c r="A250" s="665"/>
      <c r="B250" s="665"/>
      <c r="C250" s="665"/>
      <c r="D250" s="665"/>
      <c r="E250" s="665" t="s">
        <v>1438</v>
      </c>
      <c r="F250" s="665"/>
      <c r="G250" s="665"/>
      <c r="H250" s="665"/>
      <c r="I250" s="665"/>
      <c r="J250" s="666">
        <f>ROUND(J47+J98+J146+J159+J178+J249,5)</f>
        <v>5016619.57</v>
      </c>
      <c r="K250" s="666">
        <f>ROUND(K47+K98+K146+K159+K178+K249,5)</f>
        <v>4133789.4</v>
      </c>
      <c r="L250" s="666">
        <f>ROUND(L47+L98+L146+L159+L178+L249,5)</f>
        <v>3530493.11</v>
      </c>
      <c r="M250" s="666">
        <f>ROUND(SUM(J250:L250),5)</f>
        <v>12680902.08</v>
      </c>
    </row>
    <row r="251" spans="1:13" x14ac:dyDescent="0.25">
      <c r="A251" s="665"/>
      <c r="B251" s="665"/>
      <c r="C251" s="665"/>
      <c r="D251" s="665"/>
      <c r="E251" s="665" t="s">
        <v>1439</v>
      </c>
      <c r="F251" s="665"/>
      <c r="G251" s="665"/>
      <c r="H251" s="665"/>
      <c r="I251" s="665"/>
      <c r="J251" s="666"/>
      <c r="K251" s="666"/>
      <c r="L251" s="666"/>
      <c r="M251" s="666"/>
    </row>
    <row r="252" spans="1:13" x14ac:dyDescent="0.25">
      <c r="A252" s="665"/>
      <c r="B252" s="665"/>
      <c r="C252" s="665"/>
      <c r="D252" s="665"/>
      <c r="E252" s="665"/>
      <c r="F252" s="665" t="s">
        <v>1571</v>
      </c>
      <c r="G252" s="665"/>
      <c r="H252" s="665"/>
      <c r="I252" s="665"/>
      <c r="J252" s="666">
        <v>0</v>
      </c>
      <c r="K252" s="666">
        <v>2040</v>
      </c>
      <c r="L252" s="666">
        <v>5880</v>
      </c>
      <c r="M252" s="666">
        <f>ROUND(SUM(J252:L252),5)</f>
        <v>7920</v>
      </c>
    </row>
    <row r="253" spans="1:13" x14ac:dyDescent="0.25">
      <c r="A253" s="665"/>
      <c r="B253" s="665"/>
      <c r="C253" s="665"/>
      <c r="D253" s="665"/>
      <c r="E253" s="665"/>
      <c r="F253" s="665" t="s">
        <v>1572</v>
      </c>
      <c r="G253" s="665"/>
      <c r="H253" s="665"/>
      <c r="I253" s="665"/>
      <c r="J253" s="666">
        <v>0</v>
      </c>
      <c r="K253" s="666">
        <v>60000</v>
      </c>
      <c r="L253" s="666">
        <v>85000</v>
      </c>
      <c r="M253" s="666">
        <f>ROUND(SUM(J253:L253),5)</f>
        <v>145000</v>
      </c>
    </row>
    <row r="254" spans="1:13" x14ac:dyDescent="0.25">
      <c r="A254" s="665"/>
      <c r="B254" s="665"/>
      <c r="C254" s="665"/>
      <c r="D254" s="665"/>
      <c r="E254" s="665"/>
      <c r="F254" s="665" t="s">
        <v>1573</v>
      </c>
      <c r="G254" s="665"/>
      <c r="H254" s="665"/>
      <c r="I254" s="665"/>
      <c r="J254" s="666">
        <v>0</v>
      </c>
      <c r="K254" s="666">
        <v>1200</v>
      </c>
      <c r="L254" s="666">
        <v>0</v>
      </c>
      <c r="M254" s="666">
        <f>ROUND(SUM(J254:L254),5)</f>
        <v>1200</v>
      </c>
    </row>
    <row r="255" spans="1:13" x14ac:dyDescent="0.25">
      <c r="A255" s="665"/>
      <c r="B255" s="665"/>
      <c r="C255" s="665"/>
      <c r="D255" s="665"/>
      <c r="E255" s="665"/>
      <c r="F255" s="665" t="s">
        <v>1574</v>
      </c>
      <c r="G255" s="665"/>
      <c r="H255" s="665"/>
      <c r="I255" s="665"/>
      <c r="J255" s="666">
        <v>0</v>
      </c>
      <c r="K255" s="666">
        <v>0</v>
      </c>
      <c r="L255" s="666">
        <v>1566</v>
      </c>
      <c r="M255" s="666">
        <f>ROUND(SUM(J255:L255),5)</f>
        <v>1566</v>
      </c>
    </row>
    <row r="256" spans="1:13" x14ac:dyDescent="0.25">
      <c r="A256" s="665"/>
      <c r="B256" s="665"/>
      <c r="C256" s="665"/>
      <c r="D256" s="665"/>
      <c r="E256" s="665"/>
      <c r="F256" s="665" t="s">
        <v>1575</v>
      </c>
      <c r="G256" s="665"/>
      <c r="H256" s="665"/>
      <c r="I256" s="665"/>
      <c r="J256" s="666">
        <v>0</v>
      </c>
      <c r="K256" s="666">
        <v>300</v>
      </c>
      <c r="L256" s="666">
        <v>0</v>
      </c>
      <c r="M256" s="666">
        <f>ROUND(SUM(J256:L256),5)</f>
        <v>300</v>
      </c>
    </row>
    <row r="257" spans="1:15" ht="15.75" thickBot="1" x14ac:dyDescent="0.3">
      <c r="A257" s="665"/>
      <c r="B257" s="665"/>
      <c r="C257" s="665"/>
      <c r="D257" s="665"/>
      <c r="E257" s="665"/>
      <c r="F257" s="665" t="s">
        <v>1576</v>
      </c>
      <c r="G257" s="665"/>
      <c r="H257" s="665"/>
      <c r="I257" s="665"/>
      <c r="J257" s="669">
        <v>379362.34</v>
      </c>
      <c r="K257" s="669">
        <v>382151.41</v>
      </c>
      <c r="L257" s="669">
        <v>0</v>
      </c>
      <c r="M257" s="669">
        <f>ROUND(SUM(J257:L257),5)</f>
        <v>761513.75</v>
      </c>
    </row>
    <row r="258" spans="1:15" ht="15.75" thickBot="1" x14ac:dyDescent="0.3">
      <c r="A258" s="665"/>
      <c r="B258" s="665"/>
      <c r="C258" s="665"/>
      <c r="D258" s="665"/>
      <c r="E258" s="665" t="s">
        <v>1577</v>
      </c>
      <c r="F258" s="665"/>
      <c r="G258" s="665"/>
      <c r="H258" s="665"/>
      <c r="I258" s="665"/>
      <c r="J258" s="671">
        <f>ROUND(SUM(J251:J257),5)</f>
        <v>379362.34</v>
      </c>
      <c r="K258" s="671">
        <f>ROUND(SUM(K251:K257),5)</f>
        <v>445691.41</v>
      </c>
      <c r="L258" s="671">
        <f>ROUND(SUM(L251:L257),5)</f>
        <v>92446</v>
      </c>
      <c r="M258" s="671">
        <f>ROUND(SUM(J258:L258),5)</f>
        <v>917499.75</v>
      </c>
    </row>
    <row r="259" spans="1:15" ht="15.75" thickBot="1" x14ac:dyDescent="0.3">
      <c r="A259" s="665"/>
      <c r="B259" s="665"/>
      <c r="C259" s="665"/>
      <c r="D259" s="665" t="s">
        <v>1440</v>
      </c>
      <c r="E259" s="665"/>
      <c r="F259" s="665"/>
      <c r="G259" s="665"/>
      <c r="H259" s="665"/>
      <c r="I259" s="665"/>
      <c r="J259" s="670">
        <f>ROUND(J46+J250+J258,5)</f>
        <v>5395981.9100000001</v>
      </c>
      <c r="K259" s="670">
        <f>ROUND(K46+K250+K258,5)</f>
        <v>4579480.8099999996</v>
      </c>
      <c r="L259" s="670">
        <f>ROUND(L46+L250+L258,5)</f>
        <v>3622939.11</v>
      </c>
      <c r="M259" s="670">
        <f>ROUND(SUM(J259:L259),5)</f>
        <v>13598401.83</v>
      </c>
    </row>
    <row r="260" spans="1:15" x14ac:dyDescent="0.25">
      <c r="A260" s="665"/>
      <c r="B260" s="665" t="s">
        <v>1441</v>
      </c>
      <c r="C260" s="665"/>
      <c r="D260" s="665"/>
      <c r="E260" s="665"/>
      <c r="F260" s="665"/>
      <c r="G260" s="665"/>
      <c r="H260" s="665"/>
      <c r="I260" s="665"/>
      <c r="J260" s="666">
        <f>ROUND(J2+J45-J259,5)</f>
        <v>3902744.04</v>
      </c>
      <c r="K260" s="666">
        <f>ROUND(K2+K45-K259,5)</f>
        <v>-2633173.08</v>
      </c>
      <c r="L260" s="666">
        <f>ROUND(L2+L45-L259,5)</f>
        <v>6361588.9199999999</v>
      </c>
      <c r="M260" s="666">
        <f>ROUND(SUM(J260:L260),5)</f>
        <v>7631159.8799999999</v>
      </c>
    </row>
    <row r="261" spans="1:15" x14ac:dyDescent="0.25">
      <c r="A261" s="665"/>
      <c r="B261" s="665" t="s">
        <v>1442</v>
      </c>
      <c r="C261" s="665"/>
      <c r="D261" s="665"/>
      <c r="E261" s="665"/>
      <c r="F261" s="665"/>
      <c r="G261" s="665"/>
      <c r="H261" s="665"/>
      <c r="I261" s="665"/>
      <c r="J261" s="666"/>
      <c r="K261" s="666"/>
      <c r="L261" s="666"/>
      <c r="M261" s="666"/>
    </row>
    <row r="262" spans="1:15" x14ac:dyDescent="0.25">
      <c r="A262" s="665"/>
      <c r="B262" s="665"/>
      <c r="C262" s="665" t="s">
        <v>43</v>
      </c>
      <c r="D262" s="665"/>
      <c r="E262" s="665"/>
      <c r="F262" s="665"/>
      <c r="G262" s="665"/>
      <c r="H262" s="665"/>
      <c r="I262" s="665"/>
      <c r="J262" s="666"/>
      <c r="K262" s="666"/>
      <c r="L262" s="666"/>
      <c r="M262" s="666"/>
    </row>
    <row r="263" spans="1:15" x14ac:dyDescent="0.25">
      <c r="A263" s="665"/>
      <c r="B263" s="665"/>
      <c r="C263" s="665"/>
      <c r="D263" s="665" t="s">
        <v>1443</v>
      </c>
      <c r="E263" s="665"/>
      <c r="F263" s="665"/>
      <c r="G263" s="665"/>
      <c r="H263" s="665"/>
      <c r="I263" s="665"/>
      <c r="J263" s="666"/>
      <c r="K263" s="666"/>
      <c r="L263" s="666"/>
      <c r="M263" s="666"/>
    </row>
    <row r="264" spans="1:15" x14ac:dyDescent="0.25">
      <c r="A264" s="665"/>
      <c r="B264" s="665"/>
      <c r="C264" s="665"/>
      <c r="D264" s="665"/>
      <c r="E264" s="665" t="s">
        <v>1578</v>
      </c>
      <c r="F264" s="665"/>
      <c r="G264" s="665"/>
      <c r="H264" s="665"/>
      <c r="I264" s="665"/>
      <c r="J264" s="666">
        <v>1988.44</v>
      </c>
      <c r="K264" s="666">
        <v>3717.66</v>
      </c>
      <c r="L264" s="666">
        <v>0</v>
      </c>
      <c r="M264" s="666">
        <f>ROUND(SUM(J264:L264),5)</f>
        <v>5706.1</v>
      </c>
    </row>
    <row r="265" spans="1:15" ht="15.75" thickBot="1" x14ac:dyDescent="0.3">
      <c r="A265" s="665"/>
      <c r="B265" s="665"/>
      <c r="C265" s="665"/>
      <c r="D265" s="665"/>
      <c r="E265" s="665" t="s">
        <v>1446</v>
      </c>
      <c r="F265" s="665"/>
      <c r="G265" s="665"/>
      <c r="H265" s="665"/>
      <c r="I265" s="665"/>
      <c r="J265" s="669">
        <v>1114.76</v>
      </c>
      <c r="K265" s="669">
        <v>1009.2</v>
      </c>
      <c r="L265" s="669">
        <v>119.63</v>
      </c>
      <c r="M265" s="669">
        <f>ROUND(SUM(J265:L265),5)</f>
        <v>2243.59</v>
      </c>
    </row>
    <row r="266" spans="1:15" ht="15.75" thickBot="1" x14ac:dyDescent="0.3">
      <c r="A266" s="665"/>
      <c r="B266" s="665"/>
      <c r="C266" s="665"/>
      <c r="D266" s="665" t="s">
        <v>1451</v>
      </c>
      <c r="E266" s="665"/>
      <c r="F266" s="665"/>
      <c r="G266" s="665"/>
      <c r="H266" s="665"/>
      <c r="I266" s="665"/>
      <c r="J266" s="671">
        <f>ROUND(SUM(J263:J265),5)</f>
        <v>3103.2</v>
      </c>
      <c r="K266" s="671">
        <f>ROUND(SUM(K263:K265),5)</f>
        <v>4726.8599999999997</v>
      </c>
      <c r="L266" s="671">
        <f>ROUND(SUM(L263:L265),5)</f>
        <v>119.63</v>
      </c>
      <c r="M266" s="671">
        <f>ROUND(SUM(J266:L266),5)</f>
        <v>7949.69</v>
      </c>
    </row>
    <row r="267" spans="1:15" ht="15.75" thickBot="1" x14ac:dyDescent="0.3">
      <c r="A267" s="665"/>
      <c r="B267" s="665"/>
      <c r="C267" s="665" t="s">
        <v>1452</v>
      </c>
      <c r="D267" s="665"/>
      <c r="E267" s="665"/>
      <c r="F267" s="665"/>
      <c r="G267" s="665"/>
      <c r="H267" s="665"/>
      <c r="I267" s="665"/>
      <c r="J267" s="671">
        <f>ROUND(J262+J266,5)</f>
        <v>3103.2</v>
      </c>
      <c r="K267" s="671">
        <f>ROUND(K262+K266,5)</f>
        <v>4726.8599999999997</v>
      </c>
      <c r="L267" s="671">
        <f>ROUND(L262+L266,5)</f>
        <v>119.63</v>
      </c>
      <c r="M267" s="671">
        <f>ROUND(SUM(J267:L267),5)</f>
        <v>7949.69</v>
      </c>
    </row>
    <row r="268" spans="1:15" ht="15.75" thickBot="1" x14ac:dyDescent="0.3">
      <c r="A268" s="665"/>
      <c r="B268" s="665" t="s">
        <v>1455</v>
      </c>
      <c r="C268" s="665"/>
      <c r="D268" s="665"/>
      <c r="E268" s="665"/>
      <c r="F268" s="665"/>
      <c r="G268" s="665"/>
      <c r="H268" s="665"/>
      <c r="I268" s="665"/>
      <c r="J268" s="671">
        <f>ROUND(J261+J267,5)</f>
        <v>3103.2</v>
      </c>
      <c r="K268" s="671">
        <f>ROUND(K261+K267,5)</f>
        <v>4726.8599999999997</v>
      </c>
      <c r="L268" s="671">
        <f>ROUND(L261+L267,5)</f>
        <v>119.63</v>
      </c>
      <c r="M268" s="671">
        <f>ROUND(SUM(J268:L268),5)</f>
        <v>7949.69</v>
      </c>
    </row>
    <row r="269" spans="1:15" s="673" customFormat="1" ht="12" thickBot="1" x14ac:dyDescent="0.25">
      <c r="A269" s="665" t="s">
        <v>1109</v>
      </c>
      <c r="B269" s="665"/>
      <c r="C269" s="665"/>
      <c r="D269" s="665"/>
      <c r="E269" s="665"/>
      <c r="F269" s="665"/>
      <c r="G269" s="665"/>
      <c r="H269" s="665"/>
      <c r="I269" s="665"/>
      <c r="J269" s="672">
        <f>ROUND(J260+J268,5)</f>
        <v>3905847.24</v>
      </c>
      <c r="K269" s="672">
        <f>ROUND(K260+K268,5)</f>
        <v>-2628446.2200000002</v>
      </c>
      <c r="L269" s="672">
        <f>ROUND(L260+L268,5)</f>
        <v>6361708.5499999998</v>
      </c>
      <c r="M269" s="672">
        <f>ROUND(SUM(J269:L269),5)</f>
        <v>7639109.5700000003</v>
      </c>
      <c r="N269" s="693">
        <f>SUM(N2:N268)</f>
        <v>737342.22</v>
      </c>
      <c r="O269" s="693">
        <f>SUM(O2:O268)</f>
        <v>630894.75</v>
      </c>
    </row>
    <row r="270" spans="1:15" ht="15.75" thickTop="1" x14ac:dyDescent="0.25"/>
  </sheetData>
  <pageMargins left="0.7" right="0.7" top="0.75" bottom="0.75" header="0.1" footer="0.3"/>
  <pageSetup orientation="portrait" r:id="rId1"/>
  <headerFooter>
    <oddHeader>&amp;L&amp;"Arial,Bold"&amp;8 4:09 AM
&amp;"Arial,Bold"&amp;8 04/26/18
&amp;"Arial,Bold"&amp;8 Accrual Basis&amp;C&amp;"Arial,Bold"&amp;12 Tropical Fish International (Pvt) Limited
&amp;"Arial,Bold"&amp;14 Profit &amp;&amp; Loss
&amp;"Arial,Bold"&amp;10 January through March 2018</oddHeader>
    <oddFooter>&amp;R&amp;"Arial,Bold"&amp;8 Page &amp;P of &amp;N</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theme="1"/>
  </sheetPr>
  <dimension ref="A1:IV454"/>
  <sheetViews>
    <sheetView topLeftCell="A11" zoomScale="90" zoomScaleNormal="90" workbookViewId="0">
      <selection activeCell="O19" sqref="O19"/>
    </sheetView>
  </sheetViews>
  <sheetFormatPr defaultRowHeight="12.75" x14ac:dyDescent="0.2"/>
  <cols>
    <col min="1" max="1" width="91.28515625" style="158" customWidth="1"/>
    <col min="2" max="3" width="14.5703125" style="139" bestFit="1" customWidth="1"/>
    <col min="4" max="4" width="14" style="118" customWidth="1"/>
    <col min="5" max="5" width="13.5703125" style="118" bestFit="1" customWidth="1"/>
    <col min="6" max="6" width="14.5703125" style="118" bestFit="1" customWidth="1"/>
    <col min="7" max="7" width="15.140625" style="118" bestFit="1" customWidth="1"/>
    <col min="8" max="8" width="16.42578125" style="118" hidden="1" customWidth="1"/>
    <col min="9" max="9" width="20.28515625" style="118" hidden="1" customWidth="1"/>
    <col min="10" max="11" width="15" style="118" hidden="1" customWidth="1"/>
    <col min="12" max="12" width="15" style="139" hidden="1" customWidth="1"/>
    <col min="13" max="13" width="10.28515625" style="118" hidden="1" customWidth="1"/>
    <col min="14" max="14" width="9.140625" style="118" hidden="1" customWidth="1"/>
    <col min="15" max="15" width="19.140625" style="139" customWidth="1"/>
    <col min="16" max="16" width="14.28515625" style="139" customWidth="1"/>
    <col min="17" max="17" width="1.85546875" style="224" customWidth="1"/>
    <col min="18" max="19" width="17" style="139" customWidth="1"/>
    <col min="20" max="20" width="1.7109375" style="227" customWidth="1"/>
    <col min="21" max="22" width="19.28515625" style="139" customWidth="1"/>
    <col min="23" max="23" width="9.140625" style="118"/>
    <col min="24" max="24" width="14" style="118" bestFit="1" customWidth="1"/>
    <col min="25" max="16384" width="9.140625" style="118"/>
  </cols>
  <sheetData>
    <row r="1" spans="1:256" ht="15.75" x14ac:dyDescent="0.25">
      <c r="A1" s="136" t="s">
        <v>611</v>
      </c>
      <c r="B1" s="137" t="s">
        <v>520</v>
      </c>
      <c r="C1" s="138"/>
      <c r="D1" s="559" t="s">
        <v>609</v>
      </c>
      <c r="E1" s="559"/>
      <c r="F1" s="560" t="s">
        <v>610</v>
      </c>
      <c r="G1" s="561"/>
    </row>
    <row r="2" spans="1:256" s="143" customFormat="1" x14ac:dyDescent="0.2">
      <c r="A2" s="140"/>
      <c r="B2" s="141" t="s">
        <v>91</v>
      </c>
      <c r="C2" s="141" t="s">
        <v>92</v>
      </c>
      <c r="D2" s="142" t="s">
        <v>91</v>
      </c>
      <c r="E2" s="142" t="s">
        <v>92</v>
      </c>
      <c r="F2" s="142" t="s">
        <v>91</v>
      </c>
      <c r="G2" s="142" t="s">
        <v>92</v>
      </c>
      <c r="L2" s="144"/>
      <c r="O2" s="144"/>
      <c r="P2" s="144"/>
      <c r="Q2" s="225"/>
      <c r="R2" s="144"/>
      <c r="S2" s="144"/>
      <c r="T2" s="231"/>
      <c r="U2" s="144"/>
      <c r="V2" s="144"/>
    </row>
    <row r="3" spans="1:256" x14ac:dyDescent="0.2">
      <c r="A3" s="145" t="s">
        <v>93</v>
      </c>
      <c r="B3" s="146"/>
      <c r="C3" s="147">
        <v>7411.33</v>
      </c>
      <c r="D3" s="148"/>
      <c r="E3" s="149"/>
      <c r="F3" s="162">
        <v>0</v>
      </c>
      <c r="G3" s="162">
        <v>7411.33</v>
      </c>
      <c r="R3" s="139">
        <v>0</v>
      </c>
      <c r="S3" s="139">
        <v>7411.33</v>
      </c>
      <c r="T3" s="235"/>
      <c r="U3" s="139">
        <f>F3-R3</f>
        <v>0</v>
      </c>
      <c r="V3" s="139">
        <f>G3-S3</f>
        <v>0</v>
      </c>
    </row>
    <row r="4" spans="1:256" x14ac:dyDescent="0.2">
      <c r="A4" s="145" t="s">
        <v>322</v>
      </c>
      <c r="B4" s="146">
        <v>174441.5</v>
      </c>
      <c r="C4" s="147"/>
      <c r="D4" s="148"/>
      <c r="E4" s="149"/>
      <c r="F4" s="162">
        <v>171820.53</v>
      </c>
      <c r="G4" s="148">
        <v>0</v>
      </c>
      <c r="H4" s="218"/>
      <c r="I4" s="218"/>
      <c r="J4" s="218"/>
      <c r="K4" s="218"/>
      <c r="L4" s="219"/>
      <c r="M4" s="218"/>
      <c r="N4" s="218"/>
      <c r="O4" s="139">
        <f>SUM(F3:F36)-SUM(G3:G36)</f>
        <v>16506106.219999997</v>
      </c>
      <c r="R4" s="139">
        <v>171820.53</v>
      </c>
      <c r="S4" s="139">
        <v>0</v>
      </c>
      <c r="U4" s="219">
        <f t="shared" ref="U4:U67" si="0">F4-R4</f>
        <v>0</v>
      </c>
      <c r="V4" s="219">
        <f t="shared" ref="V4:V67" si="1">G4-S4</f>
        <v>0</v>
      </c>
    </row>
    <row r="5" spans="1:256" x14ac:dyDescent="0.2">
      <c r="A5" s="145" t="s">
        <v>94</v>
      </c>
      <c r="B5" s="146">
        <v>67634.34</v>
      </c>
      <c r="C5" s="147"/>
      <c r="D5" s="148"/>
      <c r="E5" s="149"/>
      <c r="F5" s="162">
        <v>67634.34</v>
      </c>
      <c r="G5" s="148">
        <v>0</v>
      </c>
      <c r="R5" s="139">
        <v>67634.34</v>
      </c>
      <c r="S5" s="139">
        <v>0</v>
      </c>
      <c r="T5" s="235"/>
      <c r="U5" s="139">
        <f t="shared" si="0"/>
        <v>0</v>
      </c>
      <c r="V5" s="139">
        <f t="shared" si="1"/>
        <v>0</v>
      </c>
    </row>
    <row r="6" spans="1:256" x14ac:dyDescent="0.2">
      <c r="A6" s="145" t="s">
        <v>95</v>
      </c>
      <c r="B6" s="146">
        <v>488240.39</v>
      </c>
      <c r="C6" s="147"/>
      <c r="D6" s="148"/>
      <c r="E6" s="149"/>
      <c r="F6" s="162">
        <v>500113.39</v>
      </c>
      <c r="G6" s="148">
        <v>0</v>
      </c>
      <c r="H6" s="218"/>
      <c r="I6" s="218"/>
      <c r="J6" s="218"/>
      <c r="K6" s="218"/>
      <c r="L6" s="219"/>
      <c r="M6" s="218"/>
      <c r="N6" s="218"/>
      <c r="R6" s="139">
        <v>500113.39</v>
      </c>
      <c r="S6" s="139">
        <v>0</v>
      </c>
      <c r="U6" s="219">
        <f t="shared" si="0"/>
        <v>0</v>
      </c>
      <c r="V6" s="219">
        <f t="shared" si="1"/>
        <v>0</v>
      </c>
    </row>
    <row r="7" spans="1:256" x14ac:dyDescent="0.2">
      <c r="A7" s="145" t="s">
        <v>96</v>
      </c>
      <c r="B7" s="146">
        <v>0</v>
      </c>
      <c r="C7" s="147"/>
      <c r="D7" s="148"/>
      <c r="E7" s="149"/>
      <c r="F7" s="162">
        <v>0</v>
      </c>
      <c r="G7" s="148">
        <v>0</v>
      </c>
      <c r="R7" s="139">
        <v>0</v>
      </c>
      <c r="S7" s="139">
        <v>0</v>
      </c>
      <c r="T7" s="235"/>
      <c r="U7" s="139">
        <f t="shared" si="0"/>
        <v>0</v>
      </c>
      <c r="V7" s="139">
        <f t="shared" si="1"/>
        <v>0</v>
      </c>
    </row>
    <row r="8" spans="1:256" x14ac:dyDescent="0.2">
      <c r="A8" s="145" t="s">
        <v>323</v>
      </c>
      <c r="B8" s="146">
        <v>5235238.42</v>
      </c>
      <c r="C8" s="147"/>
      <c r="D8" s="148">
        <f>5000000+2762660.01+1956706.83</f>
        <v>9719366.8399999999</v>
      </c>
      <c r="E8" s="149"/>
      <c r="F8" s="162">
        <v>0</v>
      </c>
      <c r="G8" s="162">
        <v>4402041.09</v>
      </c>
      <c r="H8" s="218"/>
      <c r="I8" s="218"/>
      <c r="J8" s="218"/>
      <c r="K8" s="218"/>
      <c r="L8" s="219"/>
      <c r="M8" s="218"/>
      <c r="N8" s="218"/>
      <c r="R8" s="139">
        <v>0</v>
      </c>
      <c r="S8" s="139">
        <v>4402041.09</v>
      </c>
      <c r="U8" s="219">
        <f t="shared" si="0"/>
        <v>0</v>
      </c>
      <c r="V8" s="219">
        <f t="shared" si="1"/>
        <v>0</v>
      </c>
    </row>
    <row r="9" spans="1:256" x14ac:dyDescent="0.2">
      <c r="A9" s="145" t="s">
        <v>324</v>
      </c>
      <c r="B9" s="146">
        <v>2003415.07</v>
      </c>
      <c r="C9" s="147"/>
      <c r="D9" s="148"/>
      <c r="E9" s="149"/>
      <c r="F9" s="162">
        <v>1505819.18</v>
      </c>
      <c r="G9" s="148">
        <v>0</v>
      </c>
      <c r="H9" s="218"/>
      <c r="I9" s="218"/>
      <c r="J9" s="218"/>
      <c r="K9" s="218"/>
      <c r="L9" s="219"/>
      <c r="M9" s="218"/>
      <c r="N9" s="218"/>
      <c r="R9" s="139">
        <v>1505819.18</v>
      </c>
      <c r="S9" s="139">
        <v>0</v>
      </c>
      <c r="U9" s="219">
        <f t="shared" si="0"/>
        <v>0</v>
      </c>
      <c r="V9" s="219">
        <f t="shared" si="1"/>
        <v>0</v>
      </c>
    </row>
    <row r="10" spans="1:256" x14ac:dyDescent="0.2">
      <c r="A10" s="145" t="s">
        <v>325</v>
      </c>
      <c r="B10" s="146">
        <v>16291545.859999999</v>
      </c>
      <c r="C10" s="147"/>
      <c r="D10" s="148"/>
      <c r="E10" s="149"/>
      <c r="F10" s="162">
        <v>11991294.17</v>
      </c>
      <c r="G10" s="148">
        <v>0</v>
      </c>
      <c r="H10" s="218"/>
      <c r="I10" s="218"/>
      <c r="J10" s="218"/>
      <c r="K10" s="218"/>
      <c r="L10" s="219"/>
      <c r="M10" s="218"/>
      <c r="N10" s="218"/>
      <c r="R10" s="139">
        <v>11991294.17</v>
      </c>
      <c r="S10" s="139">
        <v>0</v>
      </c>
      <c r="U10" s="219">
        <f t="shared" si="0"/>
        <v>0</v>
      </c>
      <c r="V10" s="219">
        <f t="shared" si="1"/>
        <v>0</v>
      </c>
    </row>
    <row r="11" spans="1:256" x14ac:dyDescent="0.2">
      <c r="A11" s="145" t="s">
        <v>523</v>
      </c>
      <c r="B11" s="146">
        <v>0</v>
      </c>
      <c r="C11" s="147"/>
      <c r="D11" s="148"/>
      <c r="E11" s="149"/>
      <c r="F11" s="162">
        <v>0</v>
      </c>
      <c r="G11" s="148">
        <v>0</v>
      </c>
      <c r="R11" s="139">
        <v>0</v>
      </c>
      <c r="S11" s="139">
        <v>0</v>
      </c>
      <c r="T11" s="235"/>
      <c r="U11" s="139">
        <f t="shared" si="0"/>
        <v>0</v>
      </c>
      <c r="V11" s="139">
        <f t="shared" si="1"/>
        <v>0</v>
      </c>
    </row>
    <row r="12" spans="1:256" x14ac:dyDescent="0.2">
      <c r="A12" s="155" t="s">
        <v>636</v>
      </c>
      <c r="B12" s="155"/>
      <c r="C12" s="155"/>
      <c r="D12" s="155"/>
      <c r="E12" s="155"/>
      <c r="F12" s="162">
        <v>3534300</v>
      </c>
      <c r="G12" s="145"/>
      <c r="H12" s="237"/>
      <c r="I12" s="237"/>
      <c r="J12" s="237"/>
      <c r="K12" s="237"/>
      <c r="L12" s="237"/>
      <c r="M12" s="237"/>
      <c r="N12" s="237"/>
      <c r="O12" s="259"/>
      <c r="P12" s="259"/>
      <c r="Q12" s="237"/>
      <c r="R12" s="230">
        <v>3534300</v>
      </c>
      <c r="S12" s="68"/>
      <c r="T12" s="232"/>
      <c r="U12" s="219">
        <f t="shared" si="0"/>
        <v>0</v>
      </c>
      <c r="V12" s="219">
        <f t="shared" si="1"/>
        <v>0</v>
      </c>
      <c r="W12" s="68"/>
      <c r="X12" s="68"/>
      <c r="Y12" s="68"/>
      <c r="Z12" s="68"/>
      <c r="AA12" s="68"/>
      <c r="AB12" s="68"/>
      <c r="AC12" s="68"/>
      <c r="AD12" s="68"/>
      <c r="AE12" s="68"/>
      <c r="AF12" s="68"/>
      <c r="AG12" s="68"/>
      <c r="AH12" s="68"/>
      <c r="AI12" s="68"/>
      <c r="AJ12" s="68"/>
      <c r="AK12" s="68"/>
      <c r="AL12" s="68"/>
      <c r="AM12" s="68"/>
      <c r="AN12" s="68"/>
      <c r="AO12" s="68"/>
      <c r="AP12" s="68"/>
      <c r="AQ12" s="68"/>
      <c r="AR12" s="68"/>
      <c r="AS12" s="68"/>
      <c r="AT12" s="68"/>
      <c r="AU12" s="68"/>
      <c r="AV12" s="68"/>
      <c r="AW12" s="68"/>
      <c r="AX12" s="68"/>
      <c r="AY12" s="68"/>
      <c r="AZ12" s="68"/>
      <c r="BA12" s="68"/>
      <c r="BB12" s="68"/>
      <c r="BC12" s="68"/>
      <c r="BD12" s="68"/>
      <c r="BE12" s="68"/>
      <c r="BF12" s="68"/>
      <c r="BG12" s="68"/>
      <c r="BH12" s="68"/>
      <c r="BI12" s="68"/>
      <c r="BJ12" s="68"/>
      <c r="BK12" s="68"/>
      <c r="BL12" s="68"/>
      <c r="BM12" s="68"/>
      <c r="BN12" s="68"/>
      <c r="BO12" s="68"/>
      <c r="BP12" s="68"/>
      <c r="BQ12" s="68"/>
      <c r="BR12" s="68"/>
      <c r="BS12" s="68"/>
      <c r="BT12" s="68"/>
      <c r="BU12" s="68"/>
      <c r="BV12" s="68"/>
      <c r="BW12" s="68"/>
      <c r="BX12" s="68"/>
      <c r="BY12" s="68"/>
      <c r="BZ12" s="68"/>
      <c r="CA12" s="68"/>
      <c r="CB12" s="68"/>
      <c r="CC12" s="68"/>
      <c r="CD12" s="68"/>
      <c r="CE12" s="68"/>
      <c r="CF12" s="68"/>
      <c r="CG12" s="68"/>
      <c r="CH12" s="68"/>
      <c r="CI12" s="68"/>
      <c r="CJ12" s="68"/>
      <c r="CK12" s="68"/>
      <c r="CL12" s="68"/>
      <c r="CM12" s="68"/>
      <c r="CN12" s="68"/>
      <c r="CO12" s="68"/>
      <c r="CP12" s="68"/>
      <c r="CQ12" s="68"/>
      <c r="CR12" s="68"/>
      <c r="CS12" s="68"/>
      <c r="CT12" s="68"/>
      <c r="CU12" s="68"/>
      <c r="CV12" s="68"/>
      <c r="CW12" s="68"/>
      <c r="CX12" s="68"/>
      <c r="CY12" s="68"/>
      <c r="CZ12" s="68"/>
      <c r="DA12" s="68"/>
      <c r="DB12" s="68"/>
      <c r="DC12" s="68"/>
      <c r="DD12" s="68"/>
      <c r="DE12" s="68"/>
      <c r="DF12" s="68"/>
      <c r="DG12" s="68"/>
      <c r="DH12" s="68"/>
      <c r="DI12" s="68"/>
      <c r="DJ12" s="68"/>
      <c r="DK12" s="68"/>
      <c r="DL12" s="68"/>
      <c r="DM12" s="68"/>
      <c r="DN12" s="68"/>
      <c r="DO12" s="68"/>
      <c r="DP12" s="68"/>
      <c r="DQ12" s="68"/>
      <c r="DR12" s="68"/>
      <c r="DS12" s="68"/>
      <c r="DT12" s="68"/>
      <c r="DU12" s="68"/>
      <c r="DV12" s="68"/>
      <c r="DW12" s="68"/>
      <c r="DX12" s="68"/>
      <c r="DY12" s="68"/>
      <c r="DZ12" s="68"/>
      <c r="EA12" s="68"/>
      <c r="EB12" s="68"/>
      <c r="EC12" s="68"/>
      <c r="ED12" s="68"/>
      <c r="EE12" s="68"/>
      <c r="EF12" s="68"/>
      <c r="EG12" s="68"/>
      <c r="EH12" s="68"/>
      <c r="EI12" s="68"/>
      <c r="EJ12" s="68"/>
      <c r="EK12" s="68"/>
      <c r="EL12" s="68"/>
      <c r="EM12" s="68"/>
      <c r="EN12" s="68"/>
      <c r="EO12" s="68"/>
      <c r="EP12" s="68"/>
      <c r="EQ12" s="68"/>
      <c r="ER12" s="68"/>
      <c r="ES12" s="68"/>
      <c r="ET12" s="68"/>
      <c r="EU12" s="68"/>
      <c r="EV12" s="68"/>
      <c r="EW12" s="68"/>
      <c r="EX12" s="68"/>
      <c r="EY12" s="68"/>
      <c r="EZ12" s="68"/>
      <c r="FA12" s="68"/>
      <c r="FB12" s="68"/>
      <c r="FC12" s="68"/>
      <c r="FD12" s="68"/>
      <c r="FE12" s="68"/>
      <c r="FF12" s="68"/>
      <c r="FG12" s="68"/>
      <c r="FH12" s="68"/>
      <c r="FI12" s="68"/>
      <c r="FJ12" s="68"/>
      <c r="FK12" s="68"/>
      <c r="FL12" s="68"/>
      <c r="FM12" s="68"/>
      <c r="FN12" s="68"/>
      <c r="FO12" s="68"/>
      <c r="FP12" s="68"/>
      <c r="FQ12" s="68"/>
      <c r="FR12" s="68"/>
      <c r="FS12" s="68"/>
      <c r="FT12" s="68"/>
      <c r="FU12" s="68"/>
      <c r="FV12" s="68"/>
      <c r="FW12" s="68"/>
      <c r="FX12" s="68"/>
      <c r="FY12" s="68"/>
      <c r="FZ12" s="68"/>
      <c r="GA12" s="68"/>
      <c r="GB12" s="68"/>
      <c r="GC12" s="68"/>
      <c r="GD12" s="68"/>
      <c r="GE12" s="68"/>
      <c r="GF12" s="68"/>
      <c r="GG12" s="68"/>
      <c r="GH12" s="68"/>
      <c r="GI12" s="68"/>
      <c r="GJ12" s="68"/>
      <c r="GK12" s="68"/>
      <c r="GL12" s="68"/>
      <c r="GM12" s="68"/>
      <c r="GN12" s="68"/>
      <c r="GO12" s="68"/>
      <c r="GP12" s="68"/>
      <c r="GQ12" s="68"/>
      <c r="GR12" s="68"/>
      <c r="GS12" s="68"/>
      <c r="GT12" s="68"/>
      <c r="GU12" s="68"/>
      <c r="GV12" s="68"/>
      <c r="GW12" s="68"/>
      <c r="GX12" s="68"/>
      <c r="GY12" s="68"/>
      <c r="GZ12" s="68"/>
      <c r="HA12" s="68"/>
      <c r="HB12" s="68"/>
      <c r="HC12" s="68"/>
      <c r="HD12" s="68"/>
      <c r="HE12" s="68"/>
      <c r="HF12" s="68"/>
      <c r="HG12" s="68"/>
      <c r="HH12" s="68"/>
      <c r="HI12" s="68"/>
      <c r="HJ12" s="68"/>
      <c r="HK12" s="68"/>
      <c r="HL12" s="68"/>
      <c r="HM12" s="68"/>
      <c r="HN12" s="68"/>
      <c r="HO12" s="68"/>
      <c r="HP12" s="68"/>
      <c r="HQ12" s="68"/>
      <c r="HR12" s="68"/>
      <c r="HS12" s="68"/>
      <c r="HT12" s="68"/>
      <c r="HU12" s="68"/>
      <c r="HV12" s="68"/>
      <c r="HW12" s="68"/>
      <c r="HX12" s="68"/>
      <c r="HY12" s="68"/>
      <c r="HZ12" s="68"/>
      <c r="IA12" s="68"/>
      <c r="IB12" s="68"/>
      <c r="IC12" s="68"/>
      <c r="ID12" s="68"/>
      <c r="IE12" s="68"/>
      <c r="IF12" s="68"/>
      <c r="IG12" s="68"/>
      <c r="IH12" s="68"/>
      <c r="II12" s="68"/>
      <c r="IJ12" s="68"/>
      <c r="IK12" s="68"/>
      <c r="IL12" s="68"/>
      <c r="IM12" s="68"/>
      <c r="IN12" s="68"/>
      <c r="IO12" s="68"/>
      <c r="IP12" s="68"/>
      <c r="IQ12" s="68"/>
      <c r="IR12" s="68"/>
      <c r="IS12" s="68"/>
      <c r="IT12" s="68"/>
      <c r="IU12" s="68"/>
      <c r="IV12" s="68"/>
    </row>
    <row r="13" spans="1:256" x14ac:dyDescent="0.2">
      <c r="A13" s="145" t="s">
        <v>524</v>
      </c>
      <c r="B13" s="146">
        <v>87056.75</v>
      </c>
      <c r="C13" s="147"/>
      <c r="D13" s="148"/>
      <c r="E13" s="149"/>
      <c r="F13" s="162">
        <v>87056.75</v>
      </c>
      <c r="G13" s="148">
        <v>0</v>
      </c>
      <c r="R13" s="139">
        <v>87056.75</v>
      </c>
      <c r="S13" s="139">
        <v>0</v>
      </c>
      <c r="T13" s="235"/>
      <c r="U13" s="139">
        <f t="shared" si="0"/>
        <v>0</v>
      </c>
      <c r="V13" s="139">
        <f t="shared" si="1"/>
        <v>0</v>
      </c>
    </row>
    <row r="14" spans="1:256" x14ac:dyDescent="0.2">
      <c r="A14" s="145" t="s">
        <v>525</v>
      </c>
      <c r="B14" s="146">
        <v>1951128.67</v>
      </c>
      <c r="C14" s="147"/>
      <c r="D14" s="148"/>
      <c r="E14" s="149"/>
      <c r="F14" s="162">
        <v>1950127.99</v>
      </c>
      <c r="G14" s="148">
        <v>0</v>
      </c>
      <c r="H14" s="218"/>
      <c r="I14" s="218"/>
      <c r="J14" s="218"/>
      <c r="K14" s="218"/>
      <c r="L14" s="219"/>
      <c r="M14" s="218"/>
      <c r="N14" s="218"/>
      <c r="R14" s="139">
        <v>1950127.99</v>
      </c>
      <c r="S14" s="139">
        <v>0</v>
      </c>
      <c r="U14" s="219">
        <f t="shared" si="0"/>
        <v>0</v>
      </c>
      <c r="V14" s="219">
        <f t="shared" si="1"/>
        <v>0</v>
      </c>
    </row>
    <row r="15" spans="1:256" x14ac:dyDescent="0.2">
      <c r="A15" s="145" t="s">
        <v>526</v>
      </c>
      <c r="B15" s="146">
        <v>34599.32</v>
      </c>
      <c r="C15" s="147"/>
      <c r="D15" s="148"/>
      <c r="E15" s="149"/>
      <c r="F15" s="162">
        <v>40000</v>
      </c>
      <c r="G15" s="148">
        <v>0</v>
      </c>
      <c r="H15" s="218"/>
      <c r="I15" s="218"/>
      <c r="J15" s="218"/>
      <c r="K15" s="218"/>
      <c r="L15" s="219"/>
      <c r="M15" s="218"/>
      <c r="N15" s="218"/>
      <c r="R15" s="139">
        <v>40000</v>
      </c>
      <c r="S15" s="139">
        <v>0</v>
      </c>
      <c r="U15" s="219">
        <f t="shared" si="0"/>
        <v>0</v>
      </c>
      <c r="V15" s="219">
        <f t="shared" si="1"/>
        <v>0</v>
      </c>
    </row>
    <row r="16" spans="1:256" x14ac:dyDescent="0.2">
      <c r="A16" s="145" t="s">
        <v>527</v>
      </c>
      <c r="B16" s="146">
        <v>109121.25</v>
      </c>
      <c r="C16" s="147"/>
      <c r="D16" s="148"/>
      <c r="E16" s="149"/>
      <c r="F16" s="162">
        <v>109121.25</v>
      </c>
      <c r="G16" s="148">
        <v>0</v>
      </c>
      <c r="R16" s="139">
        <v>109121.25</v>
      </c>
      <c r="S16" s="139">
        <v>0</v>
      </c>
      <c r="T16" s="235"/>
      <c r="U16" s="139">
        <f t="shared" si="0"/>
        <v>0</v>
      </c>
      <c r="V16" s="139">
        <f t="shared" si="1"/>
        <v>0</v>
      </c>
    </row>
    <row r="17" spans="1:22" ht="13.5" thickBot="1" x14ac:dyDescent="0.25">
      <c r="A17" s="240" t="s">
        <v>326</v>
      </c>
      <c r="B17" s="151"/>
      <c r="C17" s="152">
        <v>16296.42</v>
      </c>
      <c r="D17" s="153"/>
      <c r="E17" s="154">
        <v>-16296.42</v>
      </c>
      <c r="F17" s="162">
        <v>668667.87</v>
      </c>
      <c r="G17" s="162">
        <v>0</v>
      </c>
      <c r="H17" s="218"/>
      <c r="I17" s="218"/>
      <c r="J17" s="218"/>
      <c r="K17" s="218"/>
      <c r="L17" s="219"/>
      <c r="M17" s="218"/>
      <c r="N17" s="218"/>
      <c r="O17" s="139">
        <f>SUM(F17:F36)-SUM(G17:G36)</f>
        <v>958271.04</v>
      </c>
      <c r="R17" s="139">
        <v>668667.87</v>
      </c>
      <c r="S17" s="139">
        <v>0</v>
      </c>
      <c r="U17" s="219">
        <f t="shared" si="0"/>
        <v>0</v>
      </c>
      <c r="V17" s="219">
        <f t="shared" si="1"/>
        <v>0</v>
      </c>
    </row>
    <row r="18" spans="1:22" x14ac:dyDescent="0.2">
      <c r="A18" s="193" t="s">
        <v>327</v>
      </c>
      <c r="B18" s="194">
        <v>0</v>
      </c>
      <c r="C18" s="195"/>
      <c r="D18" s="196"/>
      <c r="E18" s="197"/>
      <c r="F18" s="162">
        <v>0</v>
      </c>
      <c r="G18" s="162">
        <v>0</v>
      </c>
      <c r="O18" s="139" t="e">
        <f>O17-'6-10'!#REF!</f>
        <v>#REF!</v>
      </c>
      <c r="R18" s="139">
        <v>0</v>
      </c>
      <c r="S18" s="139">
        <v>0</v>
      </c>
      <c r="T18" s="235"/>
      <c r="U18" s="139">
        <f t="shared" si="0"/>
        <v>0</v>
      </c>
      <c r="V18" s="139">
        <f t="shared" si="1"/>
        <v>0</v>
      </c>
    </row>
    <row r="19" spans="1:22" s="119" customFormat="1" x14ac:dyDescent="0.2">
      <c r="A19" s="207" t="s">
        <v>328</v>
      </c>
      <c r="B19" s="208">
        <v>7095.93</v>
      </c>
      <c r="C19" s="209"/>
      <c r="D19" s="210"/>
      <c r="E19" s="211"/>
      <c r="F19" s="162">
        <v>7095.93</v>
      </c>
      <c r="G19" s="162">
        <v>0</v>
      </c>
      <c r="L19" s="120"/>
      <c r="O19" s="120"/>
      <c r="P19" s="120"/>
      <c r="Q19" s="224"/>
      <c r="R19" s="139">
        <v>7095.93</v>
      </c>
      <c r="S19" s="139">
        <v>0</v>
      </c>
      <c r="T19" s="236"/>
      <c r="U19" s="139">
        <f t="shared" si="0"/>
        <v>0</v>
      </c>
      <c r="V19" s="139">
        <f t="shared" si="1"/>
        <v>0</v>
      </c>
    </row>
    <row r="20" spans="1:22" x14ac:dyDescent="0.2">
      <c r="A20" s="199" t="s">
        <v>329</v>
      </c>
      <c r="B20" s="146">
        <v>0</v>
      </c>
      <c r="C20" s="147"/>
      <c r="D20" s="148"/>
      <c r="E20" s="149"/>
      <c r="F20" s="162">
        <v>0</v>
      </c>
      <c r="G20" s="162">
        <v>0</v>
      </c>
      <c r="R20" s="139">
        <v>0</v>
      </c>
      <c r="S20" s="139">
        <v>0</v>
      </c>
      <c r="T20" s="235"/>
      <c r="U20" s="139">
        <f t="shared" si="0"/>
        <v>0</v>
      </c>
      <c r="V20" s="139">
        <f t="shared" si="1"/>
        <v>0</v>
      </c>
    </row>
    <row r="21" spans="1:22" s="119" customFormat="1" x14ac:dyDescent="0.2">
      <c r="A21" s="207" t="s">
        <v>330</v>
      </c>
      <c r="B21" s="208">
        <v>1350</v>
      </c>
      <c r="C21" s="209"/>
      <c r="D21" s="210"/>
      <c r="E21" s="211"/>
      <c r="F21" s="162">
        <v>1350</v>
      </c>
      <c r="G21" s="162">
        <v>0</v>
      </c>
      <c r="L21" s="120"/>
      <c r="O21" s="120"/>
      <c r="P21" s="120"/>
      <c r="Q21" s="224"/>
      <c r="R21" s="139">
        <v>1350</v>
      </c>
      <c r="S21" s="139">
        <v>0</v>
      </c>
      <c r="T21" s="236"/>
      <c r="U21" s="139">
        <f t="shared" si="0"/>
        <v>0</v>
      </c>
      <c r="V21" s="139">
        <f t="shared" si="1"/>
        <v>0</v>
      </c>
    </row>
    <row r="22" spans="1:22" s="119" customFormat="1" x14ac:dyDescent="0.2">
      <c r="A22" s="207" t="s">
        <v>331</v>
      </c>
      <c r="B22" s="208">
        <v>5000</v>
      </c>
      <c r="C22" s="209"/>
      <c r="D22" s="210"/>
      <c r="E22" s="211"/>
      <c r="F22" s="162">
        <v>5000</v>
      </c>
      <c r="G22" s="162">
        <v>0</v>
      </c>
      <c r="L22" s="120"/>
      <c r="O22" s="120"/>
      <c r="P22" s="120"/>
      <c r="Q22" s="224"/>
      <c r="R22" s="139">
        <v>5000</v>
      </c>
      <c r="S22" s="139">
        <v>0</v>
      </c>
      <c r="T22" s="236"/>
      <c r="U22" s="139">
        <f t="shared" si="0"/>
        <v>0</v>
      </c>
      <c r="V22" s="139">
        <f t="shared" si="1"/>
        <v>0</v>
      </c>
    </row>
    <row r="23" spans="1:22" x14ac:dyDescent="0.2">
      <c r="A23" s="199" t="s">
        <v>332</v>
      </c>
      <c r="B23" s="208">
        <v>37355</v>
      </c>
      <c r="C23" s="147"/>
      <c r="D23" s="148"/>
      <c r="E23" s="149"/>
      <c r="F23" s="162">
        <v>37355</v>
      </c>
      <c r="G23" s="162">
        <v>0</v>
      </c>
      <c r="R23" s="139">
        <v>37355</v>
      </c>
      <c r="S23" s="139">
        <v>0</v>
      </c>
      <c r="T23" s="235"/>
      <c r="U23" s="139">
        <f t="shared" si="0"/>
        <v>0</v>
      </c>
      <c r="V23" s="139">
        <f t="shared" si="1"/>
        <v>0</v>
      </c>
    </row>
    <row r="24" spans="1:22" x14ac:dyDescent="0.2">
      <c r="A24" s="199" t="s">
        <v>333</v>
      </c>
      <c r="B24" s="146">
        <v>0</v>
      </c>
      <c r="C24" s="147"/>
      <c r="D24" s="210"/>
      <c r="E24" s="149"/>
      <c r="F24" s="162">
        <v>0</v>
      </c>
      <c r="G24" s="162">
        <v>0</v>
      </c>
      <c r="R24" s="139">
        <v>0</v>
      </c>
      <c r="S24" s="139">
        <v>0</v>
      </c>
      <c r="T24" s="235"/>
      <c r="U24" s="139">
        <f t="shared" si="0"/>
        <v>0</v>
      </c>
      <c r="V24" s="139">
        <f t="shared" si="1"/>
        <v>0</v>
      </c>
    </row>
    <row r="25" spans="1:22" x14ac:dyDescent="0.2">
      <c r="A25" s="199" t="s">
        <v>334</v>
      </c>
      <c r="B25" s="146">
        <v>0</v>
      </c>
      <c r="C25" s="147"/>
      <c r="D25" s="148"/>
      <c r="E25" s="149"/>
      <c r="F25" s="162">
        <v>0</v>
      </c>
      <c r="G25" s="162">
        <v>0</v>
      </c>
      <c r="R25" s="139">
        <v>0</v>
      </c>
      <c r="S25" s="139">
        <v>0</v>
      </c>
      <c r="T25" s="235"/>
      <c r="U25" s="139">
        <f t="shared" si="0"/>
        <v>0</v>
      </c>
      <c r="V25" s="139">
        <f t="shared" si="1"/>
        <v>0</v>
      </c>
    </row>
    <row r="26" spans="1:22" x14ac:dyDescent="0.2">
      <c r="A26" s="199" t="s">
        <v>335</v>
      </c>
      <c r="B26" s="146">
        <v>0</v>
      </c>
      <c r="C26" s="147"/>
      <c r="D26" s="148"/>
      <c r="E26" s="149"/>
      <c r="F26" s="162">
        <v>0</v>
      </c>
      <c r="G26" s="162">
        <v>0</v>
      </c>
      <c r="R26" s="139">
        <v>0</v>
      </c>
      <c r="S26" s="139">
        <v>0</v>
      </c>
      <c r="T26" s="235"/>
      <c r="U26" s="139">
        <f t="shared" si="0"/>
        <v>0</v>
      </c>
      <c r="V26" s="139">
        <f t="shared" si="1"/>
        <v>0</v>
      </c>
    </row>
    <row r="27" spans="1:22" x14ac:dyDescent="0.2">
      <c r="A27" s="199" t="s">
        <v>336</v>
      </c>
      <c r="B27" s="146">
        <v>0</v>
      </c>
      <c r="C27" s="147"/>
      <c r="D27" s="148"/>
      <c r="E27" s="149"/>
      <c r="F27" s="162">
        <v>0</v>
      </c>
      <c r="G27" s="162">
        <v>0</v>
      </c>
      <c r="R27" s="139">
        <v>0</v>
      </c>
      <c r="S27" s="139">
        <v>0</v>
      </c>
      <c r="T27" s="235"/>
      <c r="U27" s="139">
        <f t="shared" si="0"/>
        <v>0</v>
      </c>
      <c r="V27" s="139">
        <f t="shared" si="1"/>
        <v>0</v>
      </c>
    </row>
    <row r="28" spans="1:22" s="119" customFormat="1" x14ac:dyDescent="0.2">
      <c r="A28" s="207" t="s">
        <v>337</v>
      </c>
      <c r="B28" s="208">
        <v>37887</v>
      </c>
      <c r="C28" s="209"/>
      <c r="D28" s="210"/>
      <c r="E28" s="211"/>
      <c r="F28" s="162">
        <v>37887</v>
      </c>
      <c r="G28" s="162">
        <v>0</v>
      </c>
      <c r="L28" s="120"/>
      <c r="O28" s="120"/>
      <c r="P28" s="120"/>
      <c r="Q28" s="224"/>
      <c r="R28" s="139">
        <v>37887</v>
      </c>
      <c r="S28" s="139">
        <v>0</v>
      </c>
      <c r="T28" s="236"/>
      <c r="U28" s="139">
        <f t="shared" si="0"/>
        <v>0</v>
      </c>
      <c r="V28" s="139">
        <f t="shared" si="1"/>
        <v>0</v>
      </c>
    </row>
    <row r="29" spans="1:22" s="119" customFormat="1" x14ac:dyDescent="0.2">
      <c r="A29" s="207" t="s">
        <v>528</v>
      </c>
      <c r="B29" s="208"/>
      <c r="C29" s="209">
        <v>1</v>
      </c>
      <c r="D29" s="210"/>
      <c r="E29" s="211"/>
      <c r="F29" s="162">
        <v>0</v>
      </c>
      <c r="G29" s="162">
        <v>1</v>
      </c>
      <c r="L29" s="120"/>
      <c r="O29" s="120"/>
      <c r="P29" s="120"/>
      <c r="Q29" s="224"/>
      <c r="R29" s="139">
        <v>0</v>
      </c>
      <c r="S29" s="139">
        <v>1</v>
      </c>
      <c r="T29" s="236"/>
      <c r="U29" s="139">
        <f t="shared" si="0"/>
        <v>0</v>
      </c>
      <c r="V29" s="139">
        <f t="shared" si="1"/>
        <v>0</v>
      </c>
    </row>
    <row r="30" spans="1:22" s="119" customFormat="1" x14ac:dyDescent="0.2">
      <c r="A30" s="199" t="s">
        <v>529</v>
      </c>
      <c r="B30" s="146"/>
      <c r="C30" s="147">
        <v>4871.34</v>
      </c>
      <c r="D30" s="148"/>
      <c r="E30" s="149"/>
      <c r="F30" s="162">
        <v>0</v>
      </c>
      <c r="G30" s="162">
        <v>6493.75</v>
      </c>
      <c r="H30" s="238"/>
      <c r="I30" s="238"/>
      <c r="J30" s="238"/>
      <c r="K30" s="238"/>
      <c r="L30" s="239"/>
      <c r="M30" s="238"/>
      <c r="N30" s="238"/>
      <c r="O30" s="120"/>
      <c r="P30" s="120"/>
      <c r="Q30" s="224"/>
      <c r="R30" s="139">
        <v>0</v>
      </c>
      <c r="S30" s="139">
        <v>6493.75</v>
      </c>
      <c r="T30" s="233"/>
      <c r="U30" s="219">
        <f t="shared" si="0"/>
        <v>0</v>
      </c>
      <c r="V30" s="219">
        <f t="shared" si="1"/>
        <v>0</v>
      </c>
    </row>
    <row r="31" spans="1:22" s="119" customFormat="1" x14ac:dyDescent="0.2">
      <c r="A31" s="207" t="s">
        <v>338</v>
      </c>
      <c r="B31" s="208">
        <v>232.24</v>
      </c>
      <c r="C31" s="209"/>
      <c r="D31" s="210"/>
      <c r="E31" s="211"/>
      <c r="F31" s="162">
        <v>232.24</v>
      </c>
      <c r="G31" s="162">
        <v>0</v>
      </c>
      <c r="L31" s="120"/>
      <c r="O31" s="120"/>
      <c r="P31" s="120"/>
      <c r="Q31" s="224"/>
      <c r="R31" s="139">
        <v>232.24</v>
      </c>
      <c r="S31" s="139">
        <v>0</v>
      </c>
      <c r="T31" s="236"/>
      <c r="U31" s="139">
        <f t="shared" si="0"/>
        <v>0</v>
      </c>
      <c r="V31" s="139">
        <f t="shared" si="1"/>
        <v>0</v>
      </c>
    </row>
    <row r="32" spans="1:22" s="119" customFormat="1" x14ac:dyDescent="0.2">
      <c r="A32" s="207" t="s">
        <v>339</v>
      </c>
      <c r="B32" s="208">
        <v>6047.75</v>
      </c>
      <c r="C32" s="209"/>
      <c r="D32" s="210"/>
      <c r="E32" s="211"/>
      <c r="F32" s="162">
        <v>6047.75</v>
      </c>
      <c r="G32" s="162">
        <v>0</v>
      </c>
      <c r="L32" s="120"/>
      <c r="O32" s="120"/>
      <c r="P32" s="120"/>
      <c r="Q32" s="224"/>
      <c r="R32" s="139">
        <v>6047.75</v>
      </c>
      <c r="S32" s="139">
        <v>0</v>
      </c>
      <c r="T32" s="236"/>
      <c r="U32" s="139">
        <f t="shared" si="0"/>
        <v>0</v>
      </c>
      <c r="V32" s="139">
        <f t="shared" si="1"/>
        <v>0</v>
      </c>
    </row>
    <row r="33" spans="1:22" s="119" customFormat="1" x14ac:dyDescent="0.2">
      <c r="A33" s="207" t="s">
        <v>340</v>
      </c>
      <c r="B33" s="208"/>
      <c r="C33" s="209">
        <v>3600</v>
      </c>
      <c r="D33" s="210"/>
      <c r="E33" s="211"/>
      <c r="F33" s="162">
        <v>0</v>
      </c>
      <c r="G33" s="162">
        <v>3600</v>
      </c>
      <c r="I33" s="212">
        <f>SUM(F19:F35)</f>
        <v>299697.91999999998</v>
      </c>
      <c r="L33" s="120"/>
      <c r="O33" s="120"/>
      <c r="P33" s="120"/>
      <c r="Q33" s="224"/>
      <c r="R33" s="139">
        <v>0</v>
      </c>
      <c r="S33" s="139">
        <v>3600</v>
      </c>
      <c r="T33" s="236"/>
      <c r="U33" s="139">
        <f t="shared" si="0"/>
        <v>0</v>
      </c>
      <c r="V33" s="139">
        <f t="shared" si="1"/>
        <v>0</v>
      </c>
    </row>
    <row r="34" spans="1:22" s="119" customFormat="1" x14ac:dyDescent="0.2">
      <c r="A34" s="207" t="s">
        <v>341</v>
      </c>
      <c r="B34" s="208">
        <v>151415</v>
      </c>
      <c r="C34" s="209"/>
      <c r="D34" s="210"/>
      <c r="E34" s="211"/>
      <c r="F34" s="162">
        <v>151415</v>
      </c>
      <c r="G34" s="162">
        <v>0</v>
      </c>
      <c r="I34" s="212">
        <f>SUM(G29:G33)</f>
        <v>10094.75</v>
      </c>
      <c r="L34" s="120"/>
      <c r="O34" s="120"/>
      <c r="P34" s="120"/>
      <c r="Q34" s="224"/>
      <c r="R34" s="139">
        <v>151415</v>
      </c>
      <c r="S34" s="139">
        <v>0</v>
      </c>
      <c r="T34" s="236"/>
      <c r="U34" s="139">
        <f t="shared" si="0"/>
        <v>0</v>
      </c>
      <c r="V34" s="139">
        <f t="shared" si="1"/>
        <v>0</v>
      </c>
    </row>
    <row r="35" spans="1:22" s="119" customFormat="1" x14ac:dyDescent="0.2">
      <c r="A35" s="207" t="s">
        <v>342</v>
      </c>
      <c r="B35" s="208">
        <v>53315</v>
      </c>
      <c r="C35" s="209"/>
      <c r="D35" s="210"/>
      <c r="E35" s="211"/>
      <c r="F35" s="162">
        <v>53315</v>
      </c>
      <c r="G35" s="162">
        <v>0</v>
      </c>
      <c r="I35" s="212">
        <f>I33-I34</f>
        <v>289603.17</v>
      </c>
      <c r="L35" s="120"/>
      <c r="O35" s="120"/>
      <c r="P35" s="120"/>
      <c r="Q35" s="224"/>
      <c r="R35" s="139">
        <v>53315</v>
      </c>
      <c r="S35" s="139">
        <v>0</v>
      </c>
      <c r="T35" s="236"/>
      <c r="U35" s="139">
        <f t="shared" si="0"/>
        <v>0</v>
      </c>
      <c r="V35" s="139">
        <f t="shared" si="1"/>
        <v>0</v>
      </c>
    </row>
    <row r="36" spans="1:22" ht="13.5" thickBot="1" x14ac:dyDescent="0.25">
      <c r="A36" s="201" t="s">
        <v>343</v>
      </c>
      <c r="B36" s="202">
        <v>0</v>
      </c>
      <c r="C36" s="203"/>
      <c r="D36" s="204"/>
      <c r="E36" s="205"/>
      <c r="F36" s="162">
        <v>0</v>
      </c>
      <c r="G36" s="162">
        <v>0</v>
      </c>
      <c r="R36" s="139">
        <v>0</v>
      </c>
      <c r="S36" s="139">
        <v>0</v>
      </c>
      <c r="T36" s="235"/>
      <c r="U36" s="139">
        <f t="shared" si="0"/>
        <v>0</v>
      </c>
      <c r="V36" s="139">
        <f t="shared" si="1"/>
        <v>0</v>
      </c>
    </row>
    <row r="37" spans="1:22" x14ac:dyDescent="0.2">
      <c r="A37" s="188" t="s">
        <v>344</v>
      </c>
      <c r="B37" s="189">
        <v>0</v>
      </c>
      <c r="C37" s="190"/>
      <c r="D37" s="191"/>
      <c r="E37" s="192"/>
      <c r="F37" s="148">
        <v>0</v>
      </c>
      <c r="G37" s="148">
        <v>0</v>
      </c>
      <c r="R37" s="139">
        <v>0</v>
      </c>
      <c r="S37" s="139">
        <v>0</v>
      </c>
      <c r="T37" s="235"/>
      <c r="U37" s="139">
        <f t="shared" si="0"/>
        <v>0</v>
      </c>
      <c r="V37" s="139">
        <f t="shared" si="1"/>
        <v>0</v>
      </c>
    </row>
    <row r="38" spans="1:22" x14ac:dyDescent="0.2">
      <c r="A38" s="145" t="s">
        <v>97</v>
      </c>
      <c r="B38" s="146"/>
      <c r="C38" s="147">
        <v>4176325.95</v>
      </c>
      <c r="D38" s="148"/>
      <c r="E38" s="149"/>
      <c r="F38" s="148">
        <v>0</v>
      </c>
      <c r="G38" s="162">
        <v>4176325.95</v>
      </c>
      <c r="R38" s="139">
        <v>0</v>
      </c>
      <c r="S38" s="139">
        <v>4176325.95</v>
      </c>
      <c r="T38" s="235"/>
      <c r="U38" s="139">
        <f t="shared" si="0"/>
        <v>0</v>
      </c>
      <c r="V38" s="139">
        <f t="shared" si="1"/>
        <v>0</v>
      </c>
    </row>
    <row r="39" spans="1:22" x14ac:dyDescent="0.2">
      <c r="A39" s="167" t="s">
        <v>345</v>
      </c>
      <c r="B39" s="168">
        <v>1033450</v>
      </c>
      <c r="C39" s="169"/>
      <c r="D39" s="221"/>
      <c r="E39" s="222"/>
      <c r="F39" s="162">
        <v>1033450</v>
      </c>
      <c r="G39" s="148">
        <v>0</v>
      </c>
      <c r="H39" s="170"/>
      <c r="I39" s="170"/>
      <c r="J39" s="170"/>
      <c r="K39" s="170"/>
      <c r="L39" s="171"/>
      <c r="M39" s="170"/>
      <c r="N39" s="170"/>
      <c r="R39" s="139">
        <v>1033450</v>
      </c>
      <c r="S39" s="139">
        <v>0</v>
      </c>
      <c r="T39" s="235"/>
      <c r="U39" s="139">
        <f t="shared" si="0"/>
        <v>0</v>
      </c>
      <c r="V39" s="139">
        <f t="shared" si="1"/>
        <v>0</v>
      </c>
    </row>
    <row r="40" spans="1:22" x14ac:dyDescent="0.2">
      <c r="A40" s="145" t="s">
        <v>98</v>
      </c>
      <c r="B40" s="146">
        <v>0</v>
      </c>
      <c r="C40" s="147"/>
      <c r="D40" s="148"/>
      <c r="E40" s="149"/>
      <c r="F40" s="148">
        <v>0</v>
      </c>
      <c r="G40" s="148">
        <v>0</v>
      </c>
      <c r="R40" s="139">
        <v>0</v>
      </c>
      <c r="S40" s="139">
        <v>0</v>
      </c>
      <c r="T40" s="235"/>
      <c r="U40" s="139">
        <f t="shared" si="0"/>
        <v>0</v>
      </c>
      <c r="V40" s="139">
        <f t="shared" si="1"/>
        <v>0</v>
      </c>
    </row>
    <row r="41" spans="1:22" x14ac:dyDescent="0.2">
      <c r="A41" s="145" t="s">
        <v>99</v>
      </c>
      <c r="B41" s="146">
        <v>8048083.6900000004</v>
      </c>
      <c r="C41" s="147"/>
      <c r="D41" s="148"/>
      <c r="E41" s="149"/>
      <c r="F41" s="162">
        <v>9740985.6199999992</v>
      </c>
      <c r="G41" s="148">
        <v>0</v>
      </c>
      <c r="H41" s="218"/>
      <c r="I41" s="218"/>
      <c r="J41" s="218"/>
      <c r="K41" s="218"/>
      <c r="L41" s="219"/>
      <c r="M41" s="218"/>
      <c r="N41" s="218"/>
      <c r="R41" s="139">
        <v>9740985.6199999992</v>
      </c>
      <c r="S41" s="139">
        <v>0</v>
      </c>
      <c r="U41" s="219">
        <f t="shared" si="0"/>
        <v>0</v>
      </c>
      <c r="V41" s="219">
        <f t="shared" si="1"/>
        <v>0</v>
      </c>
    </row>
    <row r="42" spans="1:22" x14ac:dyDescent="0.2">
      <c r="A42" s="145" t="s">
        <v>346</v>
      </c>
      <c r="B42" s="146"/>
      <c r="C42" s="147">
        <v>95212.35</v>
      </c>
      <c r="D42" s="148"/>
      <c r="E42" s="149"/>
      <c r="F42" s="162">
        <v>3596.15</v>
      </c>
      <c r="G42" s="148">
        <v>0</v>
      </c>
      <c r="H42" s="218"/>
      <c r="I42" s="218"/>
      <c r="J42" s="218"/>
      <c r="K42" s="218"/>
      <c r="L42" s="219"/>
      <c r="M42" s="218"/>
      <c r="N42" s="218"/>
      <c r="R42" s="139">
        <v>3596.15</v>
      </c>
      <c r="S42" s="139">
        <v>0</v>
      </c>
      <c r="U42" s="219">
        <f t="shared" si="0"/>
        <v>0</v>
      </c>
      <c r="V42" s="219">
        <f t="shared" si="1"/>
        <v>0</v>
      </c>
    </row>
    <row r="43" spans="1:22" x14ac:dyDescent="0.2">
      <c r="A43" s="213" t="s">
        <v>347</v>
      </c>
      <c r="B43" s="214">
        <v>21613.16</v>
      </c>
      <c r="C43" s="215"/>
      <c r="D43" s="216"/>
      <c r="E43" s="217"/>
      <c r="F43" s="162">
        <v>21613.16</v>
      </c>
      <c r="G43" s="148">
        <v>0</v>
      </c>
      <c r="H43" s="218"/>
      <c r="I43" s="218"/>
      <c r="J43" s="218"/>
      <c r="K43" s="218"/>
      <c r="L43" s="219"/>
      <c r="M43" s="218"/>
      <c r="N43" s="218"/>
      <c r="R43" s="139">
        <v>21613.16</v>
      </c>
      <c r="S43" s="139">
        <v>0</v>
      </c>
      <c r="T43" s="235"/>
      <c r="U43" s="139">
        <f t="shared" si="0"/>
        <v>0</v>
      </c>
      <c r="V43" s="139">
        <f t="shared" si="1"/>
        <v>0</v>
      </c>
    </row>
    <row r="44" spans="1:22" x14ac:dyDescent="0.2">
      <c r="A44" s="145" t="s">
        <v>530</v>
      </c>
      <c r="B44" s="146">
        <v>0</v>
      </c>
      <c r="C44" s="147"/>
      <c r="D44" s="148"/>
      <c r="E44" s="149"/>
      <c r="F44" s="162">
        <v>0</v>
      </c>
      <c r="G44" s="148">
        <v>0</v>
      </c>
      <c r="R44" s="139">
        <v>0</v>
      </c>
      <c r="S44" s="139">
        <v>0</v>
      </c>
      <c r="T44" s="235"/>
      <c r="U44" s="139">
        <f t="shared" si="0"/>
        <v>0</v>
      </c>
      <c r="V44" s="139">
        <f t="shared" si="1"/>
        <v>0</v>
      </c>
    </row>
    <row r="45" spans="1:22" x14ac:dyDescent="0.2">
      <c r="A45" s="145" t="s">
        <v>100</v>
      </c>
      <c r="B45" s="146">
        <v>1463560.89</v>
      </c>
      <c r="C45" s="147"/>
      <c r="D45" s="148"/>
      <c r="E45" s="149"/>
      <c r="F45" s="162">
        <v>1886684.43</v>
      </c>
      <c r="G45" s="148">
        <v>0</v>
      </c>
      <c r="H45" s="218"/>
      <c r="I45" s="218"/>
      <c r="J45" s="218"/>
      <c r="K45" s="218"/>
      <c r="L45" s="219"/>
      <c r="M45" s="218"/>
      <c r="N45" s="218"/>
      <c r="R45" s="139">
        <v>1886684.43</v>
      </c>
      <c r="S45" s="139">
        <v>0</v>
      </c>
      <c r="U45" s="219">
        <f t="shared" si="0"/>
        <v>0</v>
      </c>
      <c r="V45" s="219">
        <f t="shared" si="1"/>
        <v>0</v>
      </c>
    </row>
    <row r="46" spans="1:22" x14ac:dyDescent="0.2">
      <c r="A46" s="145" t="s">
        <v>101</v>
      </c>
      <c r="B46" s="146">
        <v>0</v>
      </c>
      <c r="C46" s="147"/>
      <c r="D46" s="148"/>
      <c r="E46" s="149"/>
      <c r="F46" s="162">
        <v>0</v>
      </c>
      <c r="G46" s="148">
        <v>0</v>
      </c>
      <c r="H46" s="150"/>
      <c r="L46" s="139">
        <v>1033450</v>
      </c>
      <c r="R46" s="139">
        <v>0</v>
      </c>
      <c r="S46" s="139">
        <v>0</v>
      </c>
      <c r="T46" s="235"/>
      <c r="U46" s="139">
        <f t="shared" si="0"/>
        <v>0</v>
      </c>
      <c r="V46" s="139">
        <f t="shared" si="1"/>
        <v>0</v>
      </c>
    </row>
    <row r="47" spans="1:22" x14ac:dyDescent="0.2">
      <c r="A47" s="145" t="s">
        <v>102</v>
      </c>
      <c r="B47" s="146">
        <v>2129868.29</v>
      </c>
      <c r="C47" s="147"/>
      <c r="D47" s="148"/>
      <c r="E47" s="149"/>
      <c r="F47" s="162">
        <v>2892291.29</v>
      </c>
      <c r="G47" s="148">
        <v>0</v>
      </c>
      <c r="H47" s="220"/>
      <c r="I47" s="218"/>
      <c r="J47" s="218"/>
      <c r="K47" s="218"/>
      <c r="L47" s="219">
        <v>8048083.6900000004</v>
      </c>
      <c r="M47" s="218"/>
      <c r="N47" s="218"/>
      <c r="R47" s="139">
        <v>2892291.29</v>
      </c>
      <c r="S47" s="139">
        <v>0</v>
      </c>
      <c r="U47" s="219">
        <f t="shared" si="0"/>
        <v>0</v>
      </c>
      <c r="V47" s="219">
        <f t="shared" si="1"/>
        <v>0</v>
      </c>
    </row>
    <row r="48" spans="1:22" x14ac:dyDescent="0.2">
      <c r="A48" s="145" t="s">
        <v>267</v>
      </c>
      <c r="B48" s="146">
        <v>0</v>
      </c>
      <c r="C48" s="147"/>
      <c r="D48" s="148"/>
      <c r="E48" s="149"/>
      <c r="F48" s="162">
        <v>0</v>
      </c>
      <c r="G48" s="148">
        <v>0</v>
      </c>
      <c r="L48" s="139">
        <v>-95212.35</v>
      </c>
      <c r="R48" s="139">
        <v>0</v>
      </c>
      <c r="S48" s="139">
        <v>0</v>
      </c>
      <c r="T48" s="235"/>
      <c r="U48" s="139">
        <f t="shared" si="0"/>
        <v>0</v>
      </c>
      <c r="V48" s="139">
        <f t="shared" si="1"/>
        <v>0</v>
      </c>
    </row>
    <row r="49" spans="1:22" x14ac:dyDescent="0.2">
      <c r="A49" s="145" t="s">
        <v>268</v>
      </c>
      <c r="B49" s="146"/>
      <c r="C49" s="147">
        <v>650639.01</v>
      </c>
      <c r="D49" s="148"/>
      <c r="E49" s="149"/>
      <c r="F49" s="162">
        <v>355799.99</v>
      </c>
      <c r="G49" s="148">
        <v>0</v>
      </c>
      <c r="H49" s="218"/>
      <c r="I49" s="220">
        <f>SUM(F39:F50)</f>
        <v>19477140.75</v>
      </c>
      <c r="J49" s="218"/>
      <c r="K49" s="218"/>
      <c r="L49" s="219">
        <v>21613.16</v>
      </c>
      <c r="M49" s="218"/>
      <c r="N49" s="218"/>
      <c r="R49" s="139">
        <v>355799.99</v>
      </c>
      <c r="S49" s="139">
        <v>0</v>
      </c>
      <c r="U49" s="219">
        <f t="shared" si="0"/>
        <v>0</v>
      </c>
      <c r="V49" s="219">
        <f t="shared" si="1"/>
        <v>0</v>
      </c>
    </row>
    <row r="50" spans="1:22" x14ac:dyDescent="0.2">
      <c r="A50" s="213" t="s">
        <v>531</v>
      </c>
      <c r="B50" s="214">
        <v>3542720.11</v>
      </c>
      <c r="C50" s="215"/>
      <c r="D50" s="216"/>
      <c r="E50" s="217"/>
      <c r="F50" s="162">
        <v>3542720.11</v>
      </c>
      <c r="G50" s="148">
        <v>0</v>
      </c>
      <c r="H50" s="218"/>
      <c r="I50" s="220">
        <f>SUM(G42:G49)</f>
        <v>0</v>
      </c>
      <c r="J50" s="218"/>
      <c r="K50" s="220">
        <f>SUM(B41:B50)</f>
        <v>15205846.140000001</v>
      </c>
      <c r="L50" s="219">
        <v>1463560.89</v>
      </c>
      <c r="M50" s="218"/>
      <c r="N50" s="218"/>
      <c r="R50" s="139">
        <v>3542720.11</v>
      </c>
      <c r="S50" s="139">
        <v>0</v>
      </c>
      <c r="T50" s="235"/>
      <c r="U50" s="139">
        <f t="shared" si="0"/>
        <v>0</v>
      </c>
      <c r="V50" s="139">
        <f t="shared" si="1"/>
        <v>0</v>
      </c>
    </row>
    <row r="51" spans="1:22" x14ac:dyDescent="0.2">
      <c r="A51" s="145" t="s">
        <v>103</v>
      </c>
      <c r="B51" s="146">
        <v>0</v>
      </c>
      <c r="C51" s="147"/>
      <c r="D51" s="148"/>
      <c r="E51" s="149"/>
      <c r="F51" s="162">
        <v>0</v>
      </c>
      <c r="G51" s="162">
        <v>0</v>
      </c>
      <c r="I51" s="150">
        <f>I49-I50</f>
        <v>19477140.75</v>
      </c>
      <c r="K51" s="150">
        <f>SUM(C42:C49)</f>
        <v>745851.36</v>
      </c>
      <c r="L51" s="139">
        <v>2129868.29</v>
      </c>
      <c r="R51" s="139">
        <v>0</v>
      </c>
      <c r="S51" s="139">
        <v>0</v>
      </c>
      <c r="T51" s="235"/>
      <c r="U51" s="139">
        <f t="shared" si="0"/>
        <v>0</v>
      </c>
      <c r="V51" s="139">
        <f t="shared" si="1"/>
        <v>0</v>
      </c>
    </row>
    <row r="52" spans="1:22" x14ac:dyDescent="0.2">
      <c r="A52" s="145" t="s">
        <v>348</v>
      </c>
      <c r="B52" s="146">
        <v>370888</v>
      </c>
      <c r="C52" s="147"/>
      <c r="D52" s="148"/>
      <c r="E52" s="149"/>
      <c r="F52" s="162">
        <v>370888</v>
      </c>
      <c r="G52" s="162">
        <v>0</v>
      </c>
      <c r="K52" s="150">
        <f>K50-K51</f>
        <v>14459994.780000001</v>
      </c>
      <c r="L52" s="139">
        <v>-650639.01</v>
      </c>
      <c r="R52" s="139">
        <v>370888</v>
      </c>
      <c r="S52" s="139">
        <v>0</v>
      </c>
      <c r="T52" s="235"/>
      <c r="U52" s="139">
        <f t="shared" si="0"/>
        <v>0</v>
      </c>
      <c r="V52" s="139">
        <f t="shared" si="1"/>
        <v>0</v>
      </c>
    </row>
    <row r="53" spans="1:22" x14ac:dyDescent="0.2">
      <c r="A53" s="145" t="s">
        <v>104</v>
      </c>
      <c r="B53" s="146">
        <v>5000</v>
      </c>
      <c r="C53" s="147"/>
      <c r="D53" s="148"/>
      <c r="E53" s="149"/>
      <c r="F53" s="162">
        <v>5000</v>
      </c>
      <c r="G53" s="162">
        <v>0</v>
      </c>
      <c r="L53" s="139">
        <v>3542720.11</v>
      </c>
      <c r="R53" s="139">
        <v>5000</v>
      </c>
      <c r="S53" s="139">
        <v>0</v>
      </c>
      <c r="T53" s="235"/>
      <c r="U53" s="139">
        <f t="shared" si="0"/>
        <v>0</v>
      </c>
      <c r="V53" s="139">
        <f t="shared" si="1"/>
        <v>0</v>
      </c>
    </row>
    <row r="54" spans="1:22" x14ac:dyDescent="0.2">
      <c r="A54" s="145" t="s">
        <v>105</v>
      </c>
      <c r="B54" s="146">
        <v>0</v>
      </c>
      <c r="C54" s="147"/>
      <c r="D54" s="148"/>
      <c r="E54" s="149"/>
      <c r="F54" s="162">
        <v>0</v>
      </c>
      <c r="G54" s="162">
        <v>0</v>
      </c>
      <c r="L54" s="139">
        <f>SUM(L46:L53)</f>
        <v>15493444.780000003</v>
      </c>
      <c r="R54" s="139">
        <v>0</v>
      </c>
      <c r="S54" s="139">
        <v>0</v>
      </c>
      <c r="T54" s="235"/>
      <c r="U54" s="139">
        <f t="shared" si="0"/>
        <v>0</v>
      </c>
      <c r="V54" s="139">
        <f t="shared" si="1"/>
        <v>0</v>
      </c>
    </row>
    <row r="55" spans="1:22" x14ac:dyDescent="0.2">
      <c r="A55" s="145" t="s">
        <v>106</v>
      </c>
      <c r="B55" s="146">
        <v>1265932.46</v>
      </c>
      <c r="C55" s="147"/>
      <c r="D55" s="148"/>
      <c r="E55" s="149"/>
      <c r="F55" s="162">
        <v>1224314.02</v>
      </c>
      <c r="G55" s="162">
        <v>0</v>
      </c>
      <c r="H55" s="218"/>
      <c r="I55" s="218"/>
      <c r="J55" s="218"/>
      <c r="K55" s="218"/>
      <c r="L55" s="219"/>
      <c r="M55" s="218"/>
      <c r="N55" s="218"/>
      <c r="R55" s="139">
        <v>1224314.02</v>
      </c>
      <c r="S55" s="139">
        <v>0</v>
      </c>
      <c r="U55" s="219">
        <f t="shared" si="0"/>
        <v>0</v>
      </c>
      <c r="V55" s="219">
        <f t="shared" si="1"/>
        <v>0</v>
      </c>
    </row>
    <row r="56" spans="1:22" x14ac:dyDescent="0.2">
      <c r="A56" s="145" t="s">
        <v>107</v>
      </c>
      <c r="B56" s="146">
        <v>1068716.8999999999</v>
      </c>
      <c r="C56" s="147"/>
      <c r="D56" s="148"/>
      <c r="E56" s="149"/>
      <c r="F56" s="162">
        <v>1068716.8999999999</v>
      </c>
      <c r="G56" s="162">
        <v>0</v>
      </c>
      <c r="R56" s="139">
        <v>1068716.8999999999</v>
      </c>
      <c r="S56" s="139">
        <v>0</v>
      </c>
      <c r="T56" s="235"/>
      <c r="U56" s="139">
        <f t="shared" si="0"/>
        <v>0</v>
      </c>
      <c r="V56" s="139">
        <f t="shared" si="1"/>
        <v>0</v>
      </c>
    </row>
    <row r="57" spans="1:22" x14ac:dyDescent="0.2">
      <c r="A57" s="145" t="s">
        <v>349</v>
      </c>
      <c r="B57" s="146">
        <v>800</v>
      </c>
      <c r="C57" s="147"/>
      <c r="D57" s="148"/>
      <c r="E57" s="149"/>
      <c r="F57" s="162">
        <v>800</v>
      </c>
      <c r="G57" s="162">
        <v>0</v>
      </c>
      <c r="R57" s="139">
        <v>800</v>
      </c>
      <c r="S57" s="139">
        <v>0</v>
      </c>
      <c r="T57" s="235"/>
      <c r="U57" s="139">
        <f t="shared" si="0"/>
        <v>0</v>
      </c>
      <c r="V57" s="139">
        <f t="shared" si="1"/>
        <v>0</v>
      </c>
    </row>
    <row r="58" spans="1:22" x14ac:dyDescent="0.2">
      <c r="A58" s="145" t="s">
        <v>532</v>
      </c>
      <c r="B58" s="146">
        <v>2000</v>
      </c>
      <c r="C58" s="147"/>
      <c r="D58" s="148"/>
      <c r="E58" s="149"/>
      <c r="F58" s="162">
        <v>2000</v>
      </c>
      <c r="G58" s="162">
        <v>0</v>
      </c>
      <c r="R58" s="139">
        <v>2000</v>
      </c>
      <c r="S58" s="139">
        <v>0</v>
      </c>
      <c r="T58" s="235"/>
      <c r="U58" s="139">
        <f t="shared" si="0"/>
        <v>0</v>
      </c>
      <c r="V58" s="139">
        <f t="shared" si="1"/>
        <v>0</v>
      </c>
    </row>
    <row r="59" spans="1:22" x14ac:dyDescent="0.2">
      <c r="A59" s="145" t="s">
        <v>108</v>
      </c>
      <c r="B59" s="146">
        <v>349167.33</v>
      </c>
      <c r="C59" s="147"/>
      <c r="D59" s="148"/>
      <c r="E59" s="149"/>
      <c r="F59" s="162">
        <v>349167.33</v>
      </c>
      <c r="G59" s="162">
        <v>0</v>
      </c>
      <c r="R59" s="139">
        <v>349167.33</v>
      </c>
      <c r="S59" s="139">
        <v>0</v>
      </c>
      <c r="T59" s="235"/>
      <c r="U59" s="139">
        <f t="shared" si="0"/>
        <v>0</v>
      </c>
      <c r="V59" s="139">
        <f t="shared" si="1"/>
        <v>0</v>
      </c>
    </row>
    <row r="60" spans="1:22" x14ac:dyDescent="0.2">
      <c r="A60" s="145" t="s">
        <v>109</v>
      </c>
      <c r="B60" s="146"/>
      <c r="C60" s="147">
        <v>10347.58</v>
      </c>
      <c r="D60" s="148"/>
      <c r="E60" s="149"/>
      <c r="F60" s="162">
        <v>0</v>
      </c>
      <c r="G60" s="162">
        <v>10347.58</v>
      </c>
      <c r="R60" s="139">
        <v>0</v>
      </c>
      <c r="S60" s="139">
        <v>10347.58</v>
      </c>
      <c r="T60" s="235"/>
      <c r="U60" s="139">
        <f t="shared" si="0"/>
        <v>0</v>
      </c>
      <c r="V60" s="139">
        <f t="shared" si="1"/>
        <v>0</v>
      </c>
    </row>
    <row r="61" spans="1:22" x14ac:dyDescent="0.2">
      <c r="A61" s="145" t="s">
        <v>533</v>
      </c>
      <c r="B61" s="146">
        <v>37500</v>
      </c>
      <c r="C61" s="147"/>
      <c r="D61" s="148"/>
      <c r="E61" s="149"/>
      <c r="F61" s="162">
        <v>37500</v>
      </c>
      <c r="G61" s="162">
        <v>0</v>
      </c>
      <c r="R61" s="139">
        <v>37500</v>
      </c>
      <c r="S61" s="139">
        <v>0</v>
      </c>
      <c r="T61" s="235"/>
      <c r="U61" s="139">
        <f t="shared" si="0"/>
        <v>0</v>
      </c>
      <c r="V61" s="139">
        <f t="shared" si="1"/>
        <v>0</v>
      </c>
    </row>
    <row r="62" spans="1:22" x14ac:dyDescent="0.2">
      <c r="A62" s="145" t="s">
        <v>110</v>
      </c>
      <c r="B62" s="146">
        <v>605000</v>
      </c>
      <c r="C62" s="147"/>
      <c r="D62" s="148"/>
      <c r="E62" s="149"/>
      <c r="F62" s="162">
        <v>605000</v>
      </c>
      <c r="G62" s="162">
        <v>0</v>
      </c>
      <c r="R62" s="139">
        <v>605000</v>
      </c>
      <c r="S62" s="139">
        <v>0</v>
      </c>
      <c r="T62" s="235"/>
      <c r="U62" s="139">
        <f t="shared" si="0"/>
        <v>0</v>
      </c>
      <c r="V62" s="139">
        <f t="shared" si="1"/>
        <v>0</v>
      </c>
    </row>
    <row r="63" spans="1:22" x14ac:dyDescent="0.2">
      <c r="A63" s="145" t="s">
        <v>111</v>
      </c>
      <c r="B63" s="146">
        <v>14500</v>
      </c>
      <c r="C63" s="147"/>
      <c r="D63" s="148"/>
      <c r="E63" s="149"/>
      <c r="F63" s="162">
        <v>14500</v>
      </c>
      <c r="G63" s="162">
        <v>0</v>
      </c>
      <c r="R63" s="139">
        <v>14500</v>
      </c>
      <c r="S63" s="139">
        <v>0</v>
      </c>
      <c r="T63" s="235"/>
      <c r="U63" s="139">
        <f t="shared" si="0"/>
        <v>0</v>
      </c>
      <c r="V63" s="139">
        <f t="shared" si="1"/>
        <v>0</v>
      </c>
    </row>
    <row r="64" spans="1:22" x14ac:dyDescent="0.2">
      <c r="A64" s="145" t="s">
        <v>112</v>
      </c>
      <c r="B64" s="146">
        <v>64167</v>
      </c>
      <c r="C64" s="147"/>
      <c r="D64" s="148"/>
      <c r="E64" s="149"/>
      <c r="F64" s="162">
        <v>64167</v>
      </c>
      <c r="G64" s="162">
        <v>0</v>
      </c>
      <c r="R64" s="139">
        <v>64167</v>
      </c>
      <c r="S64" s="139">
        <v>0</v>
      </c>
      <c r="T64" s="235"/>
      <c r="U64" s="139">
        <f t="shared" si="0"/>
        <v>0</v>
      </c>
      <c r="V64" s="139">
        <f t="shared" si="1"/>
        <v>0</v>
      </c>
    </row>
    <row r="65" spans="1:256" x14ac:dyDescent="0.2">
      <c r="A65" s="145" t="s">
        <v>113</v>
      </c>
      <c r="B65" s="146">
        <v>15000</v>
      </c>
      <c r="C65" s="147"/>
      <c r="D65" s="148"/>
      <c r="E65" s="149"/>
      <c r="F65" s="162">
        <v>15000</v>
      </c>
      <c r="G65" s="162">
        <v>0</v>
      </c>
      <c r="R65" s="139">
        <v>15000</v>
      </c>
      <c r="S65" s="139">
        <v>0</v>
      </c>
      <c r="T65" s="235"/>
      <c r="U65" s="139">
        <f t="shared" si="0"/>
        <v>0</v>
      </c>
      <c r="V65" s="139">
        <f t="shared" si="1"/>
        <v>0</v>
      </c>
    </row>
    <row r="66" spans="1:256" x14ac:dyDescent="0.2">
      <c r="A66" s="145" t="s">
        <v>350</v>
      </c>
      <c r="B66" s="146">
        <v>72000</v>
      </c>
      <c r="C66" s="147"/>
      <c r="D66" s="148"/>
      <c r="E66" s="149"/>
      <c r="F66" s="162">
        <v>72000</v>
      </c>
      <c r="G66" s="162">
        <v>0</v>
      </c>
      <c r="R66" s="139">
        <v>72000</v>
      </c>
      <c r="S66" s="139">
        <v>0</v>
      </c>
      <c r="T66" s="235"/>
      <c r="U66" s="139">
        <f t="shared" si="0"/>
        <v>0</v>
      </c>
      <c r="V66" s="139">
        <f t="shared" si="1"/>
        <v>0</v>
      </c>
    </row>
    <row r="67" spans="1:256" x14ac:dyDescent="0.2">
      <c r="A67" s="145" t="s">
        <v>114</v>
      </c>
      <c r="B67" s="146">
        <v>72300</v>
      </c>
      <c r="C67" s="147"/>
      <c r="D67" s="148"/>
      <c r="E67" s="149"/>
      <c r="F67" s="162">
        <v>72300</v>
      </c>
      <c r="G67" s="162">
        <v>0</v>
      </c>
      <c r="R67" s="139">
        <v>72300</v>
      </c>
      <c r="S67" s="139">
        <v>0</v>
      </c>
      <c r="T67" s="235"/>
      <c r="U67" s="139">
        <f t="shared" si="0"/>
        <v>0</v>
      </c>
      <c r="V67" s="139">
        <f t="shared" si="1"/>
        <v>0</v>
      </c>
    </row>
    <row r="68" spans="1:256" x14ac:dyDescent="0.2">
      <c r="A68" s="145" t="s">
        <v>115</v>
      </c>
      <c r="B68" s="146">
        <v>2314879.12</v>
      </c>
      <c r="C68" s="147"/>
      <c r="D68" s="148"/>
      <c r="E68" s="149"/>
      <c r="F68" s="162">
        <v>2314879.12</v>
      </c>
      <c r="G68" s="162">
        <v>0</v>
      </c>
      <c r="R68" s="139">
        <v>2314879.12</v>
      </c>
      <c r="S68" s="139">
        <v>0</v>
      </c>
      <c r="T68" s="235"/>
      <c r="U68" s="139">
        <f t="shared" ref="U68:U131" si="2">F68-R68</f>
        <v>0</v>
      </c>
      <c r="V68" s="139">
        <f t="shared" ref="V68:V131" si="3">G68-S68</f>
        <v>0</v>
      </c>
    </row>
    <row r="69" spans="1:256" x14ac:dyDescent="0.2">
      <c r="A69" s="145" t="s">
        <v>116</v>
      </c>
      <c r="B69" s="146">
        <v>237808</v>
      </c>
      <c r="C69" s="147"/>
      <c r="D69" s="148"/>
      <c r="E69" s="149"/>
      <c r="F69" s="162">
        <v>237808</v>
      </c>
      <c r="G69" s="162">
        <v>0</v>
      </c>
      <c r="R69" s="139">
        <v>237808</v>
      </c>
      <c r="S69" s="139">
        <v>0</v>
      </c>
      <c r="T69" s="235"/>
      <c r="U69" s="139">
        <f t="shared" si="2"/>
        <v>0</v>
      </c>
      <c r="V69" s="139">
        <f t="shared" si="3"/>
        <v>0</v>
      </c>
    </row>
    <row r="70" spans="1:256" x14ac:dyDescent="0.2">
      <c r="A70" s="145" t="s">
        <v>351</v>
      </c>
      <c r="B70" s="146">
        <v>650498.17000000004</v>
      </c>
      <c r="C70" s="147"/>
      <c r="D70" s="148"/>
      <c r="E70" s="149"/>
      <c r="F70" s="162">
        <v>650498.17000000004</v>
      </c>
      <c r="G70" s="162">
        <v>0</v>
      </c>
      <c r="R70" s="139">
        <v>650498.17000000004</v>
      </c>
      <c r="S70" s="139">
        <v>0</v>
      </c>
      <c r="T70" s="235"/>
      <c r="U70" s="139">
        <f t="shared" si="2"/>
        <v>0</v>
      </c>
      <c r="V70" s="139">
        <f t="shared" si="3"/>
        <v>0</v>
      </c>
    </row>
    <row r="71" spans="1:256" ht="13.5" thickBot="1" x14ac:dyDescent="0.25">
      <c r="A71" s="145" t="s">
        <v>269</v>
      </c>
      <c r="B71" s="146">
        <v>325095</v>
      </c>
      <c r="C71" s="147"/>
      <c r="D71" s="148"/>
      <c r="E71" s="149"/>
      <c r="F71" s="251">
        <v>325095</v>
      </c>
      <c r="G71" s="251">
        <v>0</v>
      </c>
      <c r="R71" s="139">
        <v>325095</v>
      </c>
      <c r="S71" s="139">
        <v>0</v>
      </c>
      <c r="T71" s="235"/>
      <c r="U71" s="139">
        <f t="shared" si="2"/>
        <v>0</v>
      </c>
      <c r="V71" s="139">
        <f t="shared" si="3"/>
        <v>0</v>
      </c>
    </row>
    <row r="72" spans="1:256" x14ac:dyDescent="0.2">
      <c r="A72" s="145" t="s">
        <v>117</v>
      </c>
      <c r="B72" s="146">
        <v>19882380.739999998</v>
      </c>
      <c r="C72" s="147"/>
      <c r="D72" s="148"/>
      <c r="E72" s="149"/>
      <c r="F72" s="248">
        <v>18392163.239999998</v>
      </c>
      <c r="G72" s="198">
        <v>0</v>
      </c>
      <c r="H72" s="218"/>
      <c r="I72" s="218"/>
      <c r="J72" s="218"/>
      <c r="K72" s="218"/>
      <c r="L72" s="219"/>
      <c r="M72" s="218"/>
      <c r="N72" s="218"/>
      <c r="R72" s="139">
        <v>18392163.239999998</v>
      </c>
      <c r="S72" s="139">
        <v>0</v>
      </c>
      <c r="U72" s="219">
        <f t="shared" si="2"/>
        <v>0</v>
      </c>
      <c r="V72" s="219">
        <f t="shared" si="3"/>
        <v>0</v>
      </c>
      <c r="X72" s="150"/>
    </row>
    <row r="73" spans="1:256" x14ac:dyDescent="0.2">
      <c r="A73" s="145" t="s">
        <v>270</v>
      </c>
      <c r="B73" s="146">
        <v>12072596.76</v>
      </c>
      <c r="C73" s="147"/>
      <c r="D73" s="148"/>
      <c r="E73" s="149">
        <f>D8</f>
        <v>9719366.8399999999</v>
      </c>
      <c r="F73" s="249">
        <v>23281746.100000001</v>
      </c>
      <c r="G73" s="200">
        <v>0</v>
      </c>
      <c r="H73" s="218"/>
      <c r="I73" s="218"/>
      <c r="J73" s="218"/>
      <c r="K73" s="218"/>
      <c r="L73" s="219"/>
      <c r="M73" s="218"/>
      <c r="N73" s="218"/>
      <c r="R73" s="139">
        <v>23281746.100000001</v>
      </c>
      <c r="S73" s="139">
        <v>0</v>
      </c>
      <c r="U73" s="219">
        <f t="shared" si="2"/>
        <v>0</v>
      </c>
      <c r="V73" s="219">
        <f t="shared" si="3"/>
        <v>0</v>
      </c>
      <c r="X73" s="150"/>
    </row>
    <row r="74" spans="1:256" x14ac:dyDescent="0.2">
      <c r="A74" s="145" t="s">
        <v>118</v>
      </c>
      <c r="B74" s="146">
        <v>3560272.24</v>
      </c>
      <c r="C74" s="147"/>
      <c r="D74" s="148"/>
      <c r="E74" s="149"/>
      <c r="F74" s="249">
        <v>3560272.24</v>
      </c>
      <c r="G74" s="200">
        <v>0</v>
      </c>
      <c r="H74" s="218"/>
      <c r="I74" s="218"/>
      <c r="J74" s="218"/>
      <c r="K74" s="218"/>
      <c r="L74" s="219"/>
      <c r="M74" s="218"/>
      <c r="N74" s="218"/>
      <c r="R74" s="139">
        <v>3560272.24</v>
      </c>
      <c r="S74" s="139">
        <v>0</v>
      </c>
      <c r="U74" s="219">
        <f t="shared" si="2"/>
        <v>0</v>
      </c>
      <c r="V74" s="219">
        <f t="shared" si="3"/>
        <v>0</v>
      </c>
    </row>
    <row r="75" spans="1:256" x14ac:dyDescent="0.2">
      <c r="A75" s="145" t="s">
        <v>119</v>
      </c>
      <c r="B75" s="146">
        <v>0</v>
      </c>
      <c r="C75" s="147"/>
      <c r="D75" s="148"/>
      <c r="E75" s="149"/>
      <c r="F75" s="252">
        <v>0</v>
      </c>
      <c r="G75" s="200">
        <v>0</v>
      </c>
      <c r="R75" s="139">
        <v>0</v>
      </c>
      <c r="S75" s="139">
        <v>0</v>
      </c>
      <c r="T75" s="235"/>
      <c r="U75" s="139">
        <f t="shared" si="2"/>
        <v>0</v>
      </c>
      <c r="V75" s="139">
        <f t="shared" si="3"/>
        <v>0</v>
      </c>
    </row>
    <row r="76" spans="1:256" ht="13.5" thickBot="1" x14ac:dyDescent="0.25">
      <c r="A76" s="145" t="s">
        <v>271</v>
      </c>
      <c r="B76" s="146">
        <v>10899184.560000001</v>
      </c>
      <c r="C76" s="147"/>
      <c r="D76" s="148"/>
      <c r="E76" s="149"/>
      <c r="F76" s="250">
        <v>10800566.83</v>
      </c>
      <c r="G76" s="206">
        <v>0</v>
      </c>
      <c r="H76" s="218"/>
      <c r="I76" s="218"/>
      <c r="J76" s="218"/>
      <c r="K76" s="218"/>
      <c r="L76" s="219"/>
      <c r="M76" s="218"/>
      <c r="N76" s="218"/>
      <c r="R76" s="139">
        <v>10800566.83</v>
      </c>
      <c r="S76" s="139">
        <v>0</v>
      </c>
      <c r="U76" s="219">
        <f t="shared" si="2"/>
        <v>0</v>
      </c>
      <c r="V76" s="219">
        <f t="shared" si="3"/>
        <v>0</v>
      </c>
    </row>
    <row r="77" spans="1:256" x14ac:dyDescent="0.2">
      <c r="A77" s="145" t="s">
        <v>120</v>
      </c>
      <c r="B77" s="146">
        <v>0</v>
      </c>
      <c r="C77" s="147"/>
      <c r="D77" s="148"/>
      <c r="E77" s="149"/>
      <c r="F77" s="191">
        <v>0</v>
      </c>
      <c r="G77" s="191">
        <v>0</v>
      </c>
      <c r="R77" s="139">
        <v>0</v>
      </c>
      <c r="S77" s="139">
        <v>0</v>
      </c>
      <c r="T77" s="235"/>
      <c r="U77" s="139">
        <f t="shared" si="2"/>
        <v>0</v>
      </c>
      <c r="V77" s="139">
        <f t="shared" si="3"/>
        <v>0</v>
      </c>
    </row>
    <row r="78" spans="1:256" ht="13.5" thickBot="1" x14ac:dyDescent="0.25">
      <c r="A78" s="155" t="s">
        <v>521</v>
      </c>
      <c r="B78" s="155"/>
      <c r="C78" s="155"/>
      <c r="D78" s="155"/>
      <c r="E78" s="155"/>
      <c r="F78" s="240"/>
      <c r="G78" s="153">
        <v>500000</v>
      </c>
      <c r="H78" s="237"/>
      <c r="I78" s="237"/>
      <c r="J78" s="237"/>
      <c r="K78" s="237"/>
      <c r="L78" s="237"/>
      <c r="M78" s="237"/>
      <c r="N78" s="237"/>
      <c r="O78" s="259"/>
      <c r="P78" s="259"/>
      <c r="Q78" s="237"/>
      <c r="R78" s="68"/>
      <c r="S78" s="139">
        <v>500000</v>
      </c>
      <c r="T78" s="232"/>
      <c r="U78" s="219">
        <f t="shared" si="2"/>
        <v>0</v>
      </c>
      <c r="V78" s="219">
        <f t="shared" si="3"/>
        <v>0</v>
      </c>
      <c r="W78" s="68"/>
      <c r="X78" s="68"/>
      <c r="Y78" s="68"/>
      <c r="Z78" s="68"/>
      <c r="AA78" s="68"/>
      <c r="AB78" s="68"/>
      <c r="AC78" s="68"/>
      <c r="AD78" s="68"/>
      <c r="AE78" s="68"/>
      <c r="AF78" s="68"/>
      <c r="AG78" s="68"/>
      <c r="AH78" s="68"/>
      <c r="AI78" s="68"/>
      <c r="AJ78" s="68"/>
      <c r="AK78" s="68"/>
      <c r="AL78" s="68"/>
      <c r="AM78" s="68"/>
      <c r="AN78" s="68"/>
      <c r="AO78" s="68"/>
      <c r="AP78" s="68"/>
      <c r="AQ78" s="68"/>
      <c r="AR78" s="68"/>
      <c r="AS78" s="68"/>
      <c r="AT78" s="68"/>
      <c r="AU78" s="68"/>
      <c r="AV78" s="68"/>
      <c r="AW78" s="68"/>
      <c r="AX78" s="68"/>
      <c r="AY78" s="68"/>
      <c r="AZ78" s="68"/>
      <c r="BA78" s="68"/>
      <c r="BB78" s="68"/>
      <c r="BC78" s="68"/>
      <c r="BD78" s="68"/>
      <c r="BE78" s="68"/>
      <c r="BF78" s="68"/>
      <c r="BG78" s="68"/>
      <c r="BH78" s="68"/>
      <c r="BI78" s="68"/>
      <c r="BJ78" s="68"/>
      <c r="BK78" s="68"/>
      <c r="BL78" s="68"/>
      <c r="BM78" s="68"/>
      <c r="BN78" s="68"/>
      <c r="BO78" s="68"/>
      <c r="BP78" s="68"/>
      <c r="BQ78" s="68"/>
      <c r="BR78" s="68"/>
      <c r="BS78" s="68"/>
      <c r="BT78" s="68"/>
      <c r="BU78" s="68"/>
      <c r="BV78" s="68"/>
      <c r="BW78" s="68"/>
      <c r="BX78" s="68"/>
      <c r="BY78" s="68"/>
      <c r="BZ78" s="68"/>
      <c r="CA78" s="68"/>
      <c r="CB78" s="68"/>
      <c r="CC78" s="68"/>
      <c r="CD78" s="68"/>
      <c r="CE78" s="68"/>
      <c r="CF78" s="68"/>
      <c r="CG78" s="68"/>
      <c r="CH78" s="68"/>
      <c r="CI78" s="68"/>
      <c r="CJ78" s="68"/>
      <c r="CK78" s="68"/>
      <c r="CL78" s="68"/>
      <c r="CM78" s="68"/>
      <c r="CN78" s="68"/>
      <c r="CO78" s="68"/>
      <c r="CP78" s="68"/>
      <c r="CQ78" s="68"/>
      <c r="CR78" s="68"/>
      <c r="CS78" s="68"/>
      <c r="CT78" s="68"/>
      <c r="CU78" s="68"/>
      <c r="CV78" s="68"/>
      <c r="CW78" s="68"/>
      <c r="CX78" s="68"/>
      <c r="CY78" s="68"/>
      <c r="CZ78" s="68"/>
      <c r="DA78" s="68"/>
      <c r="DB78" s="68"/>
      <c r="DC78" s="68"/>
      <c r="DD78" s="68"/>
      <c r="DE78" s="68"/>
      <c r="DF78" s="68"/>
      <c r="DG78" s="68"/>
      <c r="DH78" s="68"/>
      <c r="DI78" s="68"/>
      <c r="DJ78" s="68"/>
      <c r="DK78" s="68"/>
      <c r="DL78" s="68"/>
      <c r="DM78" s="68"/>
      <c r="DN78" s="68"/>
      <c r="DO78" s="68"/>
      <c r="DP78" s="68"/>
      <c r="DQ78" s="68"/>
      <c r="DR78" s="68"/>
      <c r="DS78" s="68"/>
      <c r="DT78" s="68"/>
      <c r="DU78" s="68"/>
      <c r="DV78" s="68"/>
      <c r="DW78" s="68"/>
      <c r="DX78" s="68"/>
      <c r="DY78" s="68"/>
      <c r="DZ78" s="68"/>
      <c r="EA78" s="68"/>
      <c r="EB78" s="68"/>
      <c r="EC78" s="68"/>
      <c r="ED78" s="68"/>
      <c r="EE78" s="68"/>
      <c r="EF78" s="68"/>
      <c r="EG78" s="68"/>
      <c r="EH78" s="68"/>
      <c r="EI78" s="68"/>
      <c r="EJ78" s="68"/>
      <c r="EK78" s="68"/>
      <c r="EL78" s="68"/>
      <c r="EM78" s="68"/>
      <c r="EN78" s="68"/>
      <c r="EO78" s="68"/>
      <c r="EP78" s="68"/>
      <c r="EQ78" s="68"/>
      <c r="ER78" s="68"/>
      <c r="ES78" s="68"/>
      <c r="ET78" s="68"/>
      <c r="EU78" s="68"/>
      <c r="EV78" s="68"/>
      <c r="EW78" s="68"/>
      <c r="EX78" s="68"/>
      <c r="EY78" s="68"/>
      <c r="EZ78" s="68"/>
      <c r="FA78" s="68"/>
      <c r="FB78" s="68"/>
      <c r="FC78" s="68"/>
      <c r="FD78" s="68"/>
      <c r="FE78" s="68"/>
      <c r="FF78" s="68"/>
      <c r="FG78" s="68"/>
      <c r="FH78" s="68"/>
      <c r="FI78" s="68"/>
      <c r="FJ78" s="68"/>
      <c r="FK78" s="68"/>
      <c r="FL78" s="68"/>
      <c r="FM78" s="68"/>
      <c r="FN78" s="68"/>
      <c r="FO78" s="68"/>
      <c r="FP78" s="68"/>
      <c r="FQ78" s="68"/>
      <c r="FR78" s="68"/>
      <c r="FS78" s="68"/>
      <c r="FT78" s="68"/>
      <c r="FU78" s="68"/>
      <c r="FV78" s="68"/>
      <c r="FW78" s="68"/>
      <c r="FX78" s="68"/>
      <c r="FY78" s="68"/>
      <c r="FZ78" s="68"/>
      <c r="GA78" s="68"/>
      <c r="GB78" s="68"/>
      <c r="GC78" s="68"/>
      <c r="GD78" s="68"/>
      <c r="GE78" s="68"/>
      <c r="GF78" s="68"/>
      <c r="GG78" s="68"/>
      <c r="GH78" s="68"/>
      <c r="GI78" s="68"/>
      <c r="GJ78" s="68"/>
      <c r="GK78" s="68"/>
      <c r="GL78" s="68"/>
      <c r="GM78" s="68"/>
      <c r="GN78" s="68"/>
      <c r="GO78" s="68"/>
      <c r="GP78" s="68"/>
      <c r="GQ78" s="68"/>
      <c r="GR78" s="68"/>
      <c r="GS78" s="68"/>
      <c r="GT78" s="68"/>
      <c r="GU78" s="68"/>
      <c r="GV78" s="68"/>
      <c r="GW78" s="68"/>
      <c r="GX78" s="68"/>
      <c r="GY78" s="68"/>
      <c r="GZ78" s="68"/>
      <c r="HA78" s="68"/>
      <c r="HB78" s="68"/>
      <c r="HC78" s="68"/>
      <c r="HD78" s="68"/>
      <c r="HE78" s="68"/>
      <c r="HF78" s="68"/>
      <c r="HG78" s="68"/>
      <c r="HH78" s="68"/>
      <c r="HI78" s="68"/>
      <c r="HJ78" s="68"/>
      <c r="HK78" s="68"/>
      <c r="HL78" s="68"/>
      <c r="HM78" s="68"/>
      <c r="HN78" s="68"/>
      <c r="HO78" s="68"/>
      <c r="HP78" s="68"/>
      <c r="HQ78" s="68"/>
      <c r="HR78" s="68"/>
      <c r="HS78" s="68"/>
      <c r="HT78" s="68"/>
      <c r="HU78" s="68"/>
      <c r="HV78" s="68"/>
      <c r="HW78" s="68"/>
      <c r="HX78" s="68"/>
      <c r="HY78" s="68"/>
      <c r="HZ78" s="68"/>
      <c r="IA78" s="68"/>
      <c r="IB78" s="68"/>
      <c r="IC78" s="68"/>
      <c r="ID78" s="68"/>
      <c r="IE78" s="68"/>
      <c r="IF78" s="68"/>
      <c r="IG78" s="68"/>
      <c r="IH78" s="68"/>
      <c r="II78" s="68"/>
      <c r="IJ78" s="68"/>
      <c r="IK78" s="68"/>
      <c r="IL78" s="68"/>
      <c r="IM78" s="68"/>
      <c r="IN78" s="68"/>
      <c r="IO78" s="68"/>
      <c r="IP78" s="68"/>
      <c r="IQ78" s="68"/>
      <c r="IR78" s="68"/>
      <c r="IS78" s="68"/>
      <c r="IT78" s="68"/>
      <c r="IU78" s="68"/>
      <c r="IV78" s="68"/>
    </row>
    <row r="79" spans="1:256" x14ac:dyDescent="0.2">
      <c r="A79" s="145" t="s">
        <v>534</v>
      </c>
      <c r="B79" s="146">
        <v>1005600</v>
      </c>
      <c r="C79" s="147"/>
      <c r="D79" s="148"/>
      <c r="E79" s="149"/>
      <c r="F79" s="253">
        <v>1005600</v>
      </c>
      <c r="G79" s="254">
        <v>0</v>
      </c>
      <c r="R79" s="139">
        <v>1005600</v>
      </c>
      <c r="S79" s="139">
        <v>0</v>
      </c>
      <c r="T79" s="235"/>
      <c r="U79" s="139">
        <f t="shared" si="2"/>
        <v>0</v>
      </c>
      <c r="V79" s="139">
        <f t="shared" si="3"/>
        <v>0</v>
      </c>
    </row>
    <row r="80" spans="1:256" x14ac:dyDescent="0.2">
      <c r="A80" s="145" t="s">
        <v>121</v>
      </c>
      <c r="B80" s="146">
        <v>3681068</v>
      </c>
      <c r="C80" s="147"/>
      <c r="D80" s="148"/>
      <c r="E80" s="149"/>
      <c r="F80" s="255">
        <v>3681068</v>
      </c>
      <c r="G80" s="256">
        <v>0</v>
      </c>
      <c r="R80" s="139">
        <v>3681068</v>
      </c>
      <c r="S80" s="139">
        <v>0</v>
      </c>
      <c r="T80" s="235"/>
      <c r="U80" s="139">
        <f t="shared" si="2"/>
        <v>0</v>
      </c>
      <c r="V80" s="139">
        <f t="shared" si="3"/>
        <v>0</v>
      </c>
    </row>
    <row r="81" spans="1:22" x14ac:dyDescent="0.2">
      <c r="A81" s="145" t="s">
        <v>272</v>
      </c>
      <c r="B81" s="146">
        <v>25219410</v>
      </c>
      <c r="C81" s="147"/>
      <c r="D81" s="148"/>
      <c r="E81" s="149"/>
      <c r="F81" s="255">
        <v>25219410</v>
      </c>
      <c r="G81" s="256">
        <v>0</v>
      </c>
      <c r="R81" s="139">
        <v>25219410</v>
      </c>
      <c r="S81" s="139">
        <v>0</v>
      </c>
      <c r="T81" s="235"/>
      <c r="U81" s="139">
        <f t="shared" si="2"/>
        <v>0</v>
      </c>
      <c r="V81" s="139">
        <f t="shared" si="3"/>
        <v>0</v>
      </c>
    </row>
    <row r="82" spans="1:22" x14ac:dyDescent="0.2">
      <c r="A82" s="145" t="s">
        <v>273</v>
      </c>
      <c r="B82" s="146">
        <v>3389962</v>
      </c>
      <c r="C82" s="147"/>
      <c r="D82" s="148"/>
      <c r="E82" s="149"/>
      <c r="F82" s="255">
        <v>3389962</v>
      </c>
      <c r="G82" s="256">
        <v>0</v>
      </c>
      <c r="R82" s="139">
        <v>3389962</v>
      </c>
      <c r="S82" s="139">
        <v>0</v>
      </c>
      <c r="T82" s="235"/>
      <c r="U82" s="139">
        <f t="shared" si="2"/>
        <v>0</v>
      </c>
      <c r="V82" s="139">
        <f t="shared" si="3"/>
        <v>0</v>
      </c>
    </row>
    <row r="83" spans="1:22" x14ac:dyDescent="0.2">
      <c r="A83" s="145" t="s">
        <v>535</v>
      </c>
      <c r="B83" s="146">
        <v>2922736</v>
      </c>
      <c r="C83" s="147"/>
      <c r="D83" s="148"/>
      <c r="E83" s="149"/>
      <c r="F83" s="255">
        <v>2922736</v>
      </c>
      <c r="G83" s="256">
        <v>0</v>
      </c>
      <c r="R83" s="139">
        <v>2922736</v>
      </c>
      <c r="S83" s="139">
        <v>0</v>
      </c>
      <c r="T83" s="235"/>
      <c r="U83" s="139">
        <f t="shared" si="2"/>
        <v>0</v>
      </c>
      <c r="V83" s="139">
        <f t="shared" si="3"/>
        <v>0</v>
      </c>
    </row>
    <row r="84" spans="1:22" x14ac:dyDescent="0.2">
      <c r="A84" s="145" t="s">
        <v>536</v>
      </c>
      <c r="B84" s="146">
        <v>540000</v>
      </c>
      <c r="C84" s="147"/>
      <c r="D84" s="148"/>
      <c r="E84" s="149"/>
      <c r="F84" s="255">
        <v>540000</v>
      </c>
      <c r="G84" s="256">
        <v>0</v>
      </c>
      <c r="R84" s="139">
        <v>540000</v>
      </c>
      <c r="S84" s="139">
        <v>0</v>
      </c>
      <c r="T84" s="235"/>
      <c r="U84" s="139">
        <f t="shared" si="2"/>
        <v>0</v>
      </c>
      <c r="V84" s="139">
        <f t="shared" si="3"/>
        <v>0</v>
      </c>
    </row>
    <row r="85" spans="1:22" x14ac:dyDescent="0.2">
      <c r="A85" s="145" t="s">
        <v>274</v>
      </c>
      <c r="B85" s="146">
        <v>12559000</v>
      </c>
      <c r="C85" s="147"/>
      <c r="D85" s="148"/>
      <c r="E85" s="149"/>
      <c r="F85" s="255">
        <v>12559000</v>
      </c>
      <c r="G85" s="256">
        <v>0</v>
      </c>
      <c r="R85" s="139">
        <v>12559000</v>
      </c>
      <c r="S85" s="139">
        <v>0</v>
      </c>
      <c r="T85" s="235"/>
      <c r="U85" s="139">
        <f t="shared" si="2"/>
        <v>0</v>
      </c>
      <c r="V85" s="139">
        <f t="shared" si="3"/>
        <v>0</v>
      </c>
    </row>
    <row r="86" spans="1:22" x14ac:dyDescent="0.2">
      <c r="A86" s="145" t="s">
        <v>275</v>
      </c>
      <c r="B86" s="146">
        <v>3768000</v>
      </c>
      <c r="C86" s="147"/>
      <c r="D86" s="148"/>
      <c r="E86" s="149"/>
      <c r="F86" s="255">
        <v>3768000</v>
      </c>
      <c r="G86" s="256">
        <v>0</v>
      </c>
      <c r="R86" s="139">
        <v>3768000</v>
      </c>
      <c r="S86" s="139">
        <v>0</v>
      </c>
      <c r="T86" s="235"/>
      <c r="U86" s="139">
        <f t="shared" si="2"/>
        <v>0</v>
      </c>
      <c r="V86" s="139">
        <f t="shared" si="3"/>
        <v>0</v>
      </c>
    </row>
    <row r="87" spans="1:22" x14ac:dyDescent="0.2">
      <c r="A87" s="145" t="s">
        <v>352</v>
      </c>
      <c r="B87" s="146">
        <v>46669400</v>
      </c>
      <c r="C87" s="147"/>
      <c r="D87" s="148"/>
      <c r="E87" s="149"/>
      <c r="F87" s="255">
        <v>46694800</v>
      </c>
      <c r="G87" s="256">
        <v>0</v>
      </c>
      <c r="H87" s="218"/>
      <c r="I87" s="218"/>
      <c r="J87" s="218"/>
      <c r="K87" s="218"/>
      <c r="L87" s="219"/>
      <c r="M87" s="218"/>
      <c r="N87" s="218"/>
      <c r="R87" s="139">
        <v>46694800</v>
      </c>
      <c r="S87" s="139">
        <v>0</v>
      </c>
      <c r="U87" s="219">
        <f t="shared" si="2"/>
        <v>0</v>
      </c>
      <c r="V87" s="219">
        <f t="shared" si="3"/>
        <v>0</v>
      </c>
    </row>
    <row r="88" spans="1:22" x14ac:dyDescent="0.2">
      <c r="A88" s="145" t="s">
        <v>122</v>
      </c>
      <c r="B88" s="146">
        <v>5462728.5</v>
      </c>
      <c r="C88" s="147"/>
      <c r="D88" s="148"/>
      <c r="E88" s="149"/>
      <c r="F88" s="255">
        <v>5462728.5</v>
      </c>
      <c r="G88" s="256">
        <v>0</v>
      </c>
      <c r="R88" s="139">
        <v>5462728.5</v>
      </c>
      <c r="S88" s="139">
        <v>0</v>
      </c>
      <c r="T88" s="235"/>
      <c r="U88" s="139">
        <f t="shared" si="2"/>
        <v>0</v>
      </c>
      <c r="V88" s="139">
        <f t="shared" si="3"/>
        <v>0</v>
      </c>
    </row>
    <row r="89" spans="1:22" x14ac:dyDescent="0.2">
      <c r="A89" s="145" t="s">
        <v>276</v>
      </c>
      <c r="B89" s="146">
        <v>0</v>
      </c>
      <c r="C89" s="147"/>
      <c r="D89" s="148"/>
      <c r="E89" s="149"/>
      <c r="F89" s="255">
        <v>0</v>
      </c>
      <c r="G89" s="256">
        <v>0</v>
      </c>
      <c r="R89" s="139">
        <v>0</v>
      </c>
      <c r="S89" s="139">
        <v>0</v>
      </c>
      <c r="T89" s="235"/>
      <c r="U89" s="139">
        <f t="shared" si="2"/>
        <v>0</v>
      </c>
      <c r="V89" s="139">
        <f t="shared" si="3"/>
        <v>0</v>
      </c>
    </row>
    <row r="90" spans="1:22" x14ac:dyDescent="0.2">
      <c r="A90" s="145" t="s">
        <v>277</v>
      </c>
      <c r="B90" s="146">
        <v>0</v>
      </c>
      <c r="C90" s="147"/>
      <c r="D90" s="148"/>
      <c r="E90" s="149"/>
      <c r="F90" s="255">
        <v>0</v>
      </c>
      <c r="G90" s="256">
        <v>0</v>
      </c>
      <c r="R90" s="139">
        <v>0</v>
      </c>
      <c r="S90" s="139">
        <v>0</v>
      </c>
      <c r="T90" s="235"/>
      <c r="U90" s="139">
        <f t="shared" si="2"/>
        <v>0</v>
      </c>
      <c r="V90" s="139">
        <f t="shared" si="3"/>
        <v>0</v>
      </c>
    </row>
    <row r="91" spans="1:22" x14ac:dyDescent="0.2">
      <c r="A91" s="145" t="s">
        <v>278</v>
      </c>
      <c r="B91" s="146">
        <v>0</v>
      </c>
      <c r="C91" s="147"/>
      <c r="D91" s="148"/>
      <c r="E91" s="149"/>
      <c r="F91" s="255">
        <v>0</v>
      </c>
      <c r="G91" s="256">
        <v>0</v>
      </c>
      <c r="R91" s="139">
        <v>0</v>
      </c>
      <c r="S91" s="139">
        <v>0</v>
      </c>
      <c r="T91" s="235"/>
      <c r="U91" s="139">
        <f t="shared" si="2"/>
        <v>0</v>
      </c>
      <c r="V91" s="139">
        <f t="shared" si="3"/>
        <v>0</v>
      </c>
    </row>
    <row r="92" spans="1:22" x14ac:dyDescent="0.2">
      <c r="A92" s="145" t="s">
        <v>123</v>
      </c>
      <c r="B92" s="146">
        <v>1215000</v>
      </c>
      <c r="C92" s="147"/>
      <c r="D92" s="148"/>
      <c r="E92" s="149"/>
      <c r="F92" s="255">
        <v>1215000</v>
      </c>
      <c r="G92" s="256">
        <v>0</v>
      </c>
      <c r="R92" s="139">
        <v>1215000</v>
      </c>
      <c r="S92" s="139">
        <v>0</v>
      </c>
      <c r="T92" s="235"/>
      <c r="U92" s="139">
        <f t="shared" si="2"/>
        <v>0</v>
      </c>
      <c r="V92" s="139">
        <f t="shared" si="3"/>
        <v>0</v>
      </c>
    </row>
    <row r="93" spans="1:22" x14ac:dyDescent="0.2">
      <c r="A93" s="145" t="s">
        <v>124</v>
      </c>
      <c r="B93" s="146">
        <v>973873</v>
      </c>
      <c r="C93" s="147"/>
      <c r="D93" s="148"/>
      <c r="E93" s="149"/>
      <c r="F93" s="255">
        <v>973873</v>
      </c>
      <c r="G93" s="256">
        <v>0</v>
      </c>
      <c r="R93" s="139">
        <v>973873</v>
      </c>
      <c r="S93" s="139">
        <v>0</v>
      </c>
      <c r="T93" s="235"/>
      <c r="U93" s="139">
        <f t="shared" si="2"/>
        <v>0</v>
      </c>
      <c r="V93" s="139">
        <f t="shared" si="3"/>
        <v>0</v>
      </c>
    </row>
    <row r="94" spans="1:22" x14ac:dyDescent="0.2">
      <c r="A94" s="145" t="s">
        <v>125</v>
      </c>
      <c r="B94" s="146">
        <v>11098350.4</v>
      </c>
      <c r="C94" s="147"/>
      <c r="D94" s="148"/>
      <c r="E94" s="149"/>
      <c r="F94" s="255">
        <v>11098350.4</v>
      </c>
      <c r="G94" s="256">
        <v>0</v>
      </c>
      <c r="R94" s="139">
        <v>11098350.4</v>
      </c>
      <c r="S94" s="139">
        <v>0</v>
      </c>
      <c r="T94" s="235"/>
      <c r="U94" s="139">
        <f t="shared" si="2"/>
        <v>0</v>
      </c>
      <c r="V94" s="139">
        <f t="shared" si="3"/>
        <v>0</v>
      </c>
    </row>
    <row r="95" spans="1:22" x14ac:dyDescent="0.2">
      <c r="A95" s="145" t="s">
        <v>126</v>
      </c>
      <c r="B95" s="146">
        <v>4753467.74</v>
      </c>
      <c r="C95" s="147"/>
      <c r="D95" s="148"/>
      <c r="E95" s="149"/>
      <c r="F95" s="255">
        <v>4753467.74</v>
      </c>
      <c r="G95" s="256">
        <v>0</v>
      </c>
      <c r="R95" s="139">
        <v>4753467.74</v>
      </c>
      <c r="S95" s="139">
        <v>0</v>
      </c>
      <c r="T95" s="235"/>
      <c r="U95" s="139">
        <f t="shared" si="2"/>
        <v>0</v>
      </c>
      <c r="V95" s="139">
        <f t="shared" si="3"/>
        <v>0</v>
      </c>
    </row>
    <row r="96" spans="1:22" x14ac:dyDescent="0.2">
      <c r="A96" s="145" t="s">
        <v>127</v>
      </c>
      <c r="B96" s="146">
        <v>1129916</v>
      </c>
      <c r="C96" s="147"/>
      <c r="D96" s="148"/>
      <c r="E96" s="149"/>
      <c r="F96" s="255">
        <v>1129916</v>
      </c>
      <c r="G96" s="256">
        <v>0</v>
      </c>
      <c r="R96" s="139">
        <v>1129916</v>
      </c>
      <c r="S96" s="139">
        <v>0</v>
      </c>
      <c r="T96" s="235"/>
      <c r="U96" s="139">
        <f t="shared" si="2"/>
        <v>0</v>
      </c>
      <c r="V96" s="139">
        <f t="shared" si="3"/>
        <v>0</v>
      </c>
    </row>
    <row r="97" spans="1:22" x14ac:dyDescent="0.2">
      <c r="A97" s="145" t="s">
        <v>279</v>
      </c>
      <c r="B97" s="146">
        <v>8771170.2899999991</v>
      </c>
      <c r="C97" s="147"/>
      <c r="D97" s="148"/>
      <c r="E97" s="149"/>
      <c r="F97" s="255">
        <v>8771170.2899999991</v>
      </c>
      <c r="G97" s="256">
        <v>0</v>
      </c>
      <c r="R97" s="139">
        <v>8771170.2899999991</v>
      </c>
      <c r="S97" s="139">
        <v>0</v>
      </c>
      <c r="T97" s="235"/>
      <c r="U97" s="139">
        <f t="shared" si="2"/>
        <v>0</v>
      </c>
      <c r="V97" s="139">
        <f t="shared" si="3"/>
        <v>0</v>
      </c>
    </row>
    <row r="98" spans="1:22" x14ac:dyDescent="0.2">
      <c r="A98" s="145" t="s">
        <v>280</v>
      </c>
      <c r="B98" s="146">
        <v>1254039.8999999999</v>
      </c>
      <c r="C98" s="147"/>
      <c r="D98" s="148"/>
      <c r="E98" s="149"/>
      <c r="F98" s="255">
        <v>1254039.8999999999</v>
      </c>
      <c r="G98" s="256">
        <v>0</v>
      </c>
      <c r="R98" s="139">
        <v>1254039.8999999999</v>
      </c>
      <c r="S98" s="139">
        <v>0</v>
      </c>
      <c r="T98" s="235"/>
      <c r="U98" s="139">
        <f t="shared" si="2"/>
        <v>0</v>
      </c>
      <c r="V98" s="139">
        <f t="shared" si="3"/>
        <v>0</v>
      </c>
    </row>
    <row r="99" spans="1:22" x14ac:dyDescent="0.2">
      <c r="A99" s="145" t="s">
        <v>281</v>
      </c>
      <c r="B99" s="146">
        <v>1701432.81</v>
      </c>
      <c r="C99" s="147"/>
      <c r="D99" s="148"/>
      <c r="E99" s="149"/>
      <c r="F99" s="255">
        <v>1701432.81</v>
      </c>
      <c r="G99" s="256">
        <v>0</v>
      </c>
      <c r="R99" s="139">
        <v>1701432.81</v>
      </c>
      <c r="S99" s="139">
        <v>0</v>
      </c>
      <c r="T99" s="235"/>
      <c r="U99" s="139">
        <f t="shared" si="2"/>
        <v>0</v>
      </c>
      <c r="V99" s="139">
        <f t="shared" si="3"/>
        <v>0</v>
      </c>
    </row>
    <row r="100" spans="1:22" x14ac:dyDescent="0.2">
      <c r="A100" s="159" t="s">
        <v>128</v>
      </c>
      <c r="B100" s="160"/>
      <c r="C100" s="161">
        <v>10024723.529999999</v>
      </c>
      <c r="D100" s="162"/>
      <c r="E100" s="163"/>
      <c r="F100" s="255">
        <v>0</v>
      </c>
      <c r="G100" s="256">
        <v>10024723.529999999</v>
      </c>
      <c r="H100" s="164"/>
      <c r="I100" s="164"/>
      <c r="J100" s="164"/>
      <c r="K100" s="164"/>
      <c r="L100" s="165"/>
      <c r="M100" s="164"/>
      <c r="N100" s="164"/>
      <c r="R100" s="139">
        <v>0</v>
      </c>
      <c r="S100" s="139">
        <v>10024723.529999999</v>
      </c>
      <c r="T100" s="235"/>
      <c r="U100" s="139">
        <f t="shared" si="2"/>
        <v>0</v>
      </c>
      <c r="V100" s="139">
        <f t="shared" si="3"/>
        <v>0</v>
      </c>
    </row>
    <row r="101" spans="1:22" x14ac:dyDescent="0.2">
      <c r="A101" s="145" t="s">
        <v>129</v>
      </c>
      <c r="B101" s="146">
        <v>3023935</v>
      </c>
      <c r="C101" s="147"/>
      <c r="D101" s="148"/>
      <c r="E101" s="149"/>
      <c r="F101" s="255">
        <v>3023935</v>
      </c>
      <c r="G101" s="256">
        <v>0</v>
      </c>
      <c r="R101" s="139">
        <v>3023935</v>
      </c>
      <c r="S101" s="139">
        <v>0</v>
      </c>
      <c r="T101" s="235"/>
      <c r="U101" s="139">
        <f t="shared" si="2"/>
        <v>0</v>
      </c>
      <c r="V101" s="139">
        <f t="shared" si="3"/>
        <v>0</v>
      </c>
    </row>
    <row r="102" spans="1:22" x14ac:dyDescent="0.2">
      <c r="A102" s="145" t="s">
        <v>130</v>
      </c>
      <c r="B102" s="146">
        <v>0</v>
      </c>
      <c r="C102" s="147"/>
      <c r="D102" s="148"/>
      <c r="E102" s="149"/>
      <c r="F102" s="255">
        <v>0</v>
      </c>
      <c r="G102" s="256">
        <v>0</v>
      </c>
      <c r="R102" s="139">
        <v>0</v>
      </c>
      <c r="S102" s="139">
        <v>0</v>
      </c>
      <c r="T102" s="235"/>
      <c r="U102" s="139">
        <f t="shared" si="2"/>
        <v>0</v>
      </c>
      <c r="V102" s="139">
        <f t="shared" si="3"/>
        <v>0</v>
      </c>
    </row>
    <row r="103" spans="1:22" x14ac:dyDescent="0.2">
      <c r="A103" s="145" t="s">
        <v>282</v>
      </c>
      <c r="B103" s="146">
        <v>2101392</v>
      </c>
      <c r="C103" s="147"/>
      <c r="D103" s="148"/>
      <c r="E103" s="149"/>
      <c r="F103" s="255">
        <v>2101392</v>
      </c>
      <c r="G103" s="256">
        <v>0</v>
      </c>
      <c r="R103" s="139">
        <v>2101392</v>
      </c>
      <c r="S103" s="139">
        <v>0</v>
      </c>
      <c r="T103" s="235"/>
      <c r="U103" s="139">
        <f t="shared" si="2"/>
        <v>0</v>
      </c>
      <c r="V103" s="139">
        <f t="shared" si="3"/>
        <v>0</v>
      </c>
    </row>
    <row r="104" spans="1:22" x14ac:dyDescent="0.2">
      <c r="A104" s="145" t="s">
        <v>131</v>
      </c>
      <c r="B104" s="146">
        <v>2955300</v>
      </c>
      <c r="C104" s="147"/>
      <c r="D104" s="148"/>
      <c r="E104" s="149"/>
      <c r="F104" s="255">
        <v>2955300</v>
      </c>
      <c r="G104" s="256">
        <v>0</v>
      </c>
      <c r="R104" s="139">
        <v>2955300</v>
      </c>
      <c r="S104" s="139">
        <v>0</v>
      </c>
      <c r="T104" s="235"/>
      <c r="U104" s="139">
        <f t="shared" si="2"/>
        <v>0</v>
      </c>
      <c r="V104" s="139">
        <f t="shared" si="3"/>
        <v>0</v>
      </c>
    </row>
    <row r="105" spans="1:22" x14ac:dyDescent="0.2">
      <c r="A105" s="145" t="s">
        <v>353</v>
      </c>
      <c r="B105" s="146">
        <v>5477500</v>
      </c>
      <c r="C105" s="147"/>
      <c r="D105" s="148"/>
      <c r="E105" s="149"/>
      <c r="F105" s="255">
        <v>5477500</v>
      </c>
      <c r="G105" s="256">
        <v>0</v>
      </c>
      <c r="R105" s="139">
        <v>5477500</v>
      </c>
      <c r="S105" s="139">
        <v>0</v>
      </c>
      <c r="T105" s="235"/>
      <c r="U105" s="139">
        <f t="shared" si="2"/>
        <v>0</v>
      </c>
      <c r="V105" s="139">
        <f t="shared" si="3"/>
        <v>0</v>
      </c>
    </row>
    <row r="106" spans="1:22" x14ac:dyDescent="0.2">
      <c r="A106" s="145" t="s">
        <v>354</v>
      </c>
      <c r="B106" s="146">
        <v>136390</v>
      </c>
      <c r="C106" s="147"/>
      <c r="D106" s="148"/>
      <c r="E106" s="149"/>
      <c r="F106" s="255">
        <v>136390</v>
      </c>
      <c r="G106" s="256">
        <v>0</v>
      </c>
      <c r="R106" s="139">
        <v>136390</v>
      </c>
      <c r="S106" s="139">
        <v>0</v>
      </c>
      <c r="T106" s="235"/>
      <c r="U106" s="139">
        <f t="shared" si="2"/>
        <v>0</v>
      </c>
      <c r="V106" s="139">
        <f t="shared" si="3"/>
        <v>0</v>
      </c>
    </row>
    <row r="107" spans="1:22" x14ac:dyDescent="0.2">
      <c r="A107" s="145" t="s">
        <v>355</v>
      </c>
      <c r="B107" s="146">
        <v>0</v>
      </c>
      <c r="C107" s="147"/>
      <c r="D107" s="148"/>
      <c r="E107" s="149"/>
      <c r="F107" s="255">
        <v>0</v>
      </c>
      <c r="G107" s="256">
        <v>0</v>
      </c>
      <c r="R107" s="139">
        <v>0</v>
      </c>
      <c r="S107" s="139">
        <v>0</v>
      </c>
      <c r="T107" s="235"/>
      <c r="U107" s="139">
        <f t="shared" si="2"/>
        <v>0</v>
      </c>
      <c r="V107" s="139">
        <f t="shared" si="3"/>
        <v>0</v>
      </c>
    </row>
    <row r="108" spans="1:22" x14ac:dyDescent="0.2">
      <c r="A108" s="145" t="s">
        <v>356</v>
      </c>
      <c r="B108" s="146">
        <v>3927826</v>
      </c>
      <c r="C108" s="147"/>
      <c r="D108" s="148"/>
      <c r="E108" s="149"/>
      <c r="F108" s="255">
        <v>3927826</v>
      </c>
      <c r="G108" s="256">
        <v>0</v>
      </c>
      <c r="R108" s="139">
        <v>3927826</v>
      </c>
      <c r="S108" s="139">
        <v>0</v>
      </c>
      <c r="T108" s="235"/>
      <c r="U108" s="139">
        <f t="shared" si="2"/>
        <v>0</v>
      </c>
      <c r="V108" s="139">
        <f t="shared" si="3"/>
        <v>0</v>
      </c>
    </row>
    <row r="109" spans="1:22" x14ac:dyDescent="0.2">
      <c r="A109" s="145" t="s">
        <v>357</v>
      </c>
      <c r="B109" s="146">
        <v>2202963</v>
      </c>
      <c r="C109" s="147"/>
      <c r="D109" s="148"/>
      <c r="E109" s="149"/>
      <c r="F109" s="255">
        <v>2202963</v>
      </c>
      <c r="G109" s="256">
        <v>0</v>
      </c>
      <c r="R109" s="139">
        <v>2202963</v>
      </c>
      <c r="S109" s="139">
        <v>0</v>
      </c>
      <c r="T109" s="235"/>
      <c r="U109" s="139">
        <f t="shared" si="2"/>
        <v>0</v>
      </c>
      <c r="V109" s="139">
        <f t="shared" si="3"/>
        <v>0</v>
      </c>
    </row>
    <row r="110" spans="1:22" x14ac:dyDescent="0.2">
      <c r="A110" s="145" t="s">
        <v>132</v>
      </c>
      <c r="B110" s="146">
        <v>287680</v>
      </c>
      <c r="C110" s="147"/>
      <c r="D110" s="148"/>
      <c r="E110" s="149"/>
      <c r="F110" s="255">
        <v>287680</v>
      </c>
      <c r="G110" s="256">
        <v>0</v>
      </c>
      <c r="R110" s="139">
        <v>287680</v>
      </c>
      <c r="S110" s="139">
        <v>0</v>
      </c>
      <c r="T110" s="235"/>
      <c r="U110" s="139">
        <f t="shared" si="2"/>
        <v>0</v>
      </c>
      <c r="V110" s="139">
        <f t="shared" si="3"/>
        <v>0</v>
      </c>
    </row>
    <row r="111" spans="1:22" x14ac:dyDescent="0.2">
      <c r="A111" s="159" t="s">
        <v>133</v>
      </c>
      <c r="B111" s="160"/>
      <c r="C111" s="161">
        <v>11466397.890000001</v>
      </c>
      <c r="D111" s="162"/>
      <c r="E111" s="185">
        <v>-279871.99</v>
      </c>
      <c r="F111" s="255">
        <v>0</v>
      </c>
      <c r="G111" s="256">
        <v>11186525.9</v>
      </c>
      <c r="R111" s="139">
        <v>0</v>
      </c>
      <c r="S111" s="139">
        <v>11186525.9</v>
      </c>
      <c r="T111" s="235"/>
      <c r="U111" s="139">
        <f t="shared" si="2"/>
        <v>0</v>
      </c>
      <c r="V111" s="139">
        <f t="shared" si="3"/>
        <v>0</v>
      </c>
    </row>
    <row r="112" spans="1:22" x14ac:dyDescent="0.2">
      <c r="A112" s="145" t="s">
        <v>134</v>
      </c>
      <c r="B112" s="146">
        <v>7340961.8799999999</v>
      </c>
      <c r="C112" s="147"/>
      <c r="D112" s="148"/>
      <c r="E112" s="149"/>
      <c r="F112" s="255">
        <v>7340961.8799999999</v>
      </c>
      <c r="G112" s="256">
        <v>0</v>
      </c>
      <c r="R112" s="139">
        <v>7340961.8799999999</v>
      </c>
      <c r="S112" s="139">
        <v>0</v>
      </c>
      <c r="T112" s="235"/>
      <c r="U112" s="139">
        <f t="shared" si="2"/>
        <v>0</v>
      </c>
      <c r="V112" s="139">
        <f t="shared" si="3"/>
        <v>0</v>
      </c>
    </row>
    <row r="113" spans="1:22" x14ac:dyDescent="0.2">
      <c r="A113" s="145" t="s">
        <v>135</v>
      </c>
      <c r="B113" s="146">
        <v>1414657.14</v>
      </c>
      <c r="C113" s="147"/>
      <c r="D113" s="148"/>
      <c r="E113" s="149"/>
      <c r="F113" s="255">
        <v>1414657.14</v>
      </c>
      <c r="G113" s="256">
        <v>0</v>
      </c>
      <c r="R113" s="139">
        <v>1414657.14</v>
      </c>
      <c r="S113" s="139">
        <v>0</v>
      </c>
      <c r="T113" s="235"/>
      <c r="U113" s="139">
        <f t="shared" si="2"/>
        <v>0</v>
      </c>
      <c r="V113" s="139">
        <f t="shared" si="3"/>
        <v>0</v>
      </c>
    </row>
    <row r="114" spans="1:22" x14ac:dyDescent="0.2">
      <c r="A114" s="145" t="s">
        <v>136</v>
      </c>
      <c r="B114" s="146">
        <v>644294.30000000005</v>
      </c>
      <c r="C114" s="147"/>
      <c r="D114" s="148"/>
      <c r="E114" s="149"/>
      <c r="F114" s="255">
        <v>644294.30000000005</v>
      </c>
      <c r="G114" s="256">
        <v>0</v>
      </c>
      <c r="R114" s="139">
        <v>644294.30000000005</v>
      </c>
      <c r="S114" s="139">
        <v>0</v>
      </c>
      <c r="T114" s="235"/>
      <c r="U114" s="139">
        <f t="shared" si="2"/>
        <v>0</v>
      </c>
      <c r="V114" s="139">
        <f t="shared" si="3"/>
        <v>0</v>
      </c>
    </row>
    <row r="115" spans="1:22" x14ac:dyDescent="0.2">
      <c r="A115" s="145" t="s">
        <v>137</v>
      </c>
      <c r="B115" s="146">
        <v>780451.89</v>
      </c>
      <c r="C115" s="147"/>
      <c r="D115" s="148"/>
      <c r="E115" s="149"/>
      <c r="F115" s="255">
        <v>780451.89</v>
      </c>
      <c r="G115" s="256">
        <v>0</v>
      </c>
      <c r="R115" s="139">
        <v>780451.89</v>
      </c>
      <c r="S115" s="139">
        <v>0</v>
      </c>
      <c r="T115" s="235"/>
      <c r="U115" s="139">
        <f t="shared" si="2"/>
        <v>0</v>
      </c>
      <c r="V115" s="139">
        <f t="shared" si="3"/>
        <v>0</v>
      </c>
    </row>
    <row r="116" spans="1:22" x14ac:dyDescent="0.2">
      <c r="A116" s="159" t="s">
        <v>138</v>
      </c>
      <c r="B116" s="160"/>
      <c r="C116" s="161">
        <v>7875101.1900000004</v>
      </c>
      <c r="D116" s="162"/>
      <c r="E116" s="185">
        <f>4240.54+38620</f>
        <v>42860.54</v>
      </c>
      <c r="F116" s="255">
        <v>0</v>
      </c>
      <c r="G116" s="256">
        <v>7917961.7300000004</v>
      </c>
      <c r="H116" s="139">
        <v>7137509.7000000002</v>
      </c>
      <c r="I116" s="139">
        <f>G116-H116</f>
        <v>780452.03000000026</v>
      </c>
      <c r="R116" s="139">
        <v>0</v>
      </c>
      <c r="S116" s="139">
        <v>7917961.7300000004</v>
      </c>
      <c r="T116" s="235"/>
      <c r="U116" s="139">
        <f t="shared" si="2"/>
        <v>0</v>
      </c>
      <c r="V116" s="139">
        <f t="shared" si="3"/>
        <v>0</v>
      </c>
    </row>
    <row r="117" spans="1:22" x14ac:dyDescent="0.2">
      <c r="A117" s="145" t="s">
        <v>139</v>
      </c>
      <c r="B117" s="146">
        <v>2588680.4500000002</v>
      </c>
      <c r="C117" s="147"/>
      <c r="D117" s="148"/>
      <c r="E117" s="149"/>
      <c r="F117" s="255">
        <v>2588680.4500000002</v>
      </c>
      <c r="G117" s="256">
        <v>0</v>
      </c>
      <c r="H117" s="150"/>
      <c r="R117" s="139">
        <v>2588680.4500000002</v>
      </c>
      <c r="S117" s="139">
        <v>0</v>
      </c>
      <c r="T117" s="235"/>
      <c r="U117" s="139">
        <f t="shared" si="2"/>
        <v>0</v>
      </c>
      <c r="V117" s="139">
        <f t="shared" si="3"/>
        <v>0</v>
      </c>
    </row>
    <row r="118" spans="1:22" x14ac:dyDescent="0.2">
      <c r="A118" s="145" t="s">
        <v>140</v>
      </c>
      <c r="B118" s="146"/>
      <c r="C118" s="147">
        <v>1368091.73</v>
      </c>
      <c r="D118" s="148"/>
      <c r="E118" s="149"/>
      <c r="F118" s="255">
        <v>0</v>
      </c>
      <c r="G118" s="256">
        <v>1368091.73</v>
      </c>
      <c r="H118" s="150"/>
      <c r="R118" s="139">
        <v>0</v>
      </c>
      <c r="S118" s="139">
        <v>1368091.73</v>
      </c>
      <c r="T118" s="235"/>
      <c r="U118" s="139">
        <f t="shared" si="2"/>
        <v>0</v>
      </c>
      <c r="V118" s="139">
        <f t="shared" si="3"/>
        <v>0</v>
      </c>
    </row>
    <row r="119" spans="1:22" x14ac:dyDescent="0.2">
      <c r="A119" s="145" t="s">
        <v>358</v>
      </c>
      <c r="B119" s="146">
        <v>10200</v>
      </c>
      <c r="C119" s="147"/>
      <c r="D119" s="148"/>
      <c r="E119" s="149"/>
      <c r="F119" s="255">
        <v>10200</v>
      </c>
      <c r="G119" s="256">
        <v>0</v>
      </c>
      <c r="R119" s="139">
        <v>10200</v>
      </c>
      <c r="S119" s="139">
        <v>0</v>
      </c>
      <c r="T119" s="235"/>
      <c r="U119" s="139">
        <f t="shared" si="2"/>
        <v>0</v>
      </c>
      <c r="V119" s="139">
        <f t="shared" si="3"/>
        <v>0</v>
      </c>
    </row>
    <row r="120" spans="1:22" x14ac:dyDescent="0.2">
      <c r="A120" s="145" t="s">
        <v>141</v>
      </c>
      <c r="B120" s="146">
        <v>3519444.45</v>
      </c>
      <c r="C120" s="147"/>
      <c r="D120" s="148"/>
      <c r="E120" s="149"/>
      <c r="F120" s="255">
        <v>3519444.45</v>
      </c>
      <c r="G120" s="256">
        <v>0</v>
      </c>
      <c r="R120" s="139">
        <v>3519444.45</v>
      </c>
      <c r="S120" s="139">
        <v>0</v>
      </c>
      <c r="T120" s="235"/>
      <c r="U120" s="139">
        <f t="shared" si="2"/>
        <v>0</v>
      </c>
      <c r="V120" s="139">
        <f t="shared" si="3"/>
        <v>0</v>
      </c>
    </row>
    <row r="121" spans="1:22" x14ac:dyDescent="0.2">
      <c r="A121" s="145" t="s">
        <v>142</v>
      </c>
      <c r="B121" s="146"/>
      <c r="C121" s="147">
        <v>1727273.1</v>
      </c>
      <c r="D121" s="148"/>
      <c r="E121" s="149"/>
      <c r="F121" s="255">
        <v>0</v>
      </c>
      <c r="G121" s="256">
        <v>1727273.1</v>
      </c>
      <c r="R121" s="139">
        <v>0</v>
      </c>
      <c r="S121" s="139">
        <v>1727273.1</v>
      </c>
      <c r="T121" s="235"/>
      <c r="U121" s="139">
        <f t="shared" si="2"/>
        <v>0</v>
      </c>
      <c r="V121" s="139">
        <f t="shared" si="3"/>
        <v>0</v>
      </c>
    </row>
    <row r="122" spans="1:22" x14ac:dyDescent="0.2">
      <c r="A122" s="145" t="s">
        <v>143</v>
      </c>
      <c r="B122" s="146">
        <v>6007991.8899999997</v>
      </c>
      <c r="C122" s="147"/>
      <c r="D122" s="148"/>
      <c r="E122" s="149"/>
      <c r="F122" s="255">
        <v>6007991.8899999997</v>
      </c>
      <c r="G122" s="256">
        <v>0</v>
      </c>
      <c r="I122" s="150">
        <f>F294+D315</f>
        <v>1642206.48</v>
      </c>
      <c r="R122" s="139">
        <v>6007991.8899999997</v>
      </c>
      <c r="S122" s="139">
        <v>0</v>
      </c>
      <c r="T122" s="235"/>
      <c r="U122" s="139">
        <f t="shared" si="2"/>
        <v>0</v>
      </c>
      <c r="V122" s="139">
        <f t="shared" si="3"/>
        <v>0</v>
      </c>
    </row>
    <row r="123" spans="1:22" x14ac:dyDescent="0.2">
      <c r="A123" s="145" t="s">
        <v>144</v>
      </c>
      <c r="B123" s="146">
        <v>1245339.33</v>
      </c>
      <c r="C123" s="147"/>
      <c r="D123" s="148"/>
      <c r="E123" s="149"/>
      <c r="F123" s="255">
        <v>1245339.33</v>
      </c>
      <c r="G123" s="256">
        <v>0</v>
      </c>
      <c r="R123" s="139">
        <v>1245339.33</v>
      </c>
      <c r="S123" s="139">
        <v>0</v>
      </c>
      <c r="T123" s="235"/>
      <c r="U123" s="139">
        <f t="shared" si="2"/>
        <v>0</v>
      </c>
      <c r="V123" s="139">
        <f t="shared" si="3"/>
        <v>0</v>
      </c>
    </row>
    <row r="124" spans="1:22" x14ac:dyDescent="0.2">
      <c r="A124" s="145" t="s">
        <v>283</v>
      </c>
      <c r="B124" s="146">
        <v>762532.92</v>
      </c>
      <c r="C124" s="147"/>
      <c r="D124" s="148"/>
      <c r="E124" s="149"/>
      <c r="F124" s="255">
        <v>762532.92</v>
      </c>
      <c r="G124" s="256">
        <v>0</v>
      </c>
      <c r="R124" s="139">
        <v>762532.92</v>
      </c>
      <c r="S124" s="139">
        <v>0</v>
      </c>
      <c r="T124" s="235"/>
      <c r="U124" s="139">
        <f t="shared" si="2"/>
        <v>0</v>
      </c>
      <c r="V124" s="139">
        <f t="shared" si="3"/>
        <v>0</v>
      </c>
    </row>
    <row r="125" spans="1:22" x14ac:dyDescent="0.2">
      <c r="A125" s="145" t="s">
        <v>145</v>
      </c>
      <c r="B125" s="146"/>
      <c r="C125" s="147">
        <v>5983198.9199999999</v>
      </c>
      <c r="D125" s="148"/>
      <c r="E125" s="149"/>
      <c r="F125" s="255">
        <v>0</v>
      </c>
      <c r="G125" s="256">
        <v>5983198.9199999999</v>
      </c>
      <c r="R125" s="139">
        <v>0</v>
      </c>
      <c r="S125" s="139">
        <v>5983198.9199999999</v>
      </c>
      <c r="T125" s="235"/>
      <c r="U125" s="139">
        <f t="shared" si="2"/>
        <v>0</v>
      </c>
      <c r="V125" s="139">
        <f t="shared" si="3"/>
        <v>0</v>
      </c>
    </row>
    <row r="126" spans="1:22" x14ac:dyDescent="0.2">
      <c r="A126" s="145" t="s">
        <v>284</v>
      </c>
      <c r="B126" s="146">
        <v>3523397.18</v>
      </c>
      <c r="C126" s="147"/>
      <c r="D126" s="148"/>
      <c r="E126" s="149"/>
      <c r="F126" s="255">
        <v>3523397.18</v>
      </c>
      <c r="G126" s="256">
        <v>0</v>
      </c>
      <c r="R126" s="139">
        <v>3523397.18</v>
      </c>
      <c r="S126" s="139">
        <v>0</v>
      </c>
      <c r="T126" s="235"/>
      <c r="U126" s="139">
        <f t="shared" si="2"/>
        <v>0</v>
      </c>
      <c r="V126" s="139">
        <f t="shared" si="3"/>
        <v>0</v>
      </c>
    </row>
    <row r="127" spans="1:22" x14ac:dyDescent="0.2">
      <c r="A127" s="145" t="s">
        <v>359</v>
      </c>
      <c r="B127" s="146">
        <v>88872.5</v>
      </c>
      <c r="C127" s="147"/>
      <c r="D127" s="148"/>
      <c r="E127" s="149"/>
      <c r="F127" s="255">
        <v>88872.5</v>
      </c>
      <c r="G127" s="256">
        <v>0</v>
      </c>
      <c r="R127" s="139">
        <v>88872.5</v>
      </c>
      <c r="S127" s="139">
        <v>0</v>
      </c>
      <c r="T127" s="235"/>
      <c r="U127" s="139">
        <f t="shared" si="2"/>
        <v>0</v>
      </c>
      <c r="V127" s="139">
        <f t="shared" si="3"/>
        <v>0</v>
      </c>
    </row>
    <row r="128" spans="1:22" x14ac:dyDescent="0.2">
      <c r="A128" s="159" t="s">
        <v>285</v>
      </c>
      <c r="B128" s="160"/>
      <c r="C128" s="161">
        <v>1442136.12</v>
      </c>
      <c r="D128" s="162"/>
      <c r="E128" s="185">
        <f>-229.56</f>
        <v>-229.56</v>
      </c>
      <c r="F128" s="255">
        <v>0</v>
      </c>
      <c r="G128" s="256">
        <v>1441906.56</v>
      </c>
      <c r="H128" s="165" t="e">
        <f>'6-10'!#REF!</f>
        <v>#REF!</v>
      </c>
      <c r="I128" s="183" t="e">
        <f>G128-H128</f>
        <v>#REF!</v>
      </c>
      <c r="J128" s="164"/>
      <c r="K128" s="164"/>
      <c r="L128" s="165"/>
      <c r="M128" s="164"/>
      <c r="N128" s="164"/>
      <c r="R128" s="139">
        <v>0</v>
      </c>
      <c r="S128" s="139">
        <v>1441906.56</v>
      </c>
      <c r="T128" s="235"/>
      <c r="U128" s="139">
        <f t="shared" si="2"/>
        <v>0</v>
      </c>
      <c r="V128" s="139">
        <f t="shared" si="3"/>
        <v>0</v>
      </c>
    </row>
    <row r="129" spans="1:22" x14ac:dyDescent="0.2">
      <c r="A129" s="145" t="s">
        <v>286</v>
      </c>
      <c r="B129" s="146">
        <v>10491381.93</v>
      </c>
      <c r="C129" s="147"/>
      <c r="D129" s="148"/>
      <c r="E129" s="149"/>
      <c r="F129" s="255">
        <v>10491381.93</v>
      </c>
      <c r="G129" s="256">
        <v>0</v>
      </c>
      <c r="R129" s="139">
        <v>10491381.93</v>
      </c>
      <c r="S129" s="139">
        <v>0</v>
      </c>
      <c r="T129" s="235"/>
      <c r="U129" s="139">
        <f t="shared" si="2"/>
        <v>0</v>
      </c>
      <c r="V129" s="139">
        <f t="shared" si="3"/>
        <v>0</v>
      </c>
    </row>
    <row r="130" spans="1:22" x14ac:dyDescent="0.2">
      <c r="A130" s="145" t="s">
        <v>287</v>
      </c>
      <c r="B130" s="146">
        <v>159575</v>
      </c>
      <c r="C130" s="147"/>
      <c r="D130" s="148"/>
      <c r="E130" s="149"/>
      <c r="F130" s="255">
        <v>159575</v>
      </c>
      <c r="G130" s="256">
        <v>0</v>
      </c>
      <c r="R130" s="139">
        <v>159575</v>
      </c>
      <c r="S130" s="139">
        <v>0</v>
      </c>
      <c r="T130" s="235"/>
      <c r="U130" s="139">
        <f t="shared" si="2"/>
        <v>0</v>
      </c>
      <c r="V130" s="139">
        <f t="shared" si="3"/>
        <v>0</v>
      </c>
    </row>
    <row r="131" spans="1:22" x14ac:dyDescent="0.2">
      <c r="A131" s="145" t="s">
        <v>288</v>
      </c>
      <c r="B131" s="146"/>
      <c r="C131" s="147">
        <v>4527863.93</v>
      </c>
      <c r="D131" s="148"/>
      <c r="E131" s="149"/>
      <c r="F131" s="255">
        <v>0</v>
      </c>
      <c r="G131" s="256">
        <v>4527863.93</v>
      </c>
      <c r="I131" s="150">
        <f>F334+F351+F294</f>
        <v>2318818.7999999998</v>
      </c>
      <c r="R131" s="139">
        <v>0</v>
      </c>
      <c r="S131" s="139">
        <v>4527863.93</v>
      </c>
      <c r="T131" s="235"/>
      <c r="U131" s="139">
        <f t="shared" si="2"/>
        <v>0</v>
      </c>
      <c r="V131" s="139">
        <f t="shared" si="3"/>
        <v>0</v>
      </c>
    </row>
    <row r="132" spans="1:22" ht="13.5" thickBot="1" x14ac:dyDescent="0.25">
      <c r="A132" s="145" t="s">
        <v>360</v>
      </c>
      <c r="B132" s="146">
        <v>233100</v>
      </c>
      <c r="C132" s="147"/>
      <c r="D132" s="148"/>
      <c r="E132" s="149"/>
      <c r="F132" s="257">
        <v>233100</v>
      </c>
      <c r="G132" s="258">
        <v>0</v>
      </c>
      <c r="I132" s="150" t="e">
        <f>#REF!</f>
        <v>#REF!</v>
      </c>
      <c r="R132" s="139">
        <v>233100</v>
      </c>
      <c r="S132" s="139">
        <v>0</v>
      </c>
      <c r="T132" s="235"/>
      <c r="U132" s="139">
        <f t="shared" ref="U132:U195" si="4">F132-R132</f>
        <v>0</v>
      </c>
      <c r="V132" s="139">
        <f t="shared" ref="V132:V195" si="5">G132-S132</f>
        <v>0</v>
      </c>
    </row>
    <row r="133" spans="1:22" x14ac:dyDescent="0.2">
      <c r="A133" s="145" t="s">
        <v>361</v>
      </c>
      <c r="B133" s="146">
        <v>774735</v>
      </c>
      <c r="C133" s="147"/>
      <c r="D133" s="148"/>
      <c r="E133" s="149"/>
      <c r="F133" s="253">
        <v>774735</v>
      </c>
      <c r="G133" s="254">
        <v>0</v>
      </c>
      <c r="I133" s="150" t="e">
        <f>I132-I131</f>
        <v>#REF!</v>
      </c>
      <c r="R133" s="139">
        <v>774735</v>
      </c>
      <c r="S133" s="139">
        <v>0</v>
      </c>
      <c r="T133" s="235"/>
      <c r="U133" s="139">
        <f t="shared" si="4"/>
        <v>0</v>
      </c>
      <c r="V133" s="139">
        <f t="shared" si="5"/>
        <v>0</v>
      </c>
    </row>
    <row r="134" spans="1:22" x14ac:dyDescent="0.2">
      <c r="A134" s="145" t="s">
        <v>362</v>
      </c>
      <c r="B134" s="146">
        <v>0</v>
      </c>
      <c r="C134" s="147"/>
      <c r="D134" s="148"/>
      <c r="E134" s="149"/>
      <c r="F134" s="255">
        <v>0</v>
      </c>
      <c r="G134" s="256">
        <v>0</v>
      </c>
      <c r="K134" s="150">
        <f>K140-K136</f>
        <v>282771.00999999046</v>
      </c>
      <c r="R134" s="139">
        <v>0</v>
      </c>
      <c r="S134" s="139">
        <v>0</v>
      </c>
      <c r="T134" s="235"/>
      <c r="U134" s="139">
        <f t="shared" si="4"/>
        <v>0</v>
      </c>
      <c r="V134" s="139">
        <f t="shared" si="5"/>
        <v>0</v>
      </c>
    </row>
    <row r="135" spans="1:22" x14ac:dyDescent="0.2">
      <c r="A135" s="145" t="s">
        <v>363</v>
      </c>
      <c r="B135" s="146">
        <v>5672403.1699999999</v>
      </c>
      <c r="C135" s="147"/>
      <c r="D135" s="148"/>
      <c r="E135" s="149"/>
      <c r="F135" s="255">
        <v>5672403.1699999999</v>
      </c>
      <c r="G135" s="256">
        <v>0</v>
      </c>
      <c r="I135" s="150">
        <f>SUM(B79:B140)</f>
        <v>204715220.75999996</v>
      </c>
      <c r="R135" s="139">
        <v>5672403.1699999999</v>
      </c>
      <c r="S135" s="139">
        <v>0</v>
      </c>
      <c r="T135" s="235"/>
      <c r="U135" s="139">
        <f t="shared" si="4"/>
        <v>0</v>
      </c>
      <c r="V135" s="139">
        <f t="shared" si="5"/>
        <v>0</v>
      </c>
    </row>
    <row r="136" spans="1:22" x14ac:dyDescent="0.2">
      <c r="A136" s="145" t="s">
        <v>364</v>
      </c>
      <c r="B136" s="146">
        <v>1324113.5900000001</v>
      </c>
      <c r="C136" s="147"/>
      <c r="D136" s="148"/>
      <c r="E136" s="149"/>
      <c r="F136" s="255">
        <v>1324113.5900000001</v>
      </c>
      <c r="G136" s="256">
        <v>0</v>
      </c>
      <c r="I136" s="150">
        <f>SUM(C79:C140)</f>
        <v>44414786.410000004</v>
      </c>
      <c r="K136" s="150">
        <f>I135-I136</f>
        <v>160300434.34999996</v>
      </c>
      <c r="R136" s="139">
        <v>1324113.5900000001</v>
      </c>
      <c r="S136" s="139">
        <v>0</v>
      </c>
      <c r="T136" s="235"/>
      <c r="U136" s="139">
        <f t="shared" si="4"/>
        <v>0</v>
      </c>
      <c r="V136" s="139">
        <f t="shared" si="5"/>
        <v>0</v>
      </c>
    </row>
    <row r="137" spans="1:22" x14ac:dyDescent="0.2">
      <c r="A137" s="145" t="s">
        <v>365</v>
      </c>
      <c r="B137" s="146">
        <v>706531.5</v>
      </c>
      <c r="C137" s="147"/>
      <c r="D137" s="148"/>
      <c r="E137" s="149"/>
      <c r="F137" s="255">
        <v>706531.5</v>
      </c>
      <c r="G137" s="256">
        <v>0</v>
      </c>
      <c r="R137" s="139">
        <v>706531.5</v>
      </c>
      <c r="S137" s="139">
        <v>0</v>
      </c>
      <c r="T137" s="235"/>
      <c r="U137" s="139">
        <f t="shared" si="4"/>
        <v>0</v>
      </c>
      <c r="V137" s="139">
        <f t="shared" si="5"/>
        <v>0</v>
      </c>
    </row>
    <row r="138" spans="1:22" x14ac:dyDescent="0.2">
      <c r="A138" s="145" t="s">
        <v>537</v>
      </c>
      <c r="B138" s="146">
        <v>731000</v>
      </c>
      <c r="C138" s="147"/>
      <c r="D138" s="148"/>
      <c r="E138" s="149"/>
      <c r="F138" s="255">
        <v>731000</v>
      </c>
      <c r="G138" s="256">
        <v>0</v>
      </c>
      <c r="R138" s="139">
        <v>731000</v>
      </c>
      <c r="S138" s="139">
        <v>0</v>
      </c>
      <c r="T138" s="235"/>
      <c r="U138" s="139">
        <f t="shared" si="4"/>
        <v>0</v>
      </c>
      <c r="V138" s="139">
        <f t="shared" si="5"/>
        <v>0</v>
      </c>
    </row>
    <row r="139" spans="1:22" x14ac:dyDescent="0.2">
      <c r="A139" s="145" t="s">
        <v>538</v>
      </c>
      <c r="B139" s="146">
        <v>365207</v>
      </c>
      <c r="C139" s="147"/>
      <c r="D139" s="148"/>
      <c r="E139" s="149"/>
      <c r="F139" s="255">
        <v>385337</v>
      </c>
      <c r="G139" s="256">
        <v>0</v>
      </c>
      <c r="H139" s="218"/>
      <c r="I139" s="220">
        <f>SUM(F79:F140)</f>
        <v>204760750.75999996</v>
      </c>
      <c r="J139" s="218"/>
      <c r="K139" s="218"/>
      <c r="L139" s="219"/>
      <c r="M139" s="218">
        <v>38620</v>
      </c>
      <c r="N139" s="218"/>
      <c r="R139" s="139">
        <v>385337</v>
      </c>
      <c r="S139" s="139">
        <v>0</v>
      </c>
      <c r="U139" s="219">
        <f t="shared" si="4"/>
        <v>0</v>
      </c>
      <c r="V139" s="219">
        <f t="shared" si="5"/>
        <v>0</v>
      </c>
    </row>
    <row r="140" spans="1:22" ht="13.5" thickBot="1" x14ac:dyDescent="0.25">
      <c r="A140" s="145" t="s">
        <v>539</v>
      </c>
      <c r="B140" s="146">
        <v>102209</v>
      </c>
      <c r="C140" s="147"/>
      <c r="D140" s="148"/>
      <c r="E140" s="149"/>
      <c r="F140" s="257">
        <v>102209</v>
      </c>
      <c r="G140" s="258">
        <v>0</v>
      </c>
      <c r="I140" s="150">
        <f>SUM(G79:G140)</f>
        <v>44177545.400000006</v>
      </c>
      <c r="K140" s="150">
        <f>I139-I140</f>
        <v>160583205.35999995</v>
      </c>
      <c r="L140" s="139" t="e">
        <f>FP!#REF!</f>
        <v>#REF!</v>
      </c>
      <c r="M140" s="150" t="e">
        <f>K140-L140</f>
        <v>#REF!</v>
      </c>
      <c r="R140" s="139">
        <v>102209</v>
      </c>
      <c r="S140" s="139">
        <v>0</v>
      </c>
      <c r="T140" s="235"/>
      <c r="U140" s="139">
        <f t="shared" si="4"/>
        <v>0</v>
      </c>
      <c r="V140" s="139">
        <f t="shared" si="5"/>
        <v>0</v>
      </c>
    </row>
    <row r="141" spans="1:22" x14ac:dyDescent="0.2">
      <c r="A141" s="145" t="s">
        <v>366</v>
      </c>
      <c r="B141" s="146">
        <v>0</v>
      </c>
      <c r="C141" s="147"/>
      <c r="D141" s="148"/>
      <c r="E141" s="149"/>
      <c r="F141" s="191">
        <v>0</v>
      </c>
      <c r="G141" s="191">
        <v>0</v>
      </c>
      <c r="R141" s="139">
        <v>0</v>
      </c>
      <c r="S141" s="139">
        <v>0</v>
      </c>
      <c r="T141" s="235"/>
      <c r="U141" s="139">
        <f t="shared" si="4"/>
        <v>0</v>
      </c>
      <c r="V141" s="139">
        <f t="shared" si="5"/>
        <v>0</v>
      </c>
    </row>
    <row r="142" spans="1:22" x14ac:dyDescent="0.2">
      <c r="A142" s="145" t="s">
        <v>146</v>
      </c>
      <c r="B142" s="146">
        <v>2000000</v>
      </c>
      <c r="C142" s="147"/>
      <c r="D142" s="241">
        <f>-500000-500000</f>
        <v>-1000000</v>
      </c>
      <c r="E142" s="149"/>
      <c r="F142" s="148">
        <v>2000000</v>
      </c>
      <c r="G142" s="148">
        <v>0</v>
      </c>
      <c r="H142" s="218"/>
      <c r="I142" s="218"/>
      <c r="J142" s="218"/>
      <c r="K142" s="218"/>
      <c r="L142" s="219"/>
      <c r="M142" s="218"/>
      <c r="N142" s="218"/>
      <c r="R142" s="139">
        <v>2000000</v>
      </c>
      <c r="S142" s="139">
        <v>0</v>
      </c>
      <c r="U142" s="219">
        <f t="shared" si="4"/>
        <v>0</v>
      </c>
      <c r="V142" s="219">
        <f t="shared" si="5"/>
        <v>0</v>
      </c>
    </row>
    <row r="143" spans="1:22" x14ac:dyDescent="0.2">
      <c r="A143" s="145" t="s">
        <v>147</v>
      </c>
      <c r="B143" s="146">
        <v>0</v>
      </c>
      <c r="C143" s="147"/>
      <c r="D143" s="148"/>
      <c r="E143" s="149"/>
      <c r="F143" s="148">
        <v>0</v>
      </c>
      <c r="G143" s="148">
        <v>0</v>
      </c>
      <c r="R143" s="139">
        <v>0</v>
      </c>
      <c r="S143" s="139">
        <v>0</v>
      </c>
      <c r="T143" s="235"/>
      <c r="U143" s="139">
        <f t="shared" si="4"/>
        <v>0</v>
      </c>
      <c r="V143" s="139">
        <f t="shared" si="5"/>
        <v>0</v>
      </c>
    </row>
    <row r="144" spans="1:22" x14ac:dyDescent="0.2">
      <c r="A144" s="145" t="s">
        <v>148</v>
      </c>
      <c r="B144" s="146"/>
      <c r="C144" s="147">
        <v>42239246.009999998</v>
      </c>
      <c r="D144" s="148"/>
      <c r="E144" s="149"/>
      <c r="F144" s="148">
        <v>0</v>
      </c>
      <c r="G144" s="162">
        <v>42239246.009999998</v>
      </c>
      <c r="M144" s="150" t="e">
        <f>M139-M140</f>
        <v>#REF!</v>
      </c>
      <c r="R144" s="139">
        <v>0</v>
      </c>
      <c r="S144" s="139">
        <v>42239246.009999998</v>
      </c>
      <c r="T144" s="235"/>
      <c r="U144" s="139">
        <f t="shared" si="4"/>
        <v>0</v>
      </c>
      <c r="V144" s="139">
        <f t="shared" si="5"/>
        <v>0</v>
      </c>
    </row>
    <row r="145" spans="1:23" x14ac:dyDescent="0.2">
      <c r="A145" s="145" t="s">
        <v>367</v>
      </c>
      <c r="B145" s="146"/>
      <c r="C145" s="147">
        <v>336099.34</v>
      </c>
      <c r="D145" s="148"/>
      <c r="E145" s="149"/>
      <c r="F145" s="148">
        <v>0</v>
      </c>
      <c r="G145" s="162">
        <v>336099.34</v>
      </c>
      <c r="R145" s="139">
        <v>0</v>
      </c>
      <c r="S145" s="139">
        <v>336099.34</v>
      </c>
      <c r="T145" s="235"/>
      <c r="U145" s="139">
        <f t="shared" si="4"/>
        <v>0</v>
      </c>
      <c r="V145" s="139">
        <f t="shared" si="5"/>
        <v>0</v>
      </c>
    </row>
    <row r="146" spans="1:23" x14ac:dyDescent="0.2">
      <c r="A146" s="145" t="s">
        <v>368</v>
      </c>
      <c r="B146" s="146"/>
      <c r="C146" s="147">
        <v>250652.26</v>
      </c>
      <c r="D146" s="148"/>
      <c r="E146" s="149"/>
      <c r="F146" s="148">
        <v>0</v>
      </c>
      <c r="G146" s="162">
        <v>250652.26</v>
      </c>
      <c r="H146" s="150">
        <f>SUM(G145:G146)</f>
        <v>586751.60000000009</v>
      </c>
      <c r="R146" s="139">
        <v>0</v>
      </c>
      <c r="S146" s="139">
        <v>250652.26</v>
      </c>
      <c r="T146" s="235"/>
      <c r="U146" s="139">
        <f t="shared" si="4"/>
        <v>0</v>
      </c>
      <c r="V146" s="139">
        <f t="shared" si="5"/>
        <v>0</v>
      </c>
    </row>
    <row r="147" spans="1:23" x14ac:dyDescent="0.2">
      <c r="A147" s="145" t="s">
        <v>149</v>
      </c>
      <c r="B147" s="146"/>
      <c r="C147" s="147">
        <v>8454364.1999999993</v>
      </c>
      <c r="D147" s="148"/>
      <c r="E147" s="149"/>
      <c r="F147" s="148">
        <v>0</v>
      </c>
      <c r="G147" s="162">
        <v>8454364.1999999993</v>
      </c>
      <c r="R147" s="139">
        <v>0</v>
      </c>
      <c r="S147" s="139">
        <v>8454364.1999999993</v>
      </c>
      <c r="T147" s="235"/>
      <c r="U147" s="139">
        <f t="shared" si="4"/>
        <v>0</v>
      </c>
      <c r="V147" s="139">
        <f t="shared" si="5"/>
        <v>0</v>
      </c>
    </row>
    <row r="148" spans="1:23" x14ac:dyDescent="0.2">
      <c r="A148" s="145" t="s">
        <v>150</v>
      </c>
      <c r="B148" s="146"/>
      <c r="C148" s="147">
        <v>124038</v>
      </c>
      <c r="D148" s="148"/>
      <c r="E148" s="149"/>
      <c r="F148" s="148">
        <v>0</v>
      </c>
      <c r="G148" s="162">
        <v>124038</v>
      </c>
      <c r="R148" s="139">
        <v>0</v>
      </c>
      <c r="S148" s="139">
        <v>124038</v>
      </c>
      <c r="T148" s="235"/>
      <c r="U148" s="139">
        <f t="shared" si="4"/>
        <v>0</v>
      </c>
      <c r="V148" s="139">
        <f t="shared" si="5"/>
        <v>0</v>
      </c>
    </row>
    <row r="149" spans="1:23" x14ac:dyDescent="0.2">
      <c r="A149" s="145" t="s">
        <v>151</v>
      </c>
      <c r="B149" s="146"/>
      <c r="C149" s="147">
        <v>12725</v>
      </c>
      <c r="D149" s="148"/>
      <c r="E149" s="149"/>
      <c r="F149" s="148">
        <v>0</v>
      </c>
      <c r="G149" s="162">
        <v>12725</v>
      </c>
      <c r="R149" s="139">
        <v>0</v>
      </c>
      <c r="S149" s="139">
        <v>12725</v>
      </c>
      <c r="T149" s="235"/>
      <c r="U149" s="139">
        <f t="shared" si="4"/>
        <v>0</v>
      </c>
      <c r="V149" s="139">
        <f t="shared" si="5"/>
        <v>0</v>
      </c>
    </row>
    <row r="150" spans="1:23" x14ac:dyDescent="0.2">
      <c r="A150" s="145" t="s">
        <v>152</v>
      </c>
      <c r="B150" s="146"/>
      <c r="C150" s="147">
        <v>22623.37</v>
      </c>
      <c r="D150" s="148"/>
      <c r="E150" s="149"/>
      <c r="F150" s="148">
        <v>0</v>
      </c>
      <c r="G150" s="162">
        <v>22623.37</v>
      </c>
      <c r="R150" s="139">
        <v>0</v>
      </c>
      <c r="S150" s="139">
        <v>22623.37</v>
      </c>
      <c r="T150" s="235"/>
      <c r="U150" s="139">
        <f t="shared" si="4"/>
        <v>0</v>
      </c>
      <c r="V150" s="139">
        <f t="shared" si="5"/>
        <v>0</v>
      </c>
    </row>
    <row r="151" spans="1:23" x14ac:dyDescent="0.2">
      <c r="A151" s="145" t="s">
        <v>153</v>
      </c>
      <c r="B151" s="146">
        <v>22194.9</v>
      </c>
      <c r="C151" s="147"/>
      <c r="D151" s="148"/>
      <c r="E151" s="149"/>
      <c r="F151" s="162">
        <v>22194.9</v>
      </c>
      <c r="G151" s="148">
        <v>0</v>
      </c>
      <c r="R151" s="139">
        <v>22194.9</v>
      </c>
      <c r="S151" s="139">
        <v>0</v>
      </c>
      <c r="T151" s="235"/>
      <c r="U151" s="139">
        <f t="shared" si="4"/>
        <v>0</v>
      </c>
      <c r="V151" s="139">
        <f t="shared" si="5"/>
        <v>0</v>
      </c>
    </row>
    <row r="152" spans="1:23" x14ac:dyDescent="0.2">
      <c r="A152" s="145" t="s">
        <v>154</v>
      </c>
      <c r="B152" s="146"/>
      <c r="C152" s="147">
        <v>854400</v>
      </c>
      <c r="D152" s="148"/>
      <c r="E152" s="242">
        <f>D444</f>
        <v>1025280</v>
      </c>
      <c r="F152" s="148">
        <v>0</v>
      </c>
      <c r="G152" s="162">
        <f>1906359.5+E152</f>
        <v>2931639.5</v>
      </c>
      <c r="H152" s="218"/>
      <c r="I152" s="218"/>
      <c r="J152" s="218"/>
      <c r="K152" s="218"/>
      <c r="L152" s="219"/>
      <c r="M152" s="218"/>
      <c r="N152" s="218"/>
      <c r="R152" s="139">
        <v>0</v>
      </c>
      <c r="S152" s="139">
        <v>1906359.5</v>
      </c>
      <c r="U152" s="219">
        <f t="shared" si="4"/>
        <v>0</v>
      </c>
      <c r="V152" s="219">
        <f t="shared" si="5"/>
        <v>1025280</v>
      </c>
      <c r="W152" s="164"/>
    </row>
    <row r="153" spans="1:23" x14ac:dyDescent="0.2">
      <c r="A153" s="145" t="s">
        <v>155</v>
      </c>
      <c r="B153" s="146">
        <v>0</v>
      </c>
      <c r="C153" s="147"/>
      <c r="D153" s="148"/>
      <c r="E153" s="149"/>
      <c r="F153" s="148">
        <v>0</v>
      </c>
      <c r="G153" s="148">
        <v>0</v>
      </c>
      <c r="R153" s="139">
        <v>0</v>
      </c>
      <c r="S153" s="139">
        <v>0</v>
      </c>
      <c r="T153" s="235"/>
      <c r="U153" s="139">
        <f t="shared" si="4"/>
        <v>0</v>
      </c>
      <c r="V153" s="139">
        <f t="shared" si="5"/>
        <v>0</v>
      </c>
    </row>
    <row r="154" spans="1:23" x14ac:dyDescent="0.2">
      <c r="A154" s="145" t="s">
        <v>156</v>
      </c>
      <c r="B154" s="146">
        <v>0</v>
      </c>
      <c r="C154" s="147"/>
      <c r="D154" s="148"/>
      <c r="E154" s="149"/>
      <c r="F154" s="148">
        <v>0</v>
      </c>
      <c r="G154" s="148">
        <v>0</v>
      </c>
      <c r="R154" s="139">
        <v>0</v>
      </c>
      <c r="S154" s="139">
        <v>0</v>
      </c>
      <c r="T154" s="235"/>
      <c r="U154" s="139">
        <f t="shared" si="4"/>
        <v>0</v>
      </c>
      <c r="V154" s="139">
        <f t="shared" si="5"/>
        <v>0</v>
      </c>
    </row>
    <row r="155" spans="1:23" x14ac:dyDescent="0.2">
      <c r="A155" s="145" t="s">
        <v>157</v>
      </c>
      <c r="B155" s="146"/>
      <c r="C155" s="147">
        <v>445539.53</v>
      </c>
      <c r="D155" s="148"/>
      <c r="E155" s="149"/>
      <c r="F155" s="148">
        <v>0</v>
      </c>
      <c r="G155" s="162">
        <v>445539.53</v>
      </c>
      <c r="R155" s="139">
        <v>0</v>
      </c>
      <c r="S155" s="139">
        <v>445539.53</v>
      </c>
      <c r="T155" s="235"/>
      <c r="U155" s="139">
        <f t="shared" si="4"/>
        <v>0</v>
      </c>
      <c r="V155" s="139">
        <f t="shared" si="5"/>
        <v>0</v>
      </c>
    </row>
    <row r="156" spans="1:23" x14ac:dyDescent="0.2">
      <c r="A156" s="145" t="s">
        <v>158</v>
      </c>
      <c r="B156" s="146"/>
      <c r="C156" s="147">
        <v>130000</v>
      </c>
      <c r="D156" s="148"/>
      <c r="E156" s="149"/>
      <c r="F156" s="148">
        <v>0</v>
      </c>
      <c r="G156" s="162">
        <v>130000</v>
      </c>
      <c r="R156" s="139">
        <v>0</v>
      </c>
      <c r="S156" s="139">
        <v>130000</v>
      </c>
      <c r="T156" s="235"/>
      <c r="U156" s="139">
        <f t="shared" si="4"/>
        <v>0</v>
      </c>
      <c r="V156" s="139">
        <f t="shared" si="5"/>
        <v>0</v>
      </c>
    </row>
    <row r="157" spans="1:23" x14ac:dyDescent="0.2">
      <c r="A157" s="145" t="s">
        <v>159</v>
      </c>
      <c r="B157" s="146">
        <v>0</v>
      </c>
      <c r="C157" s="147"/>
      <c r="D157" s="148"/>
      <c r="E157" s="149"/>
      <c r="F157" s="148">
        <v>0</v>
      </c>
      <c r="G157" s="148">
        <v>0</v>
      </c>
      <c r="R157" s="139">
        <v>0</v>
      </c>
      <c r="S157" s="139">
        <v>0</v>
      </c>
      <c r="T157" s="235"/>
      <c r="U157" s="139">
        <f t="shared" si="4"/>
        <v>0</v>
      </c>
      <c r="V157" s="139">
        <f t="shared" si="5"/>
        <v>0</v>
      </c>
    </row>
    <row r="158" spans="1:23" x14ac:dyDescent="0.2">
      <c r="A158" s="145" t="s">
        <v>160</v>
      </c>
      <c r="B158" s="146">
        <v>0</v>
      </c>
      <c r="C158" s="147"/>
      <c r="D158" s="148"/>
      <c r="E158" s="149"/>
      <c r="F158" s="148">
        <v>0</v>
      </c>
      <c r="G158" s="148">
        <v>0</v>
      </c>
      <c r="R158" s="139">
        <v>0</v>
      </c>
      <c r="S158" s="139">
        <v>0</v>
      </c>
      <c r="T158" s="235"/>
      <c r="U158" s="139">
        <f t="shared" si="4"/>
        <v>0</v>
      </c>
      <c r="V158" s="139">
        <f t="shared" si="5"/>
        <v>0</v>
      </c>
    </row>
    <row r="159" spans="1:23" x14ac:dyDescent="0.2">
      <c r="A159" s="145" t="s">
        <v>161</v>
      </c>
      <c r="B159" s="146">
        <v>0</v>
      </c>
      <c r="C159" s="147"/>
      <c r="D159" s="148"/>
      <c r="E159" s="149"/>
      <c r="F159" s="148">
        <v>0</v>
      </c>
      <c r="G159" s="148">
        <v>0</v>
      </c>
      <c r="R159" s="139">
        <v>0</v>
      </c>
      <c r="S159" s="139">
        <v>0</v>
      </c>
      <c r="T159" s="235"/>
      <c r="U159" s="139">
        <f t="shared" si="4"/>
        <v>0</v>
      </c>
      <c r="V159" s="139">
        <f t="shared" si="5"/>
        <v>0</v>
      </c>
    </row>
    <row r="160" spans="1:23" x14ac:dyDescent="0.2">
      <c r="A160" s="145" t="s">
        <v>162</v>
      </c>
      <c r="B160" s="146">
        <v>0</v>
      </c>
      <c r="C160" s="147"/>
      <c r="D160" s="148"/>
      <c r="E160" s="149"/>
      <c r="F160" s="148">
        <v>0</v>
      </c>
      <c r="G160" s="148">
        <v>0</v>
      </c>
      <c r="R160" s="139">
        <v>0</v>
      </c>
      <c r="S160" s="139">
        <v>0</v>
      </c>
      <c r="T160" s="235"/>
      <c r="U160" s="139">
        <f t="shared" si="4"/>
        <v>0</v>
      </c>
      <c r="V160" s="139">
        <f t="shared" si="5"/>
        <v>0</v>
      </c>
    </row>
    <row r="161" spans="1:256" x14ac:dyDescent="0.2">
      <c r="A161" s="145" t="s">
        <v>163</v>
      </c>
      <c r="B161" s="146">
        <v>0</v>
      </c>
      <c r="C161" s="147"/>
      <c r="D161" s="148"/>
      <c r="E161" s="149"/>
      <c r="F161" s="148">
        <v>0</v>
      </c>
      <c r="G161" s="148">
        <v>0</v>
      </c>
      <c r="R161" s="139">
        <v>0</v>
      </c>
      <c r="S161" s="139">
        <v>0</v>
      </c>
      <c r="T161" s="235"/>
      <c r="U161" s="139">
        <f t="shared" si="4"/>
        <v>0</v>
      </c>
      <c r="V161" s="139">
        <f t="shared" si="5"/>
        <v>0</v>
      </c>
    </row>
    <row r="162" spans="1:256" x14ac:dyDescent="0.2">
      <c r="A162" s="145" t="s">
        <v>164</v>
      </c>
      <c r="B162" s="146"/>
      <c r="C162" s="147">
        <v>599388.78</v>
      </c>
      <c r="D162" s="148"/>
      <c r="E162" s="149"/>
      <c r="F162" s="148">
        <v>0</v>
      </c>
      <c r="G162" s="162">
        <v>599388.78</v>
      </c>
      <c r="R162" s="139">
        <v>0</v>
      </c>
      <c r="S162" s="139">
        <v>599388.78</v>
      </c>
      <c r="T162" s="235"/>
      <c r="U162" s="139">
        <f t="shared" si="4"/>
        <v>0</v>
      </c>
      <c r="V162" s="139">
        <f t="shared" si="5"/>
        <v>0</v>
      </c>
    </row>
    <row r="163" spans="1:256" x14ac:dyDescent="0.2">
      <c r="A163" s="145" t="s">
        <v>165</v>
      </c>
      <c r="B163" s="146"/>
      <c r="C163" s="147">
        <v>5064496.6900000004</v>
      </c>
      <c r="D163" s="148"/>
      <c r="E163" s="149"/>
      <c r="F163" s="148">
        <v>0</v>
      </c>
      <c r="G163" s="162">
        <v>5064496.6900000004</v>
      </c>
      <c r="R163" s="139">
        <v>0</v>
      </c>
      <c r="S163" s="139">
        <v>5064496.6900000004</v>
      </c>
      <c r="T163" s="235"/>
      <c r="U163" s="139">
        <f t="shared" si="4"/>
        <v>0</v>
      </c>
      <c r="V163" s="139">
        <f t="shared" si="5"/>
        <v>0</v>
      </c>
    </row>
    <row r="164" spans="1:256" x14ac:dyDescent="0.2">
      <c r="A164" s="145" t="s">
        <v>369</v>
      </c>
      <c r="B164" s="146">
        <v>0</v>
      </c>
      <c r="C164" s="147"/>
      <c r="D164" s="148"/>
      <c r="E164" s="149"/>
      <c r="F164" s="148">
        <v>0</v>
      </c>
      <c r="G164" s="162">
        <v>0</v>
      </c>
      <c r="R164" s="139">
        <v>0</v>
      </c>
      <c r="S164" s="139">
        <v>0</v>
      </c>
      <c r="T164" s="235"/>
      <c r="U164" s="139">
        <f t="shared" si="4"/>
        <v>0</v>
      </c>
      <c r="V164" s="139">
        <f t="shared" si="5"/>
        <v>0</v>
      </c>
    </row>
    <row r="165" spans="1:256" x14ac:dyDescent="0.2">
      <c r="A165" s="145" t="s">
        <v>540</v>
      </c>
      <c r="B165" s="146">
        <v>0</v>
      </c>
      <c r="C165" s="147"/>
      <c r="D165" s="148"/>
      <c r="E165" s="149"/>
      <c r="F165" s="148">
        <v>0</v>
      </c>
      <c r="G165" s="162">
        <v>1957554.43</v>
      </c>
      <c r="H165" s="218"/>
      <c r="I165" s="218"/>
      <c r="J165" s="218"/>
      <c r="K165" s="218"/>
      <c r="L165" s="219"/>
      <c r="M165" s="218"/>
      <c r="N165" s="218"/>
      <c r="R165" s="139">
        <v>0</v>
      </c>
      <c r="S165" s="139">
        <v>1957554.43</v>
      </c>
      <c r="U165" s="219">
        <f t="shared" si="4"/>
        <v>0</v>
      </c>
      <c r="V165" s="219">
        <f t="shared" si="5"/>
        <v>0</v>
      </c>
    </row>
    <row r="166" spans="1:256" x14ac:dyDescent="0.2">
      <c r="A166" s="145" t="s">
        <v>166</v>
      </c>
      <c r="B166" s="146"/>
      <c r="C166" s="147">
        <v>7955776.3600000003</v>
      </c>
      <c r="D166" s="148"/>
      <c r="E166" s="149"/>
      <c r="F166" s="148">
        <v>0</v>
      </c>
      <c r="G166" s="148">
        <v>0</v>
      </c>
      <c r="H166" s="218"/>
      <c r="I166" s="218"/>
      <c r="J166" s="218"/>
      <c r="K166" s="218"/>
      <c r="L166" s="219"/>
      <c r="M166" s="218"/>
      <c r="N166" s="218"/>
      <c r="Q166" s="218"/>
      <c r="R166" s="139">
        <v>0</v>
      </c>
      <c r="S166" s="139">
        <v>0</v>
      </c>
      <c r="U166" s="219">
        <f t="shared" si="4"/>
        <v>0</v>
      </c>
      <c r="V166" s="219">
        <f t="shared" si="5"/>
        <v>0</v>
      </c>
    </row>
    <row r="167" spans="1:256" x14ac:dyDescent="0.2">
      <c r="A167" s="145" t="s">
        <v>541</v>
      </c>
      <c r="B167" s="146"/>
      <c r="C167" s="147">
        <v>730000</v>
      </c>
      <c r="D167" s="148"/>
      <c r="E167" s="149"/>
      <c r="F167" s="148">
        <v>0</v>
      </c>
      <c r="G167" s="162">
        <v>730000</v>
      </c>
      <c r="H167" s="218"/>
      <c r="I167" s="218"/>
      <c r="J167" s="218"/>
      <c r="K167" s="218"/>
      <c r="L167" s="219"/>
      <c r="M167" s="218"/>
      <c r="N167" s="218"/>
      <c r="Q167" s="218"/>
      <c r="R167" s="139">
        <v>0</v>
      </c>
      <c r="S167" s="139">
        <v>730000</v>
      </c>
      <c r="U167" s="219">
        <f t="shared" si="4"/>
        <v>0</v>
      </c>
      <c r="V167" s="219">
        <f t="shared" si="5"/>
        <v>0</v>
      </c>
    </row>
    <row r="168" spans="1:256" x14ac:dyDescent="0.2">
      <c r="A168" s="145" t="s">
        <v>542</v>
      </c>
      <c r="B168" s="146"/>
      <c r="C168" s="147">
        <v>3102500</v>
      </c>
      <c r="D168" s="148"/>
      <c r="E168" s="149"/>
      <c r="F168" s="148">
        <v>0</v>
      </c>
      <c r="G168" s="162">
        <v>2458000</v>
      </c>
      <c r="H168" s="218"/>
      <c r="I168" s="218"/>
      <c r="J168" s="218"/>
      <c r="K168" s="218"/>
      <c r="L168" s="219"/>
      <c r="M168" s="218"/>
      <c r="N168" s="218"/>
      <c r="Q168" s="218"/>
      <c r="R168" s="139">
        <v>0</v>
      </c>
      <c r="S168" s="139">
        <v>2458000</v>
      </c>
      <c r="U168" s="219">
        <f t="shared" si="4"/>
        <v>0</v>
      </c>
      <c r="V168" s="219">
        <f t="shared" si="5"/>
        <v>0</v>
      </c>
    </row>
    <row r="169" spans="1:256" x14ac:dyDescent="0.2">
      <c r="A169" s="155" t="s">
        <v>637</v>
      </c>
      <c r="B169" s="155"/>
      <c r="C169" s="155"/>
      <c r="D169" s="155"/>
      <c r="E169" s="155"/>
      <c r="F169" s="145"/>
      <c r="G169" s="159">
        <v>8625676.3599999994</v>
      </c>
      <c r="H169" s="237"/>
      <c r="I169" s="237"/>
      <c r="J169" s="237"/>
      <c r="K169" s="237"/>
      <c r="L169" s="237"/>
      <c r="M169" s="237"/>
      <c r="N169" s="237"/>
      <c r="O169" s="259"/>
      <c r="P169" s="259"/>
      <c r="Q169" s="237"/>
      <c r="R169" s="68"/>
      <c r="S169" s="230">
        <v>8625676.3599999994</v>
      </c>
      <c r="T169" s="232"/>
      <c r="U169" s="219">
        <f t="shared" si="4"/>
        <v>0</v>
      </c>
      <c r="V169" s="219">
        <f t="shared" si="5"/>
        <v>0</v>
      </c>
      <c r="W169" s="68"/>
      <c r="X169" s="68"/>
      <c r="Y169" s="68"/>
      <c r="Z169" s="68"/>
      <c r="AA169" s="68"/>
      <c r="AB169" s="68"/>
      <c r="AC169" s="68"/>
      <c r="AD169" s="68"/>
      <c r="AE169" s="68"/>
      <c r="AF169" s="68"/>
      <c r="AG169" s="68"/>
      <c r="AH169" s="68"/>
      <c r="AI169" s="68"/>
      <c r="AJ169" s="68"/>
      <c r="AK169" s="68"/>
      <c r="AL169" s="68"/>
      <c r="AM169" s="68"/>
      <c r="AN169" s="68"/>
      <c r="AO169" s="68"/>
      <c r="AP169" s="68"/>
      <c r="AQ169" s="68"/>
      <c r="AR169" s="68"/>
      <c r="AS169" s="68"/>
      <c r="AT169" s="68"/>
      <c r="AU169" s="68"/>
      <c r="AV169" s="68"/>
      <c r="AW169" s="68"/>
      <c r="AX169" s="68"/>
      <c r="AY169" s="68"/>
      <c r="AZ169" s="68"/>
      <c r="BA169" s="68"/>
      <c r="BB169" s="68"/>
      <c r="BC169" s="68"/>
      <c r="BD169" s="68"/>
      <c r="BE169" s="68"/>
      <c r="BF169" s="68"/>
      <c r="BG169" s="68"/>
      <c r="BH169" s="68"/>
      <c r="BI169" s="68"/>
      <c r="BJ169" s="68"/>
      <c r="BK169" s="68"/>
      <c r="BL169" s="68"/>
      <c r="BM169" s="68"/>
      <c r="BN169" s="68"/>
      <c r="BO169" s="68"/>
      <c r="BP169" s="68"/>
      <c r="BQ169" s="68"/>
      <c r="BR169" s="68"/>
      <c r="BS169" s="68"/>
      <c r="BT169" s="68"/>
      <c r="BU169" s="68"/>
      <c r="BV169" s="68"/>
      <c r="BW169" s="68"/>
      <c r="BX169" s="68"/>
      <c r="BY169" s="68"/>
      <c r="BZ169" s="68"/>
      <c r="CA169" s="68"/>
      <c r="CB169" s="68"/>
      <c r="CC169" s="68"/>
      <c r="CD169" s="68"/>
      <c r="CE169" s="68"/>
      <c r="CF169" s="68"/>
      <c r="CG169" s="68"/>
      <c r="CH169" s="68"/>
      <c r="CI169" s="68"/>
      <c r="CJ169" s="68"/>
      <c r="CK169" s="68"/>
      <c r="CL169" s="68"/>
      <c r="CM169" s="68"/>
      <c r="CN169" s="68"/>
      <c r="CO169" s="68"/>
      <c r="CP169" s="68"/>
      <c r="CQ169" s="68"/>
      <c r="CR169" s="68"/>
      <c r="CS169" s="68"/>
      <c r="CT169" s="68"/>
      <c r="CU169" s="68"/>
      <c r="CV169" s="68"/>
      <c r="CW169" s="68"/>
      <c r="CX169" s="68"/>
      <c r="CY169" s="68"/>
      <c r="CZ169" s="68"/>
      <c r="DA169" s="68"/>
      <c r="DB169" s="68"/>
      <c r="DC169" s="68"/>
      <c r="DD169" s="68"/>
      <c r="DE169" s="68"/>
      <c r="DF169" s="68"/>
      <c r="DG169" s="68"/>
      <c r="DH169" s="68"/>
      <c r="DI169" s="68"/>
      <c r="DJ169" s="68"/>
      <c r="DK169" s="68"/>
      <c r="DL169" s="68"/>
      <c r="DM169" s="68"/>
      <c r="DN169" s="68"/>
      <c r="DO169" s="68"/>
      <c r="DP169" s="68"/>
      <c r="DQ169" s="68"/>
      <c r="DR169" s="68"/>
      <c r="DS169" s="68"/>
      <c r="DT169" s="68"/>
      <c r="DU169" s="68"/>
      <c r="DV169" s="68"/>
      <c r="DW169" s="68"/>
      <c r="DX169" s="68"/>
      <c r="DY169" s="68"/>
      <c r="DZ169" s="68"/>
      <c r="EA169" s="68"/>
      <c r="EB169" s="68"/>
      <c r="EC169" s="68"/>
      <c r="ED169" s="68"/>
      <c r="EE169" s="68"/>
      <c r="EF169" s="68"/>
      <c r="EG169" s="68"/>
      <c r="EH169" s="68"/>
      <c r="EI169" s="68"/>
      <c r="EJ169" s="68"/>
      <c r="EK169" s="68"/>
      <c r="EL169" s="68"/>
      <c r="EM169" s="68"/>
      <c r="EN169" s="68"/>
      <c r="EO169" s="68"/>
      <c r="EP169" s="68"/>
      <c r="EQ169" s="68"/>
      <c r="ER169" s="68"/>
      <c r="ES169" s="68"/>
      <c r="ET169" s="68"/>
      <c r="EU169" s="68"/>
      <c r="EV169" s="68"/>
      <c r="EW169" s="68"/>
      <c r="EX169" s="68"/>
      <c r="EY169" s="68"/>
      <c r="EZ169" s="68"/>
      <c r="FA169" s="68"/>
      <c r="FB169" s="68"/>
      <c r="FC169" s="68"/>
      <c r="FD169" s="68"/>
      <c r="FE169" s="68"/>
      <c r="FF169" s="68"/>
      <c r="FG169" s="68"/>
      <c r="FH169" s="68"/>
      <c r="FI169" s="68"/>
      <c r="FJ169" s="68"/>
      <c r="FK169" s="68"/>
      <c r="FL169" s="68"/>
      <c r="FM169" s="68"/>
      <c r="FN169" s="68"/>
      <c r="FO169" s="68"/>
      <c r="FP169" s="68"/>
      <c r="FQ169" s="68"/>
      <c r="FR169" s="68"/>
      <c r="FS169" s="68"/>
      <c r="FT169" s="68"/>
      <c r="FU169" s="68"/>
      <c r="FV169" s="68"/>
      <c r="FW169" s="68"/>
      <c r="FX169" s="68"/>
      <c r="FY169" s="68"/>
      <c r="FZ169" s="68"/>
      <c r="GA169" s="68"/>
      <c r="GB169" s="68"/>
      <c r="GC169" s="68"/>
      <c r="GD169" s="68"/>
      <c r="GE169" s="68"/>
      <c r="GF169" s="68"/>
      <c r="GG169" s="68"/>
      <c r="GH169" s="68"/>
      <c r="GI169" s="68"/>
      <c r="GJ169" s="68"/>
      <c r="GK169" s="68"/>
      <c r="GL169" s="68"/>
      <c r="GM169" s="68"/>
      <c r="GN169" s="68"/>
      <c r="GO169" s="68"/>
      <c r="GP169" s="68"/>
      <c r="GQ169" s="68"/>
      <c r="GR169" s="68"/>
      <c r="GS169" s="68"/>
      <c r="GT169" s="68"/>
      <c r="GU169" s="68"/>
      <c r="GV169" s="68"/>
      <c r="GW169" s="68"/>
      <c r="GX169" s="68"/>
      <c r="GY169" s="68"/>
      <c r="GZ169" s="68"/>
      <c r="HA169" s="68"/>
      <c r="HB169" s="68"/>
      <c r="HC169" s="68"/>
      <c r="HD169" s="68"/>
      <c r="HE169" s="68"/>
      <c r="HF169" s="68"/>
      <c r="HG169" s="68"/>
      <c r="HH169" s="68"/>
      <c r="HI169" s="68"/>
      <c r="HJ169" s="68"/>
      <c r="HK169" s="68"/>
      <c r="HL169" s="68"/>
      <c r="HM169" s="68"/>
      <c r="HN169" s="68"/>
      <c r="HO169" s="68"/>
      <c r="HP169" s="68"/>
      <c r="HQ169" s="68"/>
      <c r="HR169" s="68"/>
      <c r="HS169" s="68"/>
      <c r="HT169" s="68"/>
      <c r="HU169" s="68"/>
      <c r="HV169" s="68"/>
      <c r="HW169" s="68"/>
      <c r="HX169" s="68"/>
      <c r="HY169" s="68"/>
      <c r="HZ169" s="68"/>
      <c r="IA169" s="68"/>
      <c r="IB169" s="68"/>
      <c r="IC169" s="68"/>
      <c r="ID169" s="68"/>
      <c r="IE169" s="68"/>
      <c r="IF169" s="68"/>
      <c r="IG169" s="68"/>
      <c r="IH169" s="68"/>
      <c r="II169" s="68"/>
      <c r="IJ169" s="68"/>
      <c r="IK169" s="68"/>
      <c r="IL169" s="68"/>
      <c r="IM169" s="68"/>
      <c r="IN169" s="68"/>
      <c r="IO169" s="68"/>
      <c r="IP169" s="68"/>
      <c r="IQ169" s="68"/>
      <c r="IR169" s="68"/>
      <c r="IS169" s="68"/>
      <c r="IT169" s="68"/>
      <c r="IU169" s="68"/>
      <c r="IV169" s="68"/>
    </row>
    <row r="170" spans="1:256" x14ac:dyDescent="0.2">
      <c r="A170" s="145" t="s">
        <v>167</v>
      </c>
      <c r="B170" s="146">
        <v>29618803.829999998</v>
      </c>
      <c r="C170" s="147"/>
      <c r="D170" s="148"/>
      <c r="E170" s="149"/>
      <c r="F170" s="162">
        <v>44922979.649999999</v>
      </c>
      <c r="G170" s="148">
        <v>0</v>
      </c>
      <c r="H170" s="218"/>
      <c r="I170" s="218"/>
      <c r="J170" s="218"/>
      <c r="K170" s="218"/>
      <c r="L170" s="219"/>
      <c r="M170" s="218"/>
      <c r="N170" s="218"/>
      <c r="R170" s="139">
        <v>44922979.649999999</v>
      </c>
      <c r="S170" s="139">
        <v>0</v>
      </c>
      <c r="U170" s="219">
        <f t="shared" si="4"/>
        <v>0</v>
      </c>
      <c r="V170" s="219">
        <f t="shared" si="5"/>
        <v>0</v>
      </c>
    </row>
    <row r="171" spans="1:256" x14ac:dyDescent="0.2">
      <c r="A171" s="145" t="s">
        <v>168</v>
      </c>
      <c r="B171" s="146"/>
      <c r="C171" s="147">
        <v>1319531.6200000001</v>
      </c>
      <c r="D171" s="148"/>
      <c r="E171" s="149"/>
      <c r="F171" s="148">
        <v>0</v>
      </c>
      <c r="G171" s="162">
        <v>1319531.6200000001</v>
      </c>
      <c r="R171" s="139">
        <v>0</v>
      </c>
      <c r="S171" s="139">
        <v>1319531.6200000001</v>
      </c>
      <c r="T171" s="235"/>
      <c r="U171" s="139">
        <f t="shared" si="4"/>
        <v>0</v>
      </c>
      <c r="V171" s="139">
        <f t="shared" si="5"/>
        <v>0</v>
      </c>
    </row>
    <row r="172" spans="1:256" x14ac:dyDescent="0.2">
      <c r="A172" s="155" t="s">
        <v>638</v>
      </c>
      <c r="B172" s="155"/>
      <c r="C172" s="155"/>
      <c r="D172" s="155"/>
      <c r="E172" s="155"/>
      <c r="F172" s="145"/>
      <c r="G172" s="159">
        <v>12599832.300000001</v>
      </c>
      <c r="H172" s="237"/>
      <c r="I172" s="237"/>
      <c r="J172" s="237"/>
      <c r="K172" s="237"/>
      <c r="L172" s="237"/>
      <c r="M172" s="237"/>
      <c r="N172" s="237"/>
      <c r="O172" s="259"/>
      <c r="P172" s="259"/>
      <c r="Q172" s="237"/>
      <c r="R172" s="68"/>
      <c r="S172" s="230">
        <v>12599832.300000001</v>
      </c>
      <c r="T172" s="232"/>
      <c r="U172" s="219">
        <f t="shared" si="4"/>
        <v>0</v>
      </c>
      <c r="V172" s="219">
        <f t="shared" si="5"/>
        <v>0</v>
      </c>
      <c r="W172" s="68"/>
      <c r="X172" s="68"/>
      <c r="Y172" s="68"/>
      <c r="Z172" s="68"/>
      <c r="AA172" s="68"/>
      <c r="AB172" s="68"/>
      <c r="AC172" s="68"/>
      <c r="AD172" s="68"/>
      <c r="AE172" s="68"/>
      <c r="AF172" s="68"/>
      <c r="AG172" s="68"/>
      <c r="AH172" s="68"/>
      <c r="AI172" s="68"/>
      <c r="AJ172" s="68"/>
      <c r="AK172" s="68"/>
      <c r="AL172" s="68"/>
      <c r="AM172" s="68"/>
      <c r="AN172" s="68"/>
      <c r="AO172" s="68"/>
      <c r="AP172" s="68"/>
      <c r="AQ172" s="68"/>
      <c r="AR172" s="68"/>
      <c r="AS172" s="68"/>
      <c r="AT172" s="68"/>
      <c r="AU172" s="68"/>
      <c r="AV172" s="68"/>
      <c r="AW172" s="68"/>
      <c r="AX172" s="68"/>
      <c r="AY172" s="68"/>
      <c r="AZ172" s="68"/>
      <c r="BA172" s="68"/>
      <c r="BB172" s="68"/>
      <c r="BC172" s="68"/>
      <c r="BD172" s="68"/>
      <c r="BE172" s="68"/>
      <c r="BF172" s="68"/>
      <c r="BG172" s="68"/>
      <c r="BH172" s="68"/>
      <c r="BI172" s="68"/>
      <c r="BJ172" s="68"/>
      <c r="BK172" s="68"/>
      <c r="BL172" s="68"/>
      <c r="BM172" s="68"/>
      <c r="BN172" s="68"/>
      <c r="BO172" s="68"/>
      <c r="BP172" s="68"/>
      <c r="BQ172" s="68"/>
      <c r="BR172" s="68"/>
      <c r="BS172" s="68"/>
      <c r="BT172" s="68"/>
      <c r="BU172" s="68"/>
      <c r="BV172" s="68"/>
      <c r="BW172" s="68"/>
      <c r="BX172" s="68"/>
      <c r="BY172" s="68"/>
      <c r="BZ172" s="68"/>
      <c r="CA172" s="68"/>
      <c r="CB172" s="68"/>
      <c r="CC172" s="68"/>
      <c r="CD172" s="68"/>
      <c r="CE172" s="68"/>
      <c r="CF172" s="68"/>
      <c r="CG172" s="68"/>
      <c r="CH172" s="68"/>
      <c r="CI172" s="68"/>
      <c r="CJ172" s="68"/>
      <c r="CK172" s="68"/>
      <c r="CL172" s="68"/>
      <c r="CM172" s="68"/>
      <c r="CN172" s="68"/>
      <c r="CO172" s="68"/>
      <c r="CP172" s="68"/>
      <c r="CQ172" s="68"/>
      <c r="CR172" s="68"/>
      <c r="CS172" s="68"/>
      <c r="CT172" s="68"/>
      <c r="CU172" s="68"/>
      <c r="CV172" s="68"/>
      <c r="CW172" s="68"/>
      <c r="CX172" s="68"/>
      <c r="CY172" s="68"/>
      <c r="CZ172" s="68"/>
      <c r="DA172" s="68"/>
      <c r="DB172" s="68"/>
      <c r="DC172" s="68"/>
      <c r="DD172" s="68"/>
      <c r="DE172" s="68"/>
      <c r="DF172" s="68"/>
      <c r="DG172" s="68"/>
      <c r="DH172" s="68"/>
      <c r="DI172" s="68"/>
      <c r="DJ172" s="68"/>
      <c r="DK172" s="68"/>
      <c r="DL172" s="68"/>
      <c r="DM172" s="68"/>
      <c r="DN172" s="68"/>
      <c r="DO172" s="68"/>
      <c r="DP172" s="68"/>
      <c r="DQ172" s="68"/>
      <c r="DR172" s="68"/>
      <c r="DS172" s="68"/>
      <c r="DT172" s="68"/>
      <c r="DU172" s="68"/>
      <c r="DV172" s="68"/>
      <c r="DW172" s="68"/>
      <c r="DX172" s="68"/>
      <c r="DY172" s="68"/>
      <c r="DZ172" s="68"/>
      <c r="EA172" s="68"/>
      <c r="EB172" s="68"/>
      <c r="EC172" s="68"/>
      <c r="ED172" s="68"/>
      <c r="EE172" s="68"/>
      <c r="EF172" s="68"/>
      <c r="EG172" s="68"/>
      <c r="EH172" s="68"/>
      <c r="EI172" s="68"/>
      <c r="EJ172" s="68"/>
      <c r="EK172" s="68"/>
      <c r="EL172" s="68"/>
      <c r="EM172" s="68"/>
      <c r="EN172" s="68"/>
      <c r="EO172" s="68"/>
      <c r="EP172" s="68"/>
      <c r="EQ172" s="68"/>
      <c r="ER172" s="68"/>
      <c r="ES172" s="68"/>
      <c r="ET172" s="68"/>
      <c r="EU172" s="68"/>
      <c r="EV172" s="68"/>
      <c r="EW172" s="68"/>
      <c r="EX172" s="68"/>
      <c r="EY172" s="68"/>
      <c r="EZ172" s="68"/>
      <c r="FA172" s="68"/>
      <c r="FB172" s="68"/>
      <c r="FC172" s="68"/>
      <c r="FD172" s="68"/>
      <c r="FE172" s="68"/>
      <c r="FF172" s="68"/>
      <c r="FG172" s="68"/>
      <c r="FH172" s="68"/>
      <c r="FI172" s="68"/>
      <c r="FJ172" s="68"/>
      <c r="FK172" s="68"/>
      <c r="FL172" s="68"/>
      <c r="FM172" s="68"/>
      <c r="FN172" s="68"/>
      <c r="FO172" s="68"/>
      <c r="FP172" s="68"/>
      <c r="FQ172" s="68"/>
      <c r="FR172" s="68"/>
      <c r="FS172" s="68"/>
      <c r="FT172" s="68"/>
      <c r="FU172" s="68"/>
      <c r="FV172" s="68"/>
      <c r="FW172" s="68"/>
      <c r="FX172" s="68"/>
      <c r="FY172" s="68"/>
      <c r="FZ172" s="68"/>
      <c r="GA172" s="68"/>
      <c r="GB172" s="68"/>
      <c r="GC172" s="68"/>
      <c r="GD172" s="68"/>
      <c r="GE172" s="68"/>
      <c r="GF172" s="68"/>
      <c r="GG172" s="68"/>
      <c r="GH172" s="68"/>
      <c r="GI172" s="68"/>
      <c r="GJ172" s="68"/>
      <c r="GK172" s="68"/>
      <c r="GL172" s="68"/>
      <c r="GM172" s="68"/>
      <c r="GN172" s="68"/>
      <c r="GO172" s="68"/>
      <c r="GP172" s="68"/>
      <c r="GQ172" s="68"/>
      <c r="GR172" s="68"/>
      <c r="GS172" s="68"/>
      <c r="GT172" s="68"/>
      <c r="GU172" s="68"/>
      <c r="GV172" s="68"/>
      <c r="GW172" s="68"/>
      <c r="GX172" s="68"/>
      <c r="GY172" s="68"/>
      <c r="GZ172" s="68"/>
      <c r="HA172" s="68"/>
      <c r="HB172" s="68"/>
      <c r="HC172" s="68"/>
      <c r="HD172" s="68"/>
      <c r="HE172" s="68"/>
      <c r="HF172" s="68"/>
      <c r="HG172" s="68"/>
      <c r="HH172" s="68"/>
      <c r="HI172" s="68"/>
      <c r="HJ172" s="68"/>
      <c r="HK172" s="68"/>
      <c r="HL172" s="68"/>
      <c r="HM172" s="68"/>
      <c r="HN172" s="68"/>
      <c r="HO172" s="68"/>
      <c r="HP172" s="68"/>
      <c r="HQ172" s="68"/>
      <c r="HR172" s="68"/>
      <c r="HS172" s="68"/>
      <c r="HT172" s="68"/>
      <c r="HU172" s="68"/>
      <c r="HV172" s="68"/>
      <c r="HW172" s="68"/>
      <c r="HX172" s="68"/>
      <c r="HY172" s="68"/>
      <c r="HZ172" s="68"/>
      <c r="IA172" s="68"/>
      <c r="IB172" s="68"/>
      <c r="IC172" s="68"/>
      <c r="ID172" s="68"/>
      <c r="IE172" s="68"/>
      <c r="IF172" s="68"/>
      <c r="IG172" s="68"/>
      <c r="IH172" s="68"/>
      <c r="II172" s="68"/>
      <c r="IJ172" s="68"/>
      <c r="IK172" s="68"/>
      <c r="IL172" s="68"/>
      <c r="IM172" s="68"/>
      <c r="IN172" s="68"/>
      <c r="IO172" s="68"/>
      <c r="IP172" s="68"/>
      <c r="IQ172" s="68"/>
      <c r="IR172" s="68"/>
      <c r="IS172" s="68"/>
      <c r="IT172" s="68"/>
      <c r="IU172" s="68"/>
      <c r="IV172" s="68"/>
    </row>
    <row r="173" spans="1:256" x14ac:dyDescent="0.2">
      <c r="A173" s="145" t="s">
        <v>169</v>
      </c>
      <c r="B173" s="146">
        <v>0</v>
      </c>
      <c r="C173" s="147"/>
      <c r="D173" s="148"/>
      <c r="E173" s="149"/>
      <c r="F173" s="148">
        <v>0</v>
      </c>
      <c r="G173" s="148">
        <v>0</v>
      </c>
      <c r="R173" s="139">
        <v>0</v>
      </c>
      <c r="S173" s="139">
        <v>0</v>
      </c>
      <c r="T173" s="235"/>
      <c r="U173" s="139">
        <f t="shared" si="4"/>
        <v>0</v>
      </c>
      <c r="V173" s="139">
        <f t="shared" si="5"/>
        <v>0</v>
      </c>
    </row>
    <row r="174" spans="1:256" x14ac:dyDescent="0.2">
      <c r="A174" s="145" t="s">
        <v>522</v>
      </c>
      <c r="B174" s="146"/>
      <c r="C174" s="147">
        <v>10000</v>
      </c>
      <c r="D174" s="148"/>
      <c r="E174" s="149"/>
      <c r="F174" s="148">
        <v>0</v>
      </c>
      <c r="G174" s="162">
        <v>10000</v>
      </c>
      <c r="R174" s="139">
        <v>0</v>
      </c>
      <c r="S174" s="139">
        <v>10000</v>
      </c>
      <c r="T174" s="235"/>
      <c r="U174" s="139">
        <f t="shared" si="4"/>
        <v>0</v>
      </c>
      <c r="V174" s="139">
        <f t="shared" si="5"/>
        <v>0</v>
      </c>
    </row>
    <row r="175" spans="1:256" x14ac:dyDescent="0.2">
      <c r="A175" s="145" t="s">
        <v>543</v>
      </c>
      <c r="B175" s="146"/>
      <c r="C175" s="147">
        <v>24936400</v>
      </c>
      <c r="D175" s="148"/>
      <c r="E175" s="149"/>
      <c r="F175" s="148">
        <v>0</v>
      </c>
      <c r="G175" s="162">
        <v>24936400</v>
      </c>
      <c r="R175" s="139">
        <v>0</v>
      </c>
      <c r="S175" s="139">
        <v>24936400</v>
      </c>
      <c r="T175" s="235"/>
      <c r="U175" s="139">
        <f t="shared" si="4"/>
        <v>0</v>
      </c>
      <c r="V175" s="139">
        <f t="shared" si="5"/>
        <v>0</v>
      </c>
    </row>
    <row r="176" spans="1:256" x14ac:dyDescent="0.2">
      <c r="A176" s="145" t="s">
        <v>544</v>
      </c>
      <c r="B176" s="146"/>
      <c r="C176" s="147">
        <v>15000000</v>
      </c>
      <c r="D176" s="148"/>
      <c r="E176" s="149"/>
      <c r="F176" s="148">
        <v>0</v>
      </c>
      <c r="G176" s="162">
        <v>15000000</v>
      </c>
      <c r="R176" s="139">
        <v>0</v>
      </c>
      <c r="S176" s="139">
        <v>15000000</v>
      </c>
      <c r="T176" s="235"/>
      <c r="U176" s="139">
        <f t="shared" si="4"/>
        <v>0</v>
      </c>
      <c r="V176" s="139">
        <f t="shared" si="5"/>
        <v>0</v>
      </c>
    </row>
    <row r="177" spans="1:22" x14ac:dyDescent="0.2">
      <c r="A177" s="145" t="s">
        <v>170</v>
      </c>
      <c r="B177" s="146">
        <v>0</v>
      </c>
      <c r="C177" s="147"/>
      <c r="D177" s="148"/>
      <c r="E177" s="149"/>
      <c r="F177" s="148">
        <v>0</v>
      </c>
      <c r="G177" s="148">
        <v>0</v>
      </c>
      <c r="R177" s="139">
        <v>0</v>
      </c>
      <c r="S177" s="139">
        <v>0</v>
      </c>
      <c r="T177" s="235"/>
      <c r="U177" s="139">
        <f t="shared" si="4"/>
        <v>0</v>
      </c>
      <c r="V177" s="139">
        <f t="shared" si="5"/>
        <v>0</v>
      </c>
    </row>
    <row r="178" spans="1:22" x14ac:dyDescent="0.2">
      <c r="A178" s="145" t="s">
        <v>171</v>
      </c>
      <c r="B178" s="146">
        <v>0</v>
      </c>
      <c r="C178" s="147"/>
      <c r="D178" s="148"/>
      <c r="E178" s="149"/>
      <c r="F178" s="148">
        <v>0</v>
      </c>
      <c r="G178" s="148">
        <v>0</v>
      </c>
      <c r="R178" s="139">
        <v>0</v>
      </c>
      <c r="S178" s="139">
        <v>0</v>
      </c>
      <c r="T178" s="235"/>
      <c r="U178" s="139">
        <f t="shared" si="4"/>
        <v>0</v>
      </c>
      <c r="V178" s="139">
        <f t="shared" si="5"/>
        <v>0</v>
      </c>
    </row>
    <row r="179" spans="1:22" x14ac:dyDescent="0.2">
      <c r="A179" s="145" t="s">
        <v>172</v>
      </c>
      <c r="B179" s="146"/>
      <c r="C179" s="147">
        <v>122697.91</v>
      </c>
      <c r="D179" s="148"/>
      <c r="E179" s="149"/>
      <c r="F179" s="148">
        <v>0</v>
      </c>
      <c r="G179" s="162">
        <v>122697.91</v>
      </c>
      <c r="R179" s="139">
        <v>0</v>
      </c>
      <c r="S179" s="139">
        <v>122697.91</v>
      </c>
      <c r="T179" s="235"/>
      <c r="U179" s="139">
        <f t="shared" si="4"/>
        <v>0</v>
      </c>
      <c r="V179" s="139">
        <f t="shared" si="5"/>
        <v>0</v>
      </c>
    </row>
    <row r="180" spans="1:22" x14ac:dyDescent="0.2">
      <c r="A180" s="145" t="s">
        <v>173</v>
      </c>
      <c r="B180" s="146">
        <v>0</v>
      </c>
      <c r="C180" s="147"/>
      <c r="D180" s="148"/>
      <c r="E180" s="149"/>
      <c r="F180" s="148">
        <v>0</v>
      </c>
      <c r="G180" s="148">
        <v>0</v>
      </c>
      <c r="R180" s="139">
        <v>0</v>
      </c>
      <c r="S180" s="139">
        <v>0</v>
      </c>
      <c r="T180" s="235"/>
      <c r="U180" s="139">
        <f t="shared" si="4"/>
        <v>0</v>
      </c>
      <c r="V180" s="139">
        <f t="shared" si="5"/>
        <v>0</v>
      </c>
    </row>
    <row r="181" spans="1:22" x14ac:dyDescent="0.2">
      <c r="A181" s="145" t="s">
        <v>174</v>
      </c>
      <c r="B181" s="146"/>
      <c r="C181" s="147">
        <v>161921.78</v>
      </c>
      <c r="D181" s="148"/>
      <c r="E181" s="149"/>
      <c r="F181" s="148">
        <v>0</v>
      </c>
      <c r="G181" s="162">
        <v>161921.78</v>
      </c>
      <c r="R181" s="139">
        <v>0</v>
      </c>
      <c r="S181" s="139">
        <v>161921.78</v>
      </c>
      <c r="T181" s="235"/>
      <c r="U181" s="139">
        <f t="shared" si="4"/>
        <v>0</v>
      </c>
      <c r="V181" s="139">
        <f t="shared" si="5"/>
        <v>0</v>
      </c>
    </row>
    <row r="182" spans="1:22" x14ac:dyDescent="0.2">
      <c r="A182" s="145" t="s">
        <v>289</v>
      </c>
      <c r="B182" s="146">
        <v>0</v>
      </c>
      <c r="C182" s="147"/>
      <c r="D182" s="148"/>
      <c r="E182" s="149"/>
      <c r="F182" s="148">
        <v>0</v>
      </c>
      <c r="G182" s="148">
        <v>0</v>
      </c>
      <c r="H182" s="150">
        <f>G181+G184+G186+G187</f>
        <v>4030661.4299999997</v>
      </c>
      <c r="R182" s="139">
        <v>0</v>
      </c>
      <c r="S182" s="139">
        <v>0</v>
      </c>
      <c r="T182" s="235"/>
      <c r="U182" s="139">
        <f t="shared" si="4"/>
        <v>0</v>
      </c>
      <c r="V182" s="139">
        <f t="shared" si="5"/>
        <v>0</v>
      </c>
    </row>
    <row r="183" spans="1:22" x14ac:dyDescent="0.2">
      <c r="A183" s="145" t="s">
        <v>290</v>
      </c>
      <c r="B183" s="146"/>
      <c r="C183" s="147">
        <v>2552155.69</v>
      </c>
      <c r="D183" s="148"/>
      <c r="E183" s="149"/>
      <c r="F183" s="148">
        <v>0</v>
      </c>
      <c r="G183" s="162">
        <v>2552155.69</v>
      </c>
      <c r="R183" s="139">
        <v>0</v>
      </c>
      <c r="S183" s="139">
        <v>2552155.69</v>
      </c>
      <c r="T183" s="235"/>
      <c r="U183" s="139">
        <f t="shared" si="4"/>
        <v>0</v>
      </c>
      <c r="V183" s="139">
        <f t="shared" si="5"/>
        <v>0</v>
      </c>
    </row>
    <row r="184" spans="1:22" x14ac:dyDescent="0.2">
      <c r="A184" s="145" t="s">
        <v>370</v>
      </c>
      <c r="B184" s="146"/>
      <c r="C184" s="147">
        <v>791383.38</v>
      </c>
      <c r="D184" s="148"/>
      <c r="E184" s="149"/>
      <c r="F184" s="148">
        <v>0</v>
      </c>
      <c r="G184" s="162">
        <v>791383.38</v>
      </c>
      <c r="R184" s="139">
        <v>0</v>
      </c>
      <c r="S184" s="139">
        <v>791383.38</v>
      </c>
      <c r="T184" s="235"/>
      <c r="U184" s="139">
        <f t="shared" si="4"/>
        <v>0</v>
      </c>
      <c r="V184" s="139">
        <f t="shared" si="5"/>
        <v>0</v>
      </c>
    </row>
    <row r="185" spans="1:22" x14ac:dyDescent="0.2">
      <c r="A185" s="145" t="s">
        <v>371</v>
      </c>
      <c r="B185" s="146">
        <v>0</v>
      </c>
      <c r="C185" s="147"/>
      <c r="D185" s="148"/>
      <c r="E185" s="149"/>
      <c r="F185" s="148">
        <v>0</v>
      </c>
      <c r="G185" s="148">
        <v>0</v>
      </c>
      <c r="I185" s="150">
        <f>G181+G186+G187</f>
        <v>3239278.05</v>
      </c>
      <c r="R185" s="139">
        <v>0</v>
      </c>
      <c r="S185" s="139">
        <v>0</v>
      </c>
      <c r="T185" s="235"/>
      <c r="U185" s="139">
        <f t="shared" si="4"/>
        <v>0</v>
      </c>
      <c r="V185" s="139">
        <f t="shared" si="5"/>
        <v>0</v>
      </c>
    </row>
    <row r="186" spans="1:22" x14ac:dyDescent="0.2">
      <c r="A186" s="145" t="s">
        <v>372</v>
      </c>
      <c r="B186" s="146"/>
      <c r="C186" s="147">
        <v>1338251.6299999999</v>
      </c>
      <c r="D186" s="148"/>
      <c r="E186" s="149"/>
      <c r="F186" s="148">
        <v>0</v>
      </c>
      <c r="G186" s="162">
        <v>1338251.6299999999</v>
      </c>
      <c r="I186" s="150">
        <f>G175+G176+G179+G183+G188</f>
        <v>65111253.639999993</v>
      </c>
      <c r="R186" s="139">
        <v>0</v>
      </c>
      <c r="S186" s="139">
        <v>1338251.6299999999</v>
      </c>
      <c r="T186" s="235"/>
      <c r="U186" s="139">
        <f t="shared" si="4"/>
        <v>0</v>
      </c>
      <c r="V186" s="139">
        <f t="shared" si="5"/>
        <v>0</v>
      </c>
    </row>
    <row r="187" spans="1:22" x14ac:dyDescent="0.2">
      <c r="A187" s="145" t="s">
        <v>373</v>
      </c>
      <c r="B187" s="146"/>
      <c r="C187" s="147">
        <v>1739104.64</v>
      </c>
      <c r="D187" s="148"/>
      <c r="E187" s="149"/>
      <c r="F187" s="148">
        <v>0</v>
      </c>
      <c r="G187" s="162">
        <v>1739104.64</v>
      </c>
      <c r="R187" s="139">
        <v>0</v>
      </c>
      <c r="S187" s="139">
        <v>1739104.64</v>
      </c>
      <c r="T187" s="235"/>
      <c r="U187" s="139">
        <f t="shared" si="4"/>
        <v>0</v>
      </c>
      <c r="V187" s="139">
        <f t="shared" si="5"/>
        <v>0</v>
      </c>
    </row>
    <row r="188" spans="1:22" x14ac:dyDescent="0.2">
      <c r="A188" s="145" t="s">
        <v>545</v>
      </c>
      <c r="B188" s="146"/>
      <c r="C188" s="147">
        <v>22500000.039999999</v>
      </c>
      <c r="D188" s="148"/>
      <c r="E188" s="149"/>
      <c r="F188" s="148">
        <v>0</v>
      </c>
      <c r="G188" s="162">
        <v>22500000.039999999</v>
      </c>
      <c r="R188" s="139">
        <v>0</v>
      </c>
      <c r="S188" s="139">
        <v>22500000.039999999</v>
      </c>
      <c r="T188" s="235"/>
      <c r="U188" s="139">
        <f t="shared" si="4"/>
        <v>0</v>
      </c>
      <c r="V188" s="139">
        <f t="shared" si="5"/>
        <v>0</v>
      </c>
    </row>
    <row r="189" spans="1:22" x14ac:dyDescent="0.2">
      <c r="A189" s="145" t="s">
        <v>175</v>
      </c>
      <c r="B189" s="146">
        <v>0</v>
      </c>
      <c r="C189" s="147"/>
      <c r="D189" s="148"/>
      <c r="E189" s="149"/>
      <c r="F189" s="148">
        <v>0</v>
      </c>
      <c r="G189" s="148">
        <v>0</v>
      </c>
      <c r="R189" s="139">
        <v>0</v>
      </c>
      <c r="S189" s="139">
        <v>0</v>
      </c>
      <c r="T189" s="235"/>
      <c r="U189" s="139">
        <f t="shared" si="4"/>
        <v>0</v>
      </c>
      <c r="V189" s="139">
        <f t="shared" si="5"/>
        <v>0</v>
      </c>
    </row>
    <row r="190" spans="1:22" x14ac:dyDescent="0.2">
      <c r="A190" s="145" t="s">
        <v>176</v>
      </c>
      <c r="B190" s="146"/>
      <c r="C190" s="147">
        <v>2000020</v>
      </c>
      <c r="D190" s="148"/>
      <c r="E190" s="149"/>
      <c r="F190" s="148">
        <v>0</v>
      </c>
      <c r="G190" s="162">
        <v>2000020</v>
      </c>
      <c r="R190" s="139">
        <v>0</v>
      </c>
      <c r="S190" s="139">
        <v>2000020</v>
      </c>
      <c r="T190" s="235"/>
      <c r="U190" s="139">
        <f t="shared" si="4"/>
        <v>0</v>
      </c>
      <c r="V190" s="139">
        <f t="shared" si="5"/>
        <v>0</v>
      </c>
    </row>
    <row r="191" spans="1:22" x14ac:dyDescent="0.2">
      <c r="A191" s="145" t="s">
        <v>177</v>
      </c>
      <c r="B191" s="146"/>
      <c r="C191" s="147">
        <v>24639053.23</v>
      </c>
      <c r="D191" s="148"/>
      <c r="E191" s="149"/>
      <c r="F191" s="148">
        <v>0</v>
      </c>
      <c r="G191" s="162">
        <v>24639053.23</v>
      </c>
      <c r="R191" s="139">
        <v>0</v>
      </c>
      <c r="S191" s="139">
        <v>24639053.23</v>
      </c>
      <c r="T191" s="235"/>
      <c r="U191" s="139">
        <f t="shared" si="4"/>
        <v>0</v>
      </c>
      <c r="V191" s="139">
        <f t="shared" si="5"/>
        <v>0</v>
      </c>
    </row>
    <row r="192" spans="1:22" x14ac:dyDescent="0.2">
      <c r="A192" s="145" t="s">
        <v>178</v>
      </c>
      <c r="B192" s="146"/>
      <c r="C192" s="147">
        <v>113361809.20999999</v>
      </c>
      <c r="D192" s="148"/>
      <c r="E192" s="242">
        <f>-1051959.5-500000+69792.17</f>
        <v>-1482167.33</v>
      </c>
      <c r="F192" s="148">
        <v>0</v>
      </c>
      <c r="G192" s="148">
        <v>111879341.78</v>
      </c>
      <c r="H192" s="218"/>
      <c r="I192" s="218"/>
      <c r="J192" s="218"/>
      <c r="K192" s="218"/>
      <c r="L192" s="219"/>
      <c r="M192" s="218"/>
      <c r="N192" s="218"/>
      <c r="R192" s="139">
        <v>0</v>
      </c>
      <c r="S192" s="139">
        <v>111879341.78</v>
      </c>
      <c r="U192" s="219">
        <f t="shared" si="4"/>
        <v>0</v>
      </c>
      <c r="V192" s="219">
        <f t="shared" si="5"/>
        <v>0</v>
      </c>
    </row>
    <row r="193" spans="1:22" x14ac:dyDescent="0.2">
      <c r="A193" s="145" t="s">
        <v>179</v>
      </c>
      <c r="B193" s="146"/>
      <c r="C193" s="147">
        <v>108575121</v>
      </c>
      <c r="D193" s="148"/>
      <c r="E193" s="149"/>
      <c r="F193" s="148">
        <v>0</v>
      </c>
      <c r="G193" s="162">
        <v>108575121</v>
      </c>
      <c r="R193" s="139">
        <v>0</v>
      </c>
      <c r="S193" s="139">
        <v>108575121</v>
      </c>
      <c r="T193" s="235"/>
      <c r="U193" s="139">
        <f t="shared" si="4"/>
        <v>0</v>
      </c>
      <c r="V193" s="139">
        <f t="shared" si="5"/>
        <v>0</v>
      </c>
    </row>
    <row r="194" spans="1:22" x14ac:dyDescent="0.2">
      <c r="A194" s="145" t="s">
        <v>546</v>
      </c>
      <c r="B194" s="146"/>
      <c r="C194" s="147">
        <v>35993.46</v>
      </c>
      <c r="D194" s="148"/>
      <c r="E194" s="149"/>
      <c r="F194" s="148">
        <v>0</v>
      </c>
      <c r="G194" s="162">
        <v>35993.46</v>
      </c>
      <c r="R194" s="139">
        <v>0</v>
      </c>
      <c r="S194" s="139">
        <v>35993.46</v>
      </c>
      <c r="T194" s="235"/>
      <c r="U194" s="139">
        <f t="shared" si="4"/>
        <v>0</v>
      </c>
      <c r="V194" s="139">
        <f t="shared" si="5"/>
        <v>0</v>
      </c>
    </row>
    <row r="195" spans="1:22" x14ac:dyDescent="0.2">
      <c r="A195" s="145" t="s">
        <v>180</v>
      </c>
      <c r="B195" s="146"/>
      <c r="C195" s="147">
        <v>6434351.9900000002</v>
      </c>
      <c r="D195" s="148"/>
      <c r="E195" s="149"/>
      <c r="F195" s="148">
        <v>0</v>
      </c>
      <c r="G195" s="162">
        <v>6434351.9900000002</v>
      </c>
      <c r="R195" s="139">
        <v>0</v>
      </c>
      <c r="S195" s="139">
        <v>6434351.9900000002</v>
      </c>
      <c r="T195" s="235"/>
      <c r="U195" s="139">
        <f t="shared" si="4"/>
        <v>0</v>
      </c>
      <c r="V195" s="139">
        <f t="shared" si="5"/>
        <v>0</v>
      </c>
    </row>
    <row r="196" spans="1:22" x14ac:dyDescent="0.2">
      <c r="A196" s="145" t="s">
        <v>291</v>
      </c>
      <c r="B196" s="146"/>
      <c r="C196" s="147">
        <v>2622696.2799999998</v>
      </c>
      <c r="D196" s="148"/>
      <c r="E196" s="149"/>
      <c r="F196" s="148">
        <v>0</v>
      </c>
      <c r="G196" s="162">
        <v>2622696.2799999998</v>
      </c>
      <c r="R196" s="139">
        <v>0</v>
      </c>
      <c r="S196" s="139">
        <v>2622696.2799999998</v>
      </c>
      <c r="T196" s="235"/>
      <c r="U196" s="139">
        <f t="shared" ref="U196:U259" si="6">F196-R196</f>
        <v>0</v>
      </c>
      <c r="V196" s="139">
        <f t="shared" ref="V196:V259" si="7">G196-S196</f>
        <v>0</v>
      </c>
    </row>
    <row r="197" spans="1:22" x14ac:dyDescent="0.2">
      <c r="A197" s="145" t="s">
        <v>547</v>
      </c>
      <c r="B197" s="146">
        <v>9483</v>
      </c>
      <c r="C197" s="147"/>
      <c r="D197" s="148"/>
      <c r="E197" s="149"/>
      <c r="F197" s="162">
        <v>9483</v>
      </c>
      <c r="G197" s="148">
        <v>0</v>
      </c>
      <c r="R197" s="139">
        <v>9483</v>
      </c>
      <c r="S197" s="139">
        <v>0</v>
      </c>
      <c r="T197" s="235"/>
      <c r="U197" s="139">
        <f t="shared" si="6"/>
        <v>0</v>
      </c>
      <c r="V197" s="139">
        <f t="shared" si="7"/>
        <v>0</v>
      </c>
    </row>
    <row r="198" spans="1:22" x14ac:dyDescent="0.2">
      <c r="A198" s="145" t="s">
        <v>181</v>
      </c>
      <c r="B198" s="146"/>
      <c r="C198" s="147">
        <v>4169950.84</v>
      </c>
      <c r="D198" s="148"/>
      <c r="E198" s="149"/>
      <c r="F198" s="148">
        <v>0</v>
      </c>
      <c r="G198" s="162">
        <v>4169950.84</v>
      </c>
      <c r="R198" s="139">
        <v>0</v>
      </c>
      <c r="S198" s="139">
        <v>4169950.84</v>
      </c>
      <c r="T198" s="235"/>
      <c r="U198" s="139">
        <f t="shared" si="6"/>
        <v>0</v>
      </c>
      <c r="V198" s="139">
        <f t="shared" si="7"/>
        <v>0</v>
      </c>
    </row>
    <row r="199" spans="1:22" x14ac:dyDescent="0.2">
      <c r="A199" s="145" t="s">
        <v>182</v>
      </c>
      <c r="B199" s="146"/>
      <c r="C199" s="147">
        <v>57877837.68</v>
      </c>
      <c r="D199" s="148"/>
      <c r="E199" s="149"/>
      <c r="F199" s="148">
        <v>0</v>
      </c>
      <c r="G199" s="162">
        <v>58625795.280000001</v>
      </c>
      <c r="H199" s="218"/>
      <c r="I199" s="218"/>
      <c r="J199" s="218"/>
      <c r="K199" s="218"/>
      <c r="L199" s="219"/>
      <c r="M199" s="218"/>
      <c r="N199" s="218"/>
      <c r="R199" s="139">
        <v>0</v>
      </c>
      <c r="S199" s="139">
        <v>58625795.280000001</v>
      </c>
      <c r="U199" s="219">
        <f t="shared" si="6"/>
        <v>0</v>
      </c>
      <c r="V199" s="219">
        <f t="shared" si="7"/>
        <v>0</v>
      </c>
    </row>
    <row r="200" spans="1:22" x14ac:dyDescent="0.2">
      <c r="A200" s="145" t="s">
        <v>183</v>
      </c>
      <c r="B200" s="146"/>
      <c r="C200" s="147">
        <v>2333858.63</v>
      </c>
      <c r="D200" s="148"/>
      <c r="E200" s="149"/>
      <c r="F200" s="148">
        <v>0</v>
      </c>
      <c r="G200" s="162">
        <v>2333858.63</v>
      </c>
      <c r="R200" s="139">
        <v>0</v>
      </c>
      <c r="S200" s="139">
        <v>2333858.63</v>
      </c>
      <c r="T200" s="235"/>
      <c r="U200" s="139">
        <f t="shared" si="6"/>
        <v>0</v>
      </c>
      <c r="V200" s="139">
        <f t="shared" si="7"/>
        <v>0</v>
      </c>
    </row>
    <row r="201" spans="1:22" x14ac:dyDescent="0.2">
      <c r="A201" s="145" t="s">
        <v>374</v>
      </c>
      <c r="B201" s="146"/>
      <c r="C201" s="147">
        <v>401640</v>
      </c>
      <c r="D201" s="148"/>
      <c r="E201" s="149"/>
      <c r="F201" s="148">
        <v>0</v>
      </c>
      <c r="G201" s="162">
        <v>401640</v>
      </c>
      <c r="R201" s="139">
        <v>0</v>
      </c>
      <c r="S201" s="139">
        <v>401640</v>
      </c>
      <c r="T201" s="235"/>
      <c r="U201" s="139">
        <f t="shared" si="6"/>
        <v>0</v>
      </c>
      <c r="V201" s="139">
        <f t="shared" si="7"/>
        <v>0</v>
      </c>
    </row>
    <row r="202" spans="1:22" x14ac:dyDescent="0.2">
      <c r="A202" s="145" t="s">
        <v>375</v>
      </c>
      <c r="B202" s="146"/>
      <c r="C202" s="147">
        <v>582317.5</v>
      </c>
      <c r="D202" s="148"/>
      <c r="E202" s="149"/>
      <c r="F202" s="148">
        <v>0</v>
      </c>
      <c r="G202" s="162">
        <v>582317.5</v>
      </c>
      <c r="R202" s="139">
        <v>0</v>
      </c>
      <c r="S202" s="139">
        <v>582317.5</v>
      </c>
      <c r="T202" s="235"/>
      <c r="U202" s="139">
        <f t="shared" si="6"/>
        <v>0</v>
      </c>
      <c r="V202" s="139">
        <f t="shared" si="7"/>
        <v>0</v>
      </c>
    </row>
    <row r="203" spans="1:22" x14ac:dyDescent="0.2">
      <c r="A203" s="145" t="s">
        <v>376</v>
      </c>
      <c r="B203" s="146">
        <v>178864.4</v>
      </c>
      <c r="C203" s="147"/>
      <c r="D203" s="148"/>
      <c r="E203" s="149"/>
      <c r="F203" s="162">
        <v>178864.4</v>
      </c>
      <c r="G203" s="148">
        <v>0</v>
      </c>
      <c r="R203" s="139">
        <v>178864.4</v>
      </c>
      <c r="S203" s="139">
        <v>0</v>
      </c>
      <c r="T203" s="235"/>
      <c r="U203" s="139">
        <f t="shared" si="6"/>
        <v>0</v>
      </c>
      <c r="V203" s="139">
        <f t="shared" si="7"/>
        <v>0</v>
      </c>
    </row>
    <row r="204" spans="1:22" x14ac:dyDescent="0.2">
      <c r="A204" s="145" t="s">
        <v>377</v>
      </c>
      <c r="B204" s="146">
        <v>1875</v>
      </c>
      <c r="C204" s="147"/>
      <c r="D204" s="148"/>
      <c r="E204" s="149"/>
      <c r="F204" s="162">
        <v>1875</v>
      </c>
      <c r="G204" s="148">
        <v>0</v>
      </c>
      <c r="R204" s="139">
        <v>1875</v>
      </c>
      <c r="S204" s="139">
        <v>0</v>
      </c>
      <c r="T204" s="235"/>
      <c r="U204" s="139">
        <f t="shared" si="6"/>
        <v>0</v>
      </c>
      <c r="V204" s="139">
        <f t="shared" si="7"/>
        <v>0</v>
      </c>
    </row>
    <row r="205" spans="1:22" x14ac:dyDescent="0.2">
      <c r="A205" s="145" t="s">
        <v>378</v>
      </c>
      <c r="B205" s="146">
        <v>378821.84</v>
      </c>
      <c r="C205" s="147"/>
      <c r="D205" s="148"/>
      <c r="E205" s="149"/>
      <c r="F205" s="162">
        <v>378821.84</v>
      </c>
      <c r="G205" s="148">
        <v>0</v>
      </c>
      <c r="R205" s="139">
        <v>378821.84</v>
      </c>
      <c r="S205" s="139">
        <v>0</v>
      </c>
      <c r="T205" s="235"/>
      <c r="U205" s="139">
        <f t="shared" si="6"/>
        <v>0</v>
      </c>
      <c r="V205" s="139">
        <f t="shared" si="7"/>
        <v>0</v>
      </c>
    </row>
    <row r="206" spans="1:22" x14ac:dyDescent="0.2">
      <c r="A206" s="145" t="s">
        <v>379</v>
      </c>
      <c r="B206" s="146">
        <v>199049</v>
      </c>
      <c r="C206" s="147"/>
      <c r="D206" s="148"/>
      <c r="E206" s="149"/>
      <c r="F206" s="162">
        <v>199049</v>
      </c>
      <c r="G206" s="148">
        <v>0</v>
      </c>
      <c r="R206" s="139">
        <v>199049</v>
      </c>
      <c r="S206" s="139">
        <v>0</v>
      </c>
      <c r="T206" s="235"/>
      <c r="U206" s="139">
        <f t="shared" si="6"/>
        <v>0</v>
      </c>
      <c r="V206" s="139">
        <f t="shared" si="7"/>
        <v>0</v>
      </c>
    </row>
    <row r="207" spans="1:22" x14ac:dyDescent="0.2">
      <c r="A207" s="145" t="s">
        <v>380</v>
      </c>
      <c r="B207" s="146">
        <v>45940</v>
      </c>
      <c r="C207" s="147"/>
      <c r="D207" s="148"/>
      <c r="E207" s="149"/>
      <c r="F207" s="162">
        <v>45940</v>
      </c>
      <c r="G207" s="148">
        <v>0</v>
      </c>
      <c r="R207" s="139">
        <v>45940</v>
      </c>
      <c r="S207" s="139">
        <v>0</v>
      </c>
      <c r="T207" s="235"/>
      <c r="U207" s="139">
        <f t="shared" si="6"/>
        <v>0</v>
      </c>
      <c r="V207" s="139">
        <f t="shared" si="7"/>
        <v>0</v>
      </c>
    </row>
    <row r="208" spans="1:22" x14ac:dyDescent="0.2">
      <c r="A208" s="145" t="s">
        <v>381</v>
      </c>
      <c r="B208" s="146">
        <v>118601</v>
      </c>
      <c r="C208" s="147"/>
      <c r="D208" s="148"/>
      <c r="E208" s="149"/>
      <c r="F208" s="162">
        <v>119036</v>
      </c>
      <c r="G208" s="148">
        <v>0</v>
      </c>
      <c r="H208" s="218"/>
      <c r="I208" s="218"/>
      <c r="J208" s="218"/>
      <c r="K208" s="218"/>
      <c r="L208" s="219"/>
      <c r="M208" s="218"/>
      <c r="N208" s="218"/>
      <c r="R208" s="139">
        <v>119036</v>
      </c>
      <c r="S208" s="139">
        <v>0</v>
      </c>
      <c r="U208" s="219">
        <f t="shared" si="6"/>
        <v>0</v>
      </c>
      <c r="V208" s="219">
        <f t="shared" si="7"/>
        <v>0</v>
      </c>
    </row>
    <row r="209" spans="1:24" x14ac:dyDescent="0.2">
      <c r="A209" s="145" t="s">
        <v>382</v>
      </c>
      <c r="B209" s="146">
        <v>51679.88</v>
      </c>
      <c r="C209" s="147"/>
      <c r="D209" s="148"/>
      <c r="E209" s="149"/>
      <c r="F209" s="162">
        <v>51679.88</v>
      </c>
      <c r="G209" s="148">
        <v>0</v>
      </c>
      <c r="R209" s="139">
        <v>51679.88</v>
      </c>
      <c r="S209" s="139">
        <v>0</v>
      </c>
      <c r="T209" s="235"/>
      <c r="U209" s="139">
        <f t="shared" si="6"/>
        <v>0</v>
      </c>
      <c r="V209" s="139">
        <f t="shared" si="7"/>
        <v>0</v>
      </c>
    </row>
    <row r="210" spans="1:24" x14ac:dyDescent="0.2">
      <c r="A210" s="145" t="s">
        <v>383</v>
      </c>
      <c r="B210" s="146">
        <v>167350</v>
      </c>
      <c r="C210" s="147"/>
      <c r="D210" s="148"/>
      <c r="E210" s="149"/>
      <c r="F210" s="162">
        <v>167350</v>
      </c>
      <c r="G210" s="148">
        <v>0</v>
      </c>
      <c r="R210" s="139">
        <v>167350</v>
      </c>
      <c r="S210" s="139">
        <v>0</v>
      </c>
      <c r="T210" s="235"/>
      <c r="U210" s="139">
        <f t="shared" si="6"/>
        <v>0</v>
      </c>
      <c r="V210" s="139">
        <f t="shared" si="7"/>
        <v>0</v>
      </c>
    </row>
    <row r="211" spans="1:24" x14ac:dyDescent="0.2">
      <c r="A211" s="145" t="s">
        <v>384</v>
      </c>
      <c r="B211" s="146">
        <v>14785</v>
      </c>
      <c r="C211" s="147"/>
      <c r="D211" s="148"/>
      <c r="E211" s="149"/>
      <c r="F211" s="162">
        <v>14785</v>
      </c>
      <c r="G211" s="148">
        <v>0</v>
      </c>
      <c r="R211" s="139">
        <v>14785</v>
      </c>
      <c r="S211" s="139">
        <v>0</v>
      </c>
      <c r="T211" s="235"/>
      <c r="U211" s="139">
        <f t="shared" si="6"/>
        <v>0</v>
      </c>
      <c r="V211" s="139">
        <f t="shared" si="7"/>
        <v>0</v>
      </c>
    </row>
    <row r="212" spans="1:24" x14ac:dyDescent="0.2">
      <c r="A212" s="145" t="s">
        <v>385</v>
      </c>
      <c r="B212" s="146">
        <v>80</v>
      </c>
      <c r="C212" s="147"/>
      <c r="D212" s="148"/>
      <c r="E212" s="149"/>
      <c r="F212" s="162">
        <v>80</v>
      </c>
      <c r="G212" s="148">
        <v>0</v>
      </c>
      <c r="R212" s="139">
        <v>80</v>
      </c>
      <c r="S212" s="139">
        <v>0</v>
      </c>
      <c r="T212" s="235"/>
      <c r="U212" s="139">
        <f t="shared" si="6"/>
        <v>0</v>
      </c>
      <c r="V212" s="139">
        <f t="shared" si="7"/>
        <v>0</v>
      </c>
    </row>
    <row r="213" spans="1:24" x14ac:dyDescent="0.2">
      <c r="A213" s="145" t="s">
        <v>386</v>
      </c>
      <c r="B213" s="146">
        <v>552</v>
      </c>
      <c r="C213" s="147"/>
      <c r="D213" s="148"/>
      <c r="E213" s="149"/>
      <c r="F213" s="162">
        <v>552</v>
      </c>
      <c r="G213" s="148">
        <v>0</v>
      </c>
      <c r="R213" s="139">
        <v>552</v>
      </c>
      <c r="S213" s="139">
        <v>0</v>
      </c>
      <c r="T213" s="235"/>
      <c r="U213" s="139">
        <f t="shared" si="6"/>
        <v>0</v>
      </c>
      <c r="V213" s="139">
        <f t="shared" si="7"/>
        <v>0</v>
      </c>
    </row>
    <row r="214" spans="1:24" x14ac:dyDescent="0.2">
      <c r="A214" s="145" t="s">
        <v>387</v>
      </c>
      <c r="B214" s="146">
        <v>641816.67000000004</v>
      </c>
      <c r="C214" s="147"/>
      <c r="D214" s="148"/>
      <c r="E214" s="149"/>
      <c r="F214" s="162">
        <v>641816.67000000004</v>
      </c>
      <c r="G214" s="148">
        <v>0</v>
      </c>
      <c r="R214" s="139">
        <v>641816.67000000004</v>
      </c>
      <c r="S214" s="139">
        <v>0</v>
      </c>
      <c r="T214" s="235"/>
      <c r="U214" s="139">
        <f t="shared" si="6"/>
        <v>0</v>
      </c>
      <c r="V214" s="139">
        <f t="shared" si="7"/>
        <v>0</v>
      </c>
    </row>
    <row r="215" spans="1:24" x14ac:dyDescent="0.2">
      <c r="A215" s="145" t="s">
        <v>388</v>
      </c>
      <c r="B215" s="146">
        <v>1135</v>
      </c>
      <c r="C215" s="147"/>
      <c r="D215" s="148"/>
      <c r="E215" s="149"/>
      <c r="F215" s="162">
        <v>1135</v>
      </c>
      <c r="G215" s="148">
        <v>0</v>
      </c>
      <c r="R215" s="139">
        <v>1135</v>
      </c>
      <c r="S215" s="139">
        <v>0</v>
      </c>
      <c r="T215" s="235"/>
      <c r="U215" s="139">
        <f t="shared" si="6"/>
        <v>0</v>
      </c>
      <c r="V215" s="139">
        <f t="shared" si="7"/>
        <v>0</v>
      </c>
    </row>
    <row r="216" spans="1:24" x14ac:dyDescent="0.2">
      <c r="A216" s="145" t="s">
        <v>548</v>
      </c>
      <c r="B216" s="146">
        <v>9041</v>
      </c>
      <c r="C216" s="147"/>
      <c r="D216" s="148"/>
      <c r="E216" s="149"/>
      <c r="F216" s="162">
        <v>9041</v>
      </c>
      <c r="G216" s="148">
        <v>0</v>
      </c>
      <c r="R216" s="139">
        <v>9041</v>
      </c>
      <c r="S216" s="139">
        <v>0</v>
      </c>
      <c r="T216" s="235"/>
      <c r="U216" s="139">
        <f t="shared" si="6"/>
        <v>0</v>
      </c>
      <c r="V216" s="139">
        <f t="shared" si="7"/>
        <v>0</v>
      </c>
    </row>
    <row r="217" spans="1:24" x14ac:dyDescent="0.2">
      <c r="A217" s="145" t="s">
        <v>549</v>
      </c>
      <c r="B217" s="146"/>
      <c r="C217" s="147">
        <v>189660</v>
      </c>
      <c r="D217" s="148"/>
      <c r="E217" s="149"/>
      <c r="F217" s="148">
        <v>0</v>
      </c>
      <c r="G217" s="162">
        <v>189660</v>
      </c>
      <c r="I217" s="150">
        <f>SUM(G193:G217)</f>
        <v>183971384.97999999</v>
      </c>
      <c r="R217" s="139">
        <v>0</v>
      </c>
      <c r="S217" s="139">
        <v>189660</v>
      </c>
      <c r="T217" s="235"/>
      <c r="U217" s="139">
        <f t="shared" si="6"/>
        <v>0</v>
      </c>
      <c r="V217" s="139">
        <f t="shared" si="7"/>
        <v>0</v>
      </c>
    </row>
    <row r="218" spans="1:24" x14ac:dyDescent="0.2">
      <c r="A218" s="145" t="s">
        <v>184</v>
      </c>
      <c r="B218" s="146">
        <v>0</v>
      </c>
      <c r="C218" s="147"/>
      <c r="D218" s="148"/>
      <c r="E218" s="149"/>
      <c r="F218" s="148">
        <v>0</v>
      </c>
      <c r="G218" s="148">
        <v>0</v>
      </c>
      <c r="I218" s="150">
        <f>SUM(F197:F216)</f>
        <v>1819508.79</v>
      </c>
      <c r="J218" s="150">
        <f>I217-I218</f>
        <v>182151876.19</v>
      </c>
      <c r="R218" s="139">
        <v>0</v>
      </c>
      <c r="S218" s="139">
        <v>0</v>
      </c>
      <c r="T218" s="235"/>
      <c r="U218" s="139">
        <f t="shared" si="6"/>
        <v>0</v>
      </c>
      <c r="V218" s="139">
        <f t="shared" si="7"/>
        <v>0</v>
      </c>
    </row>
    <row r="219" spans="1:24" x14ac:dyDescent="0.2">
      <c r="A219" s="145" t="s">
        <v>185</v>
      </c>
      <c r="B219" s="146">
        <v>1330509.8999999999</v>
      </c>
      <c r="C219" s="147"/>
      <c r="D219" s="148"/>
      <c r="E219" s="149"/>
      <c r="F219" s="162">
        <v>1330509.8999999999</v>
      </c>
      <c r="G219" s="148">
        <v>0</v>
      </c>
      <c r="J219" s="150">
        <f>SUM(F243:F247)</f>
        <v>50598825.630000003</v>
      </c>
      <c r="R219" s="139">
        <v>1330509.8999999999</v>
      </c>
      <c r="S219" s="139">
        <v>0</v>
      </c>
      <c r="T219" s="235"/>
      <c r="U219" s="139">
        <f t="shared" si="6"/>
        <v>0</v>
      </c>
      <c r="V219" s="139">
        <f t="shared" si="7"/>
        <v>0</v>
      </c>
    </row>
    <row r="220" spans="1:24" x14ac:dyDescent="0.2">
      <c r="A220" s="145" t="s">
        <v>186</v>
      </c>
      <c r="B220" s="146">
        <v>3240510.2</v>
      </c>
      <c r="C220" s="147"/>
      <c r="D220" s="148"/>
      <c r="E220" s="149"/>
      <c r="F220" s="162">
        <v>3240510.2</v>
      </c>
      <c r="G220" s="148">
        <v>0</v>
      </c>
      <c r="J220" s="150">
        <f>J218-J219</f>
        <v>131553050.56</v>
      </c>
      <c r="R220" s="139">
        <v>3240510.2</v>
      </c>
      <c r="S220" s="139">
        <v>0</v>
      </c>
      <c r="T220" s="235"/>
      <c r="U220" s="139">
        <f t="shared" si="6"/>
        <v>0</v>
      </c>
      <c r="V220" s="139">
        <f t="shared" si="7"/>
        <v>0</v>
      </c>
    </row>
    <row r="221" spans="1:24" x14ac:dyDescent="0.2">
      <c r="A221" s="145" t="s">
        <v>187</v>
      </c>
      <c r="B221" s="146"/>
      <c r="C221" s="147">
        <v>1463560.89</v>
      </c>
      <c r="D221" s="148"/>
      <c r="E221" s="149"/>
      <c r="F221" s="148">
        <v>0</v>
      </c>
      <c r="G221" s="162">
        <v>1886684.43</v>
      </c>
      <c r="H221" s="218"/>
      <c r="I221" s="218"/>
      <c r="J221" s="218"/>
      <c r="K221" s="218"/>
      <c r="L221" s="219"/>
      <c r="M221" s="218"/>
      <c r="N221" s="218"/>
      <c r="R221" s="139">
        <v>0</v>
      </c>
      <c r="S221" s="139">
        <v>1886684.43</v>
      </c>
      <c r="U221" s="219">
        <f t="shared" si="6"/>
        <v>0</v>
      </c>
      <c r="V221" s="219">
        <f t="shared" si="7"/>
        <v>0</v>
      </c>
    </row>
    <row r="222" spans="1:24" x14ac:dyDescent="0.2">
      <c r="A222" s="145" t="s">
        <v>188</v>
      </c>
      <c r="B222" s="146"/>
      <c r="C222" s="147">
        <v>3564561.22</v>
      </c>
      <c r="D222" s="148"/>
      <c r="E222" s="149"/>
      <c r="F222" s="148">
        <v>0</v>
      </c>
      <c r="G222" s="162">
        <v>5256657.1500000004</v>
      </c>
      <c r="H222" s="218"/>
      <c r="I222" s="218"/>
      <c r="J222" s="218"/>
      <c r="K222" s="218"/>
      <c r="L222" s="219"/>
      <c r="M222" s="218"/>
      <c r="N222" s="218"/>
      <c r="R222" s="139">
        <v>0</v>
      </c>
      <c r="S222" s="139">
        <v>5256657.1500000004</v>
      </c>
      <c r="U222" s="219">
        <f t="shared" si="6"/>
        <v>0</v>
      </c>
      <c r="V222" s="219">
        <f t="shared" si="7"/>
        <v>0</v>
      </c>
    </row>
    <row r="223" spans="1:24" x14ac:dyDescent="0.2">
      <c r="A223" s="155" t="s">
        <v>639</v>
      </c>
      <c r="B223" s="146"/>
      <c r="C223" s="147"/>
      <c r="D223" s="148"/>
      <c r="E223" s="149"/>
      <c r="F223" s="148"/>
      <c r="G223" s="162">
        <v>1006439</v>
      </c>
      <c r="H223" s="218"/>
      <c r="I223" s="218"/>
      <c r="J223" s="218"/>
      <c r="K223" s="218"/>
      <c r="L223" s="219"/>
      <c r="M223" s="218"/>
      <c r="N223" s="218"/>
      <c r="S223" s="139">
        <v>1006439</v>
      </c>
      <c r="U223" s="219">
        <f t="shared" si="6"/>
        <v>0</v>
      </c>
      <c r="V223" s="219">
        <f t="shared" si="7"/>
        <v>0</v>
      </c>
      <c r="X223" s="150">
        <f>V222-V223</f>
        <v>0</v>
      </c>
    </row>
    <row r="224" spans="1:24" x14ac:dyDescent="0.2">
      <c r="A224" s="155" t="s">
        <v>640</v>
      </c>
      <c r="B224" s="146"/>
      <c r="C224" s="147"/>
      <c r="D224" s="148"/>
      <c r="E224" s="149"/>
      <c r="F224" s="148"/>
      <c r="G224" s="162">
        <v>762423</v>
      </c>
      <c r="H224" s="218"/>
      <c r="I224" s="218"/>
      <c r="J224" s="218"/>
      <c r="K224" s="218"/>
      <c r="L224" s="219"/>
      <c r="M224" s="218"/>
      <c r="N224" s="218"/>
      <c r="S224" s="139">
        <v>762423</v>
      </c>
      <c r="U224" s="219">
        <f t="shared" si="6"/>
        <v>0</v>
      </c>
      <c r="V224" s="219">
        <f t="shared" si="7"/>
        <v>0</v>
      </c>
    </row>
    <row r="225" spans="1:22" x14ac:dyDescent="0.2">
      <c r="A225" s="145" t="s">
        <v>189</v>
      </c>
      <c r="B225" s="146">
        <v>35722181.710000001</v>
      </c>
      <c r="C225" s="147"/>
      <c r="D225" s="148"/>
      <c r="E225" s="149"/>
      <c r="F225" s="162">
        <v>35722181.710000001</v>
      </c>
      <c r="G225" s="148">
        <v>0</v>
      </c>
      <c r="K225" s="150"/>
      <c r="R225" s="139">
        <v>35722181.710000001</v>
      </c>
      <c r="S225" s="139">
        <v>0</v>
      </c>
      <c r="T225" s="235"/>
      <c r="U225" s="139">
        <f t="shared" si="6"/>
        <v>0</v>
      </c>
      <c r="V225" s="139">
        <f t="shared" si="7"/>
        <v>0</v>
      </c>
    </row>
    <row r="226" spans="1:22" x14ac:dyDescent="0.2">
      <c r="A226" s="145" t="s">
        <v>550</v>
      </c>
      <c r="B226" s="146">
        <v>7625</v>
      </c>
      <c r="C226" s="147"/>
      <c r="D226" s="148"/>
      <c r="E226" s="149"/>
      <c r="F226" s="162">
        <v>7625</v>
      </c>
      <c r="G226" s="148">
        <v>0</v>
      </c>
      <c r="K226" s="150"/>
      <c r="R226" s="139">
        <v>7625</v>
      </c>
      <c r="S226" s="139">
        <v>0</v>
      </c>
      <c r="T226" s="235"/>
      <c r="U226" s="139">
        <f t="shared" si="6"/>
        <v>0</v>
      </c>
      <c r="V226" s="139">
        <f t="shared" si="7"/>
        <v>0</v>
      </c>
    </row>
    <row r="227" spans="1:22" x14ac:dyDescent="0.2">
      <c r="A227" s="145" t="s">
        <v>190</v>
      </c>
      <c r="B227" s="146">
        <v>2119081.48</v>
      </c>
      <c r="C227" s="147"/>
      <c r="D227" s="148"/>
      <c r="E227" s="149"/>
      <c r="F227" s="162">
        <v>2119081.48</v>
      </c>
      <c r="G227" s="148">
        <v>0</v>
      </c>
      <c r="J227" s="150">
        <f>SUM(F225:F257)</f>
        <v>110745798.98</v>
      </c>
      <c r="K227" s="150"/>
      <c r="R227" s="139">
        <v>2119081.48</v>
      </c>
      <c r="S227" s="139">
        <v>0</v>
      </c>
      <c r="T227" s="235"/>
      <c r="U227" s="139">
        <f t="shared" si="6"/>
        <v>0</v>
      </c>
      <c r="V227" s="139">
        <f t="shared" si="7"/>
        <v>0</v>
      </c>
    </row>
    <row r="228" spans="1:22" x14ac:dyDescent="0.2">
      <c r="A228" s="145" t="s">
        <v>191</v>
      </c>
      <c r="B228" s="146">
        <v>182700</v>
      </c>
      <c r="C228" s="147"/>
      <c r="D228" s="148"/>
      <c r="E228" s="149"/>
      <c r="F228" s="162">
        <v>182700</v>
      </c>
      <c r="G228" s="148">
        <v>0</v>
      </c>
      <c r="I228" s="150">
        <f>SUM(F219:F220)</f>
        <v>4571020.0999999996</v>
      </c>
      <c r="J228" s="150">
        <f>J227-J219</f>
        <v>60146973.350000001</v>
      </c>
      <c r="R228" s="139">
        <v>182700</v>
      </c>
      <c r="S228" s="139">
        <v>0</v>
      </c>
      <c r="T228" s="235"/>
      <c r="U228" s="139">
        <f t="shared" si="6"/>
        <v>0</v>
      </c>
      <c r="V228" s="139">
        <f t="shared" si="7"/>
        <v>0</v>
      </c>
    </row>
    <row r="229" spans="1:22" x14ac:dyDescent="0.2">
      <c r="A229" s="145" t="s">
        <v>192</v>
      </c>
      <c r="B229" s="146">
        <v>4412171.8</v>
      </c>
      <c r="C229" s="147"/>
      <c r="D229" s="148"/>
      <c r="E229" s="149"/>
      <c r="F229" s="162">
        <v>4412171.8</v>
      </c>
      <c r="G229" s="148">
        <v>0</v>
      </c>
      <c r="I229" s="150">
        <f>SUM(G221:G222)</f>
        <v>7143341.5800000001</v>
      </c>
      <c r="J229" s="179" t="e">
        <f>'1-4'!#REF!</f>
        <v>#REF!</v>
      </c>
      <c r="R229" s="139">
        <v>4412171.8</v>
      </c>
      <c r="S229" s="139">
        <v>0</v>
      </c>
      <c r="T229" s="235"/>
      <c r="U229" s="139">
        <f t="shared" si="6"/>
        <v>0</v>
      </c>
      <c r="V229" s="139">
        <f t="shared" si="7"/>
        <v>0</v>
      </c>
    </row>
    <row r="230" spans="1:22" x14ac:dyDescent="0.2">
      <c r="A230" s="240" t="s">
        <v>551</v>
      </c>
      <c r="B230" s="146">
        <v>106393.81</v>
      </c>
      <c r="C230" s="147"/>
      <c r="D230" s="148"/>
      <c r="E230" s="149"/>
      <c r="F230" s="162">
        <v>106393.81</v>
      </c>
      <c r="G230" s="148">
        <v>0</v>
      </c>
      <c r="I230" s="150">
        <f>I228-I229</f>
        <v>-2572321.4800000004</v>
      </c>
      <c r="J230" s="150" t="e">
        <f>J228-J229</f>
        <v>#REF!</v>
      </c>
      <c r="R230" s="139">
        <v>106393.81</v>
      </c>
      <c r="S230" s="139">
        <v>0</v>
      </c>
      <c r="T230" s="235"/>
      <c r="U230" s="139">
        <f t="shared" si="6"/>
        <v>0</v>
      </c>
      <c r="V230" s="139">
        <f t="shared" si="7"/>
        <v>0</v>
      </c>
    </row>
    <row r="231" spans="1:22" ht="13.5" thickBot="1" x14ac:dyDescent="0.25">
      <c r="A231" s="240" t="s">
        <v>552</v>
      </c>
      <c r="B231" s="245">
        <v>2376839.11</v>
      </c>
      <c r="C231" s="152"/>
      <c r="D231" s="153"/>
      <c r="E231" s="154"/>
      <c r="F231" s="162">
        <v>2376839.11</v>
      </c>
      <c r="G231" s="148">
        <v>0</v>
      </c>
      <c r="R231" s="139">
        <v>2376839.11</v>
      </c>
      <c r="S231" s="139">
        <v>0</v>
      </c>
      <c r="T231" s="235"/>
      <c r="U231" s="139">
        <f t="shared" si="6"/>
        <v>0</v>
      </c>
      <c r="V231" s="139">
        <f t="shared" si="7"/>
        <v>0</v>
      </c>
    </row>
    <row r="232" spans="1:22" x14ac:dyDescent="0.2">
      <c r="A232" s="193" t="s">
        <v>193</v>
      </c>
      <c r="B232" s="246">
        <v>109160</v>
      </c>
      <c r="C232" s="195"/>
      <c r="D232" s="196"/>
      <c r="E232" s="197"/>
      <c r="F232" s="162">
        <v>109160</v>
      </c>
      <c r="G232" s="148">
        <v>0</v>
      </c>
      <c r="R232" s="139">
        <v>109160</v>
      </c>
      <c r="S232" s="139">
        <v>0</v>
      </c>
      <c r="T232" s="235"/>
      <c r="U232" s="139">
        <f t="shared" si="6"/>
        <v>0</v>
      </c>
      <c r="V232" s="139">
        <f t="shared" si="7"/>
        <v>0</v>
      </c>
    </row>
    <row r="233" spans="1:22" x14ac:dyDescent="0.2">
      <c r="A233" s="199" t="s">
        <v>553</v>
      </c>
      <c r="B233" s="244">
        <v>484970</v>
      </c>
      <c r="C233" s="147"/>
      <c r="D233" s="148"/>
      <c r="E233" s="149"/>
      <c r="F233" s="162">
        <v>484970</v>
      </c>
      <c r="G233" s="148">
        <v>0</v>
      </c>
      <c r="R233" s="139">
        <v>484970</v>
      </c>
      <c r="S233" s="139">
        <v>0</v>
      </c>
      <c r="T233" s="235"/>
      <c r="U233" s="139">
        <f t="shared" si="6"/>
        <v>0</v>
      </c>
      <c r="V233" s="139">
        <f t="shared" si="7"/>
        <v>0</v>
      </c>
    </row>
    <row r="234" spans="1:22" x14ac:dyDescent="0.2">
      <c r="A234" s="199" t="s">
        <v>554</v>
      </c>
      <c r="B234" s="244">
        <v>79214</v>
      </c>
      <c r="C234" s="147"/>
      <c r="D234" s="148"/>
      <c r="E234" s="149"/>
      <c r="F234" s="162">
        <v>79214</v>
      </c>
      <c r="G234" s="148">
        <v>0</v>
      </c>
      <c r="R234" s="139">
        <v>79214</v>
      </c>
      <c r="S234" s="139">
        <v>0</v>
      </c>
      <c r="T234" s="235"/>
      <c r="U234" s="139">
        <f t="shared" si="6"/>
        <v>0</v>
      </c>
      <c r="V234" s="139">
        <f t="shared" si="7"/>
        <v>0</v>
      </c>
    </row>
    <row r="235" spans="1:22" x14ac:dyDescent="0.2">
      <c r="A235" s="199" t="s">
        <v>555</v>
      </c>
      <c r="B235" s="244">
        <v>44400</v>
      </c>
      <c r="C235" s="147"/>
      <c r="D235" s="148"/>
      <c r="E235" s="149"/>
      <c r="F235" s="162">
        <v>44400</v>
      </c>
      <c r="G235" s="148">
        <v>0</v>
      </c>
      <c r="R235" s="139">
        <v>44400</v>
      </c>
      <c r="S235" s="139">
        <v>0</v>
      </c>
      <c r="T235" s="235"/>
      <c r="U235" s="139">
        <f t="shared" si="6"/>
        <v>0</v>
      </c>
      <c r="V235" s="139">
        <f t="shared" si="7"/>
        <v>0</v>
      </c>
    </row>
    <row r="236" spans="1:22" x14ac:dyDescent="0.2">
      <c r="A236" s="199" t="s">
        <v>556</v>
      </c>
      <c r="B236" s="244">
        <v>60557</v>
      </c>
      <c r="C236" s="147"/>
      <c r="D236" s="148"/>
      <c r="E236" s="149"/>
      <c r="F236" s="162">
        <v>60557</v>
      </c>
      <c r="G236" s="148">
        <v>0</v>
      </c>
      <c r="I236" s="150"/>
      <c r="R236" s="139">
        <v>60557</v>
      </c>
      <c r="S236" s="139">
        <v>0</v>
      </c>
      <c r="T236" s="235"/>
      <c r="U236" s="139">
        <f t="shared" si="6"/>
        <v>0</v>
      </c>
      <c r="V236" s="139">
        <f t="shared" si="7"/>
        <v>0</v>
      </c>
    </row>
    <row r="237" spans="1:22" x14ac:dyDescent="0.2">
      <c r="A237" s="199" t="s">
        <v>557</v>
      </c>
      <c r="B237" s="244">
        <v>31700</v>
      </c>
      <c r="C237" s="147"/>
      <c r="D237" s="148"/>
      <c r="E237" s="149"/>
      <c r="F237" s="162">
        <v>31700</v>
      </c>
      <c r="G237" s="148">
        <v>0</v>
      </c>
      <c r="I237" s="150"/>
      <c r="R237" s="139">
        <v>31700</v>
      </c>
      <c r="S237" s="139">
        <v>0</v>
      </c>
      <c r="T237" s="235"/>
      <c r="U237" s="139">
        <f t="shared" si="6"/>
        <v>0</v>
      </c>
      <c r="V237" s="139">
        <f t="shared" si="7"/>
        <v>0</v>
      </c>
    </row>
    <row r="238" spans="1:22" x14ac:dyDescent="0.2">
      <c r="A238" s="199" t="s">
        <v>558</v>
      </c>
      <c r="B238" s="244">
        <v>545</v>
      </c>
      <c r="C238" s="147"/>
      <c r="D238" s="148"/>
      <c r="E238" s="149"/>
      <c r="F238" s="162">
        <v>545</v>
      </c>
      <c r="G238" s="148">
        <v>0</v>
      </c>
      <c r="I238" s="150"/>
      <c r="R238" s="139">
        <v>545</v>
      </c>
      <c r="S238" s="139">
        <v>0</v>
      </c>
      <c r="T238" s="235"/>
      <c r="U238" s="139">
        <f t="shared" si="6"/>
        <v>0</v>
      </c>
      <c r="V238" s="139">
        <f t="shared" si="7"/>
        <v>0</v>
      </c>
    </row>
    <row r="239" spans="1:22" x14ac:dyDescent="0.2">
      <c r="A239" s="199" t="s">
        <v>559</v>
      </c>
      <c r="B239" s="244">
        <v>231546</v>
      </c>
      <c r="C239" s="147"/>
      <c r="D239" s="148"/>
      <c r="E239" s="149"/>
      <c r="F239" s="162">
        <v>231546</v>
      </c>
      <c r="G239" s="148">
        <v>0</v>
      </c>
      <c r="I239" s="150"/>
      <c r="R239" s="139">
        <v>231546</v>
      </c>
      <c r="S239" s="139">
        <v>0</v>
      </c>
      <c r="T239" s="235"/>
      <c r="U239" s="139">
        <f t="shared" si="6"/>
        <v>0</v>
      </c>
      <c r="V239" s="139">
        <f t="shared" si="7"/>
        <v>0</v>
      </c>
    </row>
    <row r="240" spans="1:22" x14ac:dyDescent="0.2">
      <c r="A240" s="199" t="s">
        <v>560</v>
      </c>
      <c r="B240" s="244">
        <v>238500</v>
      </c>
      <c r="C240" s="147"/>
      <c r="D240" s="148"/>
      <c r="E240" s="149"/>
      <c r="F240" s="162">
        <v>238500</v>
      </c>
      <c r="G240" s="148">
        <v>0</v>
      </c>
      <c r="I240" s="150"/>
      <c r="R240" s="139">
        <v>238500</v>
      </c>
      <c r="S240" s="139">
        <v>0</v>
      </c>
      <c r="T240" s="235"/>
      <c r="U240" s="139">
        <f t="shared" si="6"/>
        <v>0</v>
      </c>
      <c r="V240" s="139">
        <f t="shared" si="7"/>
        <v>0</v>
      </c>
    </row>
    <row r="241" spans="1:22" x14ac:dyDescent="0.2">
      <c r="A241" s="199" t="s">
        <v>561</v>
      </c>
      <c r="B241" s="244">
        <v>1138500.8400000001</v>
      </c>
      <c r="C241" s="147"/>
      <c r="D241" s="148"/>
      <c r="E241" s="149"/>
      <c r="F241" s="162">
        <v>1138500.8400000001</v>
      </c>
      <c r="G241" s="148">
        <v>0</v>
      </c>
      <c r="I241" s="179"/>
      <c r="R241" s="139">
        <v>1138500.8400000001</v>
      </c>
      <c r="S241" s="139">
        <v>0</v>
      </c>
      <c r="T241" s="235"/>
      <c r="U241" s="139">
        <f t="shared" si="6"/>
        <v>0</v>
      </c>
      <c r="V241" s="139">
        <f t="shared" si="7"/>
        <v>0</v>
      </c>
    </row>
    <row r="242" spans="1:22" ht="13.5" thickBot="1" x14ac:dyDescent="0.25">
      <c r="A242" s="201" t="s">
        <v>292</v>
      </c>
      <c r="B242" s="247">
        <v>2652061.88</v>
      </c>
      <c r="C242" s="203"/>
      <c r="D242" s="204"/>
      <c r="E242" s="205"/>
      <c r="F242" s="162">
        <v>2652061.88</v>
      </c>
      <c r="G242" s="148">
        <v>0</v>
      </c>
      <c r="I242" s="179"/>
      <c r="R242" s="139">
        <v>2652061.88</v>
      </c>
      <c r="S242" s="139">
        <v>0</v>
      </c>
      <c r="T242" s="235"/>
      <c r="U242" s="139">
        <f t="shared" si="6"/>
        <v>0</v>
      </c>
      <c r="V242" s="139">
        <f t="shared" si="7"/>
        <v>0</v>
      </c>
    </row>
    <row r="243" spans="1:22" x14ac:dyDescent="0.2">
      <c r="A243" s="188" t="s">
        <v>389</v>
      </c>
      <c r="B243" s="189">
        <v>42866880.390000001</v>
      </c>
      <c r="C243" s="190"/>
      <c r="D243" s="191"/>
      <c r="E243" s="192"/>
      <c r="F243" s="162">
        <v>42866880.390000001</v>
      </c>
      <c r="G243" s="148">
        <v>0</v>
      </c>
      <c r="I243" s="150"/>
      <c r="R243" s="139">
        <v>42866880.390000001</v>
      </c>
      <c r="S243" s="139">
        <v>0</v>
      </c>
      <c r="T243" s="235"/>
      <c r="U243" s="139">
        <f t="shared" si="6"/>
        <v>0</v>
      </c>
      <c r="V243" s="139">
        <f t="shared" si="7"/>
        <v>0</v>
      </c>
    </row>
    <row r="244" spans="1:22" x14ac:dyDescent="0.2">
      <c r="A244" s="145" t="s">
        <v>390</v>
      </c>
      <c r="B244" s="146">
        <v>5694173.9800000004</v>
      </c>
      <c r="C244" s="147"/>
      <c r="D244" s="148"/>
      <c r="E244" s="149"/>
      <c r="F244" s="162">
        <v>5694173.9800000004</v>
      </c>
      <c r="G244" s="148">
        <v>0</v>
      </c>
      <c r="R244" s="139">
        <v>5694173.9800000004</v>
      </c>
      <c r="S244" s="139">
        <v>0</v>
      </c>
      <c r="T244" s="235"/>
      <c r="U244" s="139">
        <f t="shared" si="6"/>
        <v>0</v>
      </c>
      <c r="V244" s="139">
        <f t="shared" si="7"/>
        <v>0</v>
      </c>
    </row>
    <row r="245" spans="1:22" x14ac:dyDescent="0.2">
      <c r="A245" s="145" t="s">
        <v>391</v>
      </c>
      <c r="B245" s="146">
        <v>1054732.6000000001</v>
      </c>
      <c r="C245" s="147"/>
      <c r="D245" s="148"/>
      <c r="E245" s="149"/>
      <c r="F245" s="162">
        <v>1054732.6000000001</v>
      </c>
      <c r="G245" s="148">
        <v>0</v>
      </c>
      <c r="R245" s="139">
        <v>1054732.6000000001</v>
      </c>
      <c r="S245" s="139">
        <v>0</v>
      </c>
      <c r="T245" s="235"/>
      <c r="U245" s="139">
        <f t="shared" si="6"/>
        <v>0</v>
      </c>
      <c r="V245" s="139">
        <f t="shared" si="7"/>
        <v>0</v>
      </c>
    </row>
    <row r="246" spans="1:22" x14ac:dyDescent="0.2">
      <c r="A246" s="145" t="s">
        <v>194</v>
      </c>
      <c r="B246" s="146">
        <v>624152.80000000005</v>
      </c>
      <c r="C246" s="147"/>
      <c r="D246" s="148"/>
      <c r="E246" s="149"/>
      <c r="F246" s="162">
        <v>624152.80000000005</v>
      </c>
      <c r="G246" s="148">
        <v>0</v>
      </c>
      <c r="R246" s="139">
        <v>624152.80000000005</v>
      </c>
      <c r="S246" s="139">
        <v>0</v>
      </c>
      <c r="T246" s="235"/>
      <c r="U246" s="139">
        <f t="shared" si="6"/>
        <v>0</v>
      </c>
      <c r="V246" s="139">
        <f t="shared" si="7"/>
        <v>0</v>
      </c>
    </row>
    <row r="247" spans="1:22" x14ac:dyDescent="0.2">
      <c r="A247" s="145" t="s">
        <v>195</v>
      </c>
      <c r="B247" s="146">
        <v>358885.86</v>
      </c>
      <c r="C247" s="147"/>
      <c r="D247" s="148"/>
      <c r="E247" s="149"/>
      <c r="F247" s="162">
        <v>358885.86</v>
      </c>
      <c r="G247" s="148">
        <v>0</v>
      </c>
      <c r="R247" s="139">
        <v>358885.86</v>
      </c>
      <c r="S247" s="139">
        <v>0</v>
      </c>
      <c r="T247" s="235"/>
      <c r="U247" s="139">
        <f t="shared" si="6"/>
        <v>0</v>
      </c>
      <c r="V247" s="139">
        <f t="shared" si="7"/>
        <v>0</v>
      </c>
    </row>
    <row r="248" spans="1:22" x14ac:dyDescent="0.2">
      <c r="A248" s="145" t="s">
        <v>196</v>
      </c>
      <c r="B248" s="146">
        <v>5545262.4500000002</v>
      </c>
      <c r="C248" s="147"/>
      <c r="D248" s="148"/>
      <c r="E248" s="149"/>
      <c r="F248" s="162">
        <v>5545262.4500000002</v>
      </c>
      <c r="G248" s="148">
        <v>0</v>
      </c>
      <c r="R248" s="139">
        <v>5545262.4500000002</v>
      </c>
      <c r="S248" s="139">
        <v>0</v>
      </c>
      <c r="T248" s="235"/>
      <c r="U248" s="139">
        <f t="shared" si="6"/>
        <v>0</v>
      </c>
      <c r="V248" s="139">
        <f t="shared" si="7"/>
        <v>0</v>
      </c>
    </row>
    <row r="249" spans="1:22" x14ac:dyDescent="0.2">
      <c r="A249" s="145" t="s">
        <v>197</v>
      </c>
      <c r="B249" s="146">
        <v>629339.55000000005</v>
      </c>
      <c r="C249" s="147"/>
      <c r="D249" s="148"/>
      <c r="E249" s="149"/>
      <c r="F249" s="162">
        <v>629339.55000000005</v>
      </c>
      <c r="G249" s="148">
        <v>0</v>
      </c>
      <c r="R249" s="139">
        <v>629339.55000000005</v>
      </c>
      <c r="S249" s="139">
        <v>0</v>
      </c>
      <c r="T249" s="235"/>
      <c r="U249" s="139">
        <f t="shared" si="6"/>
        <v>0</v>
      </c>
      <c r="V249" s="139">
        <f t="shared" si="7"/>
        <v>0</v>
      </c>
    </row>
    <row r="250" spans="1:22" x14ac:dyDescent="0.2">
      <c r="A250" s="145" t="s">
        <v>198</v>
      </c>
      <c r="B250" s="146">
        <v>157679.89000000001</v>
      </c>
      <c r="C250" s="147"/>
      <c r="D250" s="148"/>
      <c r="E250" s="149"/>
      <c r="F250" s="162">
        <v>157679.89000000001</v>
      </c>
      <c r="G250" s="148">
        <v>0</v>
      </c>
      <c r="R250" s="139">
        <v>157679.89000000001</v>
      </c>
      <c r="S250" s="139">
        <v>0</v>
      </c>
      <c r="T250" s="235"/>
      <c r="U250" s="139">
        <f t="shared" si="6"/>
        <v>0</v>
      </c>
      <c r="V250" s="139">
        <f t="shared" si="7"/>
        <v>0</v>
      </c>
    </row>
    <row r="251" spans="1:22" x14ac:dyDescent="0.2">
      <c r="A251" s="145" t="s">
        <v>199</v>
      </c>
      <c r="B251" s="146">
        <v>1503443.35</v>
      </c>
      <c r="C251" s="147"/>
      <c r="D251" s="148"/>
      <c r="E251" s="149"/>
      <c r="F251" s="162">
        <v>1503443.35</v>
      </c>
      <c r="G251" s="148">
        <v>0</v>
      </c>
      <c r="R251" s="139">
        <v>1503443.35</v>
      </c>
      <c r="S251" s="139">
        <v>0</v>
      </c>
      <c r="T251" s="235"/>
      <c r="U251" s="139">
        <f t="shared" si="6"/>
        <v>0</v>
      </c>
      <c r="V251" s="139">
        <f t="shared" si="7"/>
        <v>0</v>
      </c>
    </row>
    <row r="252" spans="1:22" x14ac:dyDescent="0.2">
      <c r="A252" s="145" t="s">
        <v>200</v>
      </c>
      <c r="B252" s="146">
        <v>1344001.98</v>
      </c>
      <c r="C252" s="147"/>
      <c r="D252" s="148"/>
      <c r="E252" s="149"/>
      <c r="F252" s="162">
        <v>1344001.98</v>
      </c>
      <c r="G252" s="148">
        <v>0</v>
      </c>
      <c r="R252" s="139">
        <v>1344001.98</v>
      </c>
      <c r="S252" s="139">
        <v>0</v>
      </c>
      <c r="T252" s="235"/>
      <c r="U252" s="139">
        <f t="shared" si="6"/>
        <v>0</v>
      </c>
      <c r="V252" s="139">
        <f t="shared" si="7"/>
        <v>0</v>
      </c>
    </row>
    <row r="253" spans="1:22" x14ac:dyDescent="0.2">
      <c r="A253" s="145" t="s">
        <v>201</v>
      </c>
      <c r="B253" s="146">
        <v>939983.5</v>
      </c>
      <c r="C253" s="147"/>
      <c r="D253" s="148"/>
      <c r="E253" s="149"/>
      <c r="F253" s="162">
        <v>939983.5</v>
      </c>
      <c r="G253" s="148">
        <v>0</v>
      </c>
      <c r="R253" s="139">
        <v>939983.5</v>
      </c>
      <c r="S253" s="139">
        <v>0</v>
      </c>
      <c r="T253" s="235"/>
      <c r="U253" s="139">
        <f t="shared" si="6"/>
        <v>0</v>
      </c>
      <c r="V253" s="139">
        <f t="shared" si="7"/>
        <v>0</v>
      </c>
    </row>
    <row r="254" spans="1:22" x14ac:dyDescent="0.2">
      <c r="A254" s="145" t="s">
        <v>392</v>
      </c>
      <c r="B254" s="146">
        <v>15915</v>
      </c>
      <c r="C254" s="147"/>
      <c r="D254" s="148"/>
      <c r="E254" s="149"/>
      <c r="F254" s="162">
        <v>15915</v>
      </c>
      <c r="G254" s="148">
        <v>0</v>
      </c>
      <c r="R254" s="139">
        <v>15915</v>
      </c>
      <c r="S254" s="139">
        <v>0</v>
      </c>
      <c r="T254" s="235"/>
      <c r="U254" s="139">
        <f t="shared" si="6"/>
        <v>0</v>
      </c>
      <c r="V254" s="139">
        <f t="shared" si="7"/>
        <v>0</v>
      </c>
    </row>
    <row r="255" spans="1:22" x14ac:dyDescent="0.2">
      <c r="A255" s="145" t="s">
        <v>202</v>
      </c>
      <c r="B255" s="146">
        <v>400</v>
      </c>
      <c r="C255" s="147"/>
      <c r="D255" s="148"/>
      <c r="E255" s="149"/>
      <c r="F255" s="162">
        <v>400</v>
      </c>
      <c r="G255" s="148">
        <v>0</v>
      </c>
      <c r="R255" s="139">
        <v>400</v>
      </c>
      <c r="S255" s="139">
        <v>0</v>
      </c>
      <c r="T255" s="235"/>
      <c r="U255" s="139">
        <f t="shared" si="6"/>
        <v>0</v>
      </c>
      <c r="V255" s="139">
        <f t="shared" si="7"/>
        <v>0</v>
      </c>
    </row>
    <row r="256" spans="1:22" x14ac:dyDescent="0.2">
      <c r="A256" s="145" t="s">
        <v>203</v>
      </c>
      <c r="B256" s="146">
        <v>12400</v>
      </c>
      <c r="C256" s="147"/>
      <c r="D256" s="148"/>
      <c r="E256" s="149"/>
      <c r="F256" s="162">
        <v>12400</v>
      </c>
      <c r="G256" s="148">
        <v>0</v>
      </c>
      <c r="R256" s="139">
        <v>12400</v>
      </c>
      <c r="S256" s="139">
        <v>0</v>
      </c>
      <c r="T256" s="235"/>
      <c r="U256" s="139">
        <f t="shared" si="6"/>
        <v>0</v>
      </c>
      <c r="V256" s="139">
        <f t="shared" si="7"/>
        <v>0</v>
      </c>
    </row>
    <row r="257" spans="1:22" x14ac:dyDescent="0.2">
      <c r="A257" s="145" t="s">
        <v>204</v>
      </c>
      <c r="B257" s="146">
        <v>400</v>
      </c>
      <c r="C257" s="147"/>
      <c r="D257" s="148"/>
      <c r="E257" s="149"/>
      <c r="F257" s="162">
        <v>400</v>
      </c>
      <c r="G257" s="148">
        <v>0</v>
      </c>
      <c r="R257" s="139">
        <v>400</v>
      </c>
      <c r="S257" s="139">
        <v>0</v>
      </c>
      <c r="T257" s="235"/>
      <c r="U257" s="139">
        <f t="shared" si="6"/>
        <v>0</v>
      </c>
      <c r="V257" s="139">
        <f t="shared" si="7"/>
        <v>0</v>
      </c>
    </row>
    <row r="258" spans="1:22" x14ac:dyDescent="0.2">
      <c r="A258" s="145" t="s">
        <v>393</v>
      </c>
      <c r="B258" s="146">
        <v>90000</v>
      </c>
      <c r="C258" s="147"/>
      <c r="D258" s="148"/>
      <c r="E258" s="149"/>
      <c r="F258" s="148">
        <v>90000</v>
      </c>
      <c r="G258" s="148">
        <v>0</v>
      </c>
      <c r="O258" s="139">
        <f t="shared" ref="O258:O321" si="8">B258-F258</f>
        <v>0</v>
      </c>
      <c r="P258" s="139">
        <f t="shared" ref="P258:P321" si="9">C258-G258</f>
        <v>0</v>
      </c>
      <c r="R258" s="139">
        <v>90000</v>
      </c>
      <c r="S258" s="139">
        <v>0</v>
      </c>
      <c r="T258" s="235"/>
      <c r="U258" s="139">
        <f t="shared" si="6"/>
        <v>0</v>
      </c>
      <c r="V258" s="139">
        <f t="shared" si="7"/>
        <v>0</v>
      </c>
    </row>
    <row r="259" spans="1:22" x14ac:dyDescent="0.2">
      <c r="A259" s="145" t="s">
        <v>394</v>
      </c>
      <c r="B259" s="146">
        <v>403346.27</v>
      </c>
      <c r="C259" s="147"/>
      <c r="D259" s="148"/>
      <c r="E259" s="149"/>
      <c r="F259" s="148">
        <v>403346.27</v>
      </c>
      <c r="G259" s="148">
        <v>0</v>
      </c>
      <c r="O259" s="139">
        <f t="shared" si="8"/>
        <v>0</v>
      </c>
      <c r="P259" s="139">
        <f t="shared" si="9"/>
        <v>0</v>
      </c>
      <c r="R259" s="139">
        <v>403346.27</v>
      </c>
      <c r="S259" s="139">
        <v>0</v>
      </c>
      <c r="T259" s="235"/>
      <c r="U259" s="139">
        <f t="shared" si="6"/>
        <v>0</v>
      </c>
      <c r="V259" s="139">
        <f t="shared" si="7"/>
        <v>0</v>
      </c>
    </row>
    <row r="260" spans="1:22" x14ac:dyDescent="0.2">
      <c r="A260" s="145" t="s">
        <v>395</v>
      </c>
      <c r="B260" s="146">
        <v>36200</v>
      </c>
      <c r="C260" s="147"/>
      <c r="D260" s="148"/>
      <c r="E260" s="149"/>
      <c r="F260" s="148">
        <v>36200</v>
      </c>
      <c r="G260" s="148">
        <v>0</v>
      </c>
      <c r="O260" s="139">
        <f t="shared" si="8"/>
        <v>0</v>
      </c>
      <c r="P260" s="139">
        <f t="shared" si="9"/>
        <v>0</v>
      </c>
      <c r="R260" s="139">
        <v>36200</v>
      </c>
      <c r="S260" s="139">
        <v>0</v>
      </c>
      <c r="T260" s="235"/>
      <c r="U260" s="139">
        <f t="shared" ref="U260:U323" si="10">F260-R260</f>
        <v>0</v>
      </c>
      <c r="V260" s="139">
        <f t="shared" ref="V260:V323" si="11">G260-S260</f>
        <v>0</v>
      </c>
    </row>
    <row r="261" spans="1:22" x14ac:dyDescent="0.2">
      <c r="A261" s="145" t="s">
        <v>396</v>
      </c>
      <c r="B261" s="146">
        <v>661686</v>
      </c>
      <c r="C261" s="147"/>
      <c r="D261" s="148"/>
      <c r="E261" s="149"/>
      <c r="F261" s="148">
        <v>661686</v>
      </c>
      <c r="G261" s="148">
        <v>0</v>
      </c>
      <c r="O261" s="139">
        <f t="shared" si="8"/>
        <v>0</v>
      </c>
      <c r="P261" s="139">
        <f t="shared" si="9"/>
        <v>0</v>
      </c>
      <c r="R261" s="139">
        <v>661686</v>
      </c>
      <c r="S261" s="139">
        <v>0</v>
      </c>
      <c r="T261" s="235"/>
      <c r="U261" s="139">
        <f t="shared" si="10"/>
        <v>0</v>
      </c>
      <c r="V261" s="139">
        <f t="shared" si="11"/>
        <v>0</v>
      </c>
    </row>
    <row r="262" spans="1:22" x14ac:dyDescent="0.2">
      <c r="A262" s="145" t="s">
        <v>397</v>
      </c>
      <c r="B262" s="146">
        <v>30202.2</v>
      </c>
      <c r="C262" s="147"/>
      <c r="D262" s="148"/>
      <c r="E262" s="149"/>
      <c r="F262" s="148">
        <v>30202.2</v>
      </c>
      <c r="G262" s="148">
        <v>0</v>
      </c>
      <c r="O262" s="139">
        <f t="shared" si="8"/>
        <v>0</v>
      </c>
      <c r="P262" s="139">
        <f t="shared" si="9"/>
        <v>0</v>
      </c>
      <c r="R262" s="139">
        <v>30202.2</v>
      </c>
      <c r="S262" s="139">
        <v>0</v>
      </c>
      <c r="T262" s="235"/>
      <c r="U262" s="139">
        <f t="shared" si="10"/>
        <v>0</v>
      </c>
      <c r="V262" s="139">
        <f t="shared" si="11"/>
        <v>0</v>
      </c>
    </row>
    <row r="263" spans="1:22" x14ac:dyDescent="0.2">
      <c r="A263" s="145" t="s">
        <v>398</v>
      </c>
      <c r="B263" s="146">
        <v>185159</v>
      </c>
      <c r="C263" s="147"/>
      <c r="D263" s="148"/>
      <c r="E263" s="149"/>
      <c r="F263" s="148">
        <v>185159</v>
      </c>
      <c r="G263" s="148">
        <v>0</v>
      </c>
      <c r="O263" s="139">
        <f t="shared" si="8"/>
        <v>0</v>
      </c>
      <c r="P263" s="139">
        <f t="shared" si="9"/>
        <v>0</v>
      </c>
      <c r="R263" s="139">
        <v>185159</v>
      </c>
      <c r="S263" s="139">
        <v>0</v>
      </c>
      <c r="T263" s="235"/>
      <c r="U263" s="139">
        <f t="shared" si="10"/>
        <v>0</v>
      </c>
      <c r="V263" s="139">
        <f t="shared" si="11"/>
        <v>0</v>
      </c>
    </row>
    <row r="264" spans="1:22" x14ac:dyDescent="0.2">
      <c r="A264" s="145" t="s">
        <v>399</v>
      </c>
      <c r="B264" s="146">
        <v>541632</v>
      </c>
      <c r="C264" s="147"/>
      <c r="D264" s="148"/>
      <c r="E264" s="149"/>
      <c r="F264" s="148">
        <v>541632</v>
      </c>
      <c r="G264" s="148">
        <v>0</v>
      </c>
      <c r="O264" s="139">
        <f t="shared" si="8"/>
        <v>0</v>
      </c>
      <c r="P264" s="139">
        <f t="shared" si="9"/>
        <v>0</v>
      </c>
      <c r="R264" s="139">
        <v>541632</v>
      </c>
      <c r="S264" s="139">
        <v>0</v>
      </c>
      <c r="T264" s="235"/>
      <c r="U264" s="139">
        <f t="shared" si="10"/>
        <v>0</v>
      </c>
      <c r="V264" s="139">
        <f t="shared" si="11"/>
        <v>0</v>
      </c>
    </row>
    <row r="265" spans="1:22" x14ac:dyDescent="0.2">
      <c r="A265" s="145" t="s">
        <v>400</v>
      </c>
      <c r="B265" s="146">
        <v>61654</v>
      </c>
      <c r="C265" s="147"/>
      <c r="D265" s="148"/>
      <c r="E265" s="149"/>
      <c r="F265" s="148">
        <v>61654</v>
      </c>
      <c r="G265" s="148">
        <v>0</v>
      </c>
      <c r="O265" s="139">
        <f t="shared" si="8"/>
        <v>0</v>
      </c>
      <c r="P265" s="139">
        <f t="shared" si="9"/>
        <v>0</v>
      </c>
      <c r="R265" s="139">
        <v>61654</v>
      </c>
      <c r="S265" s="139">
        <v>0</v>
      </c>
      <c r="T265" s="235"/>
      <c r="U265" s="139">
        <f t="shared" si="10"/>
        <v>0</v>
      </c>
      <c r="V265" s="139">
        <f t="shared" si="11"/>
        <v>0</v>
      </c>
    </row>
    <row r="266" spans="1:22" x14ac:dyDescent="0.2">
      <c r="A266" s="145" t="s">
        <v>562</v>
      </c>
      <c r="B266" s="146">
        <v>47511.86</v>
      </c>
      <c r="C266" s="147"/>
      <c r="D266" s="148"/>
      <c r="E266" s="149"/>
      <c r="F266" s="148">
        <v>47511.86</v>
      </c>
      <c r="G266" s="148">
        <v>0</v>
      </c>
      <c r="O266" s="139">
        <f t="shared" si="8"/>
        <v>0</v>
      </c>
      <c r="P266" s="139">
        <f t="shared" si="9"/>
        <v>0</v>
      </c>
      <c r="R266" s="139">
        <v>47511.86</v>
      </c>
      <c r="S266" s="139">
        <v>0</v>
      </c>
      <c r="T266" s="235"/>
      <c r="U266" s="139">
        <f t="shared" si="10"/>
        <v>0</v>
      </c>
      <c r="V266" s="139">
        <f t="shared" si="11"/>
        <v>0</v>
      </c>
    </row>
    <row r="267" spans="1:22" x14ac:dyDescent="0.2">
      <c r="A267" s="145" t="s">
        <v>401</v>
      </c>
      <c r="B267" s="146">
        <v>118305.4</v>
      </c>
      <c r="C267" s="147"/>
      <c r="D267" s="148"/>
      <c r="E267" s="149"/>
      <c r="F267" s="148">
        <v>118305.4</v>
      </c>
      <c r="G267" s="148">
        <v>0</v>
      </c>
      <c r="O267" s="139">
        <f t="shared" si="8"/>
        <v>0</v>
      </c>
      <c r="P267" s="139">
        <f t="shared" si="9"/>
        <v>0</v>
      </c>
      <c r="R267" s="139">
        <v>118305.4</v>
      </c>
      <c r="S267" s="139">
        <v>0</v>
      </c>
      <c r="T267" s="235"/>
      <c r="U267" s="139">
        <f t="shared" si="10"/>
        <v>0</v>
      </c>
      <c r="V267" s="139">
        <f t="shared" si="11"/>
        <v>0</v>
      </c>
    </row>
    <row r="268" spans="1:22" x14ac:dyDescent="0.2">
      <c r="A268" s="145" t="s">
        <v>402</v>
      </c>
      <c r="B268" s="146">
        <v>14650</v>
      </c>
      <c r="C268" s="147"/>
      <c r="D268" s="148"/>
      <c r="E268" s="149"/>
      <c r="F268" s="148">
        <v>14650</v>
      </c>
      <c r="G268" s="148">
        <v>0</v>
      </c>
      <c r="O268" s="139">
        <f t="shared" si="8"/>
        <v>0</v>
      </c>
      <c r="P268" s="139">
        <f t="shared" si="9"/>
        <v>0</v>
      </c>
      <c r="R268" s="139">
        <v>14650</v>
      </c>
      <c r="S268" s="139">
        <v>0</v>
      </c>
      <c r="T268" s="235"/>
      <c r="U268" s="139">
        <f t="shared" si="10"/>
        <v>0</v>
      </c>
      <c r="V268" s="139">
        <f t="shared" si="11"/>
        <v>0</v>
      </c>
    </row>
    <row r="269" spans="1:22" x14ac:dyDescent="0.2">
      <c r="A269" s="145" t="s">
        <v>403</v>
      </c>
      <c r="B269" s="146">
        <v>3700340</v>
      </c>
      <c r="C269" s="147"/>
      <c r="D269" s="148"/>
      <c r="E269" s="149"/>
      <c r="F269" s="148">
        <v>3700340</v>
      </c>
      <c r="G269" s="148">
        <v>0</v>
      </c>
      <c r="O269" s="139">
        <f t="shared" si="8"/>
        <v>0</v>
      </c>
      <c r="P269" s="139">
        <f t="shared" si="9"/>
        <v>0</v>
      </c>
      <c r="R269" s="139">
        <v>3700340</v>
      </c>
      <c r="S269" s="139">
        <v>0</v>
      </c>
      <c r="T269" s="235"/>
      <c r="U269" s="139">
        <f t="shared" si="10"/>
        <v>0</v>
      </c>
      <c r="V269" s="139">
        <f t="shared" si="11"/>
        <v>0</v>
      </c>
    </row>
    <row r="270" spans="1:22" x14ac:dyDescent="0.2">
      <c r="A270" s="145" t="s">
        <v>404</v>
      </c>
      <c r="B270" s="146">
        <v>442120.8</v>
      </c>
      <c r="C270" s="147"/>
      <c r="D270" s="148"/>
      <c r="E270" s="149"/>
      <c r="F270" s="148">
        <v>442120.8</v>
      </c>
      <c r="G270" s="148">
        <v>0</v>
      </c>
      <c r="O270" s="139">
        <f t="shared" si="8"/>
        <v>0</v>
      </c>
      <c r="P270" s="139">
        <f t="shared" si="9"/>
        <v>0</v>
      </c>
      <c r="R270" s="139">
        <v>442120.8</v>
      </c>
      <c r="S270" s="139">
        <v>0</v>
      </c>
      <c r="T270" s="235"/>
      <c r="U270" s="139">
        <f t="shared" si="10"/>
        <v>0</v>
      </c>
      <c r="V270" s="139">
        <f t="shared" si="11"/>
        <v>0</v>
      </c>
    </row>
    <row r="271" spans="1:22" x14ac:dyDescent="0.2">
      <c r="A271" s="145" t="s">
        <v>405</v>
      </c>
      <c r="B271" s="146">
        <v>110630.2</v>
      </c>
      <c r="C271" s="147"/>
      <c r="D271" s="148"/>
      <c r="E271" s="149"/>
      <c r="F271" s="148">
        <v>110630.2</v>
      </c>
      <c r="G271" s="148">
        <v>0</v>
      </c>
      <c r="O271" s="139">
        <f t="shared" si="8"/>
        <v>0</v>
      </c>
      <c r="P271" s="139">
        <f t="shared" si="9"/>
        <v>0</v>
      </c>
      <c r="R271" s="139">
        <v>110630.2</v>
      </c>
      <c r="S271" s="139">
        <v>0</v>
      </c>
      <c r="T271" s="235"/>
      <c r="U271" s="139">
        <f t="shared" si="10"/>
        <v>0</v>
      </c>
      <c r="V271" s="139">
        <f t="shared" si="11"/>
        <v>0</v>
      </c>
    </row>
    <row r="272" spans="1:22" x14ac:dyDescent="0.2">
      <c r="A272" s="145" t="s">
        <v>406</v>
      </c>
      <c r="B272" s="146">
        <v>393050</v>
      </c>
      <c r="C272" s="147"/>
      <c r="D272" s="148"/>
      <c r="E272" s="149"/>
      <c r="F272" s="148">
        <v>393050</v>
      </c>
      <c r="G272" s="148">
        <v>0</v>
      </c>
      <c r="O272" s="139">
        <f t="shared" si="8"/>
        <v>0</v>
      </c>
      <c r="P272" s="139">
        <f t="shared" si="9"/>
        <v>0</v>
      </c>
      <c r="R272" s="139">
        <v>393050</v>
      </c>
      <c r="S272" s="139">
        <v>0</v>
      </c>
      <c r="T272" s="235"/>
      <c r="U272" s="139">
        <f t="shared" si="10"/>
        <v>0</v>
      </c>
      <c r="V272" s="139">
        <f t="shared" si="11"/>
        <v>0</v>
      </c>
    </row>
    <row r="273" spans="1:22" x14ac:dyDescent="0.2">
      <c r="A273" s="145" t="s">
        <v>407</v>
      </c>
      <c r="B273" s="146">
        <v>1253561.67</v>
      </c>
      <c r="C273" s="147"/>
      <c r="D273" s="148"/>
      <c r="E273" s="149"/>
      <c r="F273" s="148">
        <v>1253561.67</v>
      </c>
      <c r="G273" s="148">
        <v>0</v>
      </c>
      <c r="O273" s="139">
        <f t="shared" si="8"/>
        <v>0</v>
      </c>
      <c r="P273" s="139">
        <f t="shared" si="9"/>
        <v>0</v>
      </c>
      <c r="R273" s="139">
        <v>1253561.67</v>
      </c>
      <c r="S273" s="139">
        <v>0</v>
      </c>
      <c r="T273" s="235"/>
      <c r="U273" s="139">
        <f t="shared" si="10"/>
        <v>0</v>
      </c>
      <c r="V273" s="139">
        <f t="shared" si="11"/>
        <v>0</v>
      </c>
    </row>
    <row r="274" spans="1:22" x14ac:dyDescent="0.2">
      <c r="A274" s="145" t="s">
        <v>408</v>
      </c>
      <c r="B274" s="146"/>
      <c r="C274" s="147">
        <v>39043.67</v>
      </c>
      <c r="D274" s="148"/>
      <c r="E274" s="149">
        <f>-32805.73</f>
        <v>-32805.730000000003</v>
      </c>
      <c r="F274" s="148">
        <v>0</v>
      </c>
      <c r="G274" s="148">
        <v>6238.04</v>
      </c>
      <c r="H274" s="218"/>
      <c r="I274" s="218"/>
      <c r="J274" s="218"/>
      <c r="K274" s="218"/>
      <c r="L274" s="219"/>
      <c r="M274" s="218"/>
      <c r="N274" s="218"/>
      <c r="O274" s="139">
        <f t="shared" si="8"/>
        <v>0</v>
      </c>
      <c r="P274" s="139">
        <f t="shared" si="9"/>
        <v>32805.629999999997</v>
      </c>
      <c r="R274" s="139">
        <v>0</v>
      </c>
      <c r="S274" s="139">
        <v>6238.04</v>
      </c>
      <c r="U274" s="219">
        <f t="shared" si="10"/>
        <v>0</v>
      </c>
      <c r="V274" s="219">
        <f t="shared" si="11"/>
        <v>0</v>
      </c>
    </row>
    <row r="275" spans="1:22" x14ac:dyDescent="0.2">
      <c r="A275" s="145" t="s">
        <v>409</v>
      </c>
      <c r="B275" s="146">
        <v>23342.959999999999</v>
      </c>
      <c r="C275" s="147"/>
      <c r="D275" s="148"/>
      <c r="E275" s="149"/>
      <c r="F275" s="148">
        <v>23342.959999999999</v>
      </c>
      <c r="G275" s="148">
        <v>0</v>
      </c>
      <c r="O275" s="139">
        <f t="shared" si="8"/>
        <v>0</v>
      </c>
      <c r="P275" s="139">
        <f t="shared" si="9"/>
        <v>0</v>
      </c>
      <c r="R275" s="139">
        <v>23342.959999999999</v>
      </c>
      <c r="S275" s="139">
        <v>0</v>
      </c>
      <c r="T275" s="235"/>
      <c r="U275" s="139">
        <f t="shared" si="10"/>
        <v>0</v>
      </c>
      <c r="V275" s="139">
        <f t="shared" si="11"/>
        <v>0</v>
      </c>
    </row>
    <row r="276" spans="1:22" x14ac:dyDescent="0.2">
      <c r="A276" s="145" t="s">
        <v>410</v>
      </c>
      <c r="B276" s="146">
        <v>59520.9</v>
      </c>
      <c r="C276" s="147"/>
      <c r="D276" s="148"/>
      <c r="E276" s="149"/>
      <c r="F276" s="148">
        <v>59520.9</v>
      </c>
      <c r="G276" s="148">
        <v>0</v>
      </c>
      <c r="H276" s="150">
        <f>E320+E17</f>
        <v>-36823.599999999999</v>
      </c>
      <c r="O276" s="139">
        <f t="shared" si="8"/>
        <v>0</v>
      </c>
      <c r="P276" s="139">
        <f t="shared" si="9"/>
        <v>0</v>
      </c>
      <c r="R276" s="139">
        <v>59520.9</v>
      </c>
      <c r="S276" s="139">
        <v>0</v>
      </c>
      <c r="T276" s="235"/>
      <c r="U276" s="139">
        <f t="shared" si="10"/>
        <v>0</v>
      </c>
      <c r="V276" s="139">
        <f t="shared" si="11"/>
        <v>0</v>
      </c>
    </row>
    <row r="277" spans="1:22" x14ac:dyDescent="0.2">
      <c r="A277" s="145" t="s">
        <v>411</v>
      </c>
      <c r="B277" s="146">
        <v>65659.48</v>
      </c>
      <c r="C277" s="147"/>
      <c r="D277" s="148"/>
      <c r="E277" s="149"/>
      <c r="F277" s="148">
        <v>65659.48</v>
      </c>
      <c r="G277" s="148">
        <v>0</v>
      </c>
      <c r="O277" s="139">
        <f t="shared" si="8"/>
        <v>0</v>
      </c>
      <c r="P277" s="139">
        <f t="shared" si="9"/>
        <v>0</v>
      </c>
      <c r="R277" s="139">
        <v>65659.48</v>
      </c>
      <c r="S277" s="139">
        <v>0</v>
      </c>
      <c r="T277" s="235"/>
      <c r="U277" s="139">
        <f t="shared" si="10"/>
        <v>0</v>
      </c>
      <c r="V277" s="139">
        <f t="shared" si="11"/>
        <v>0</v>
      </c>
    </row>
    <row r="278" spans="1:22" x14ac:dyDescent="0.2">
      <c r="A278" s="145" t="s">
        <v>412</v>
      </c>
      <c r="B278" s="146">
        <v>164528.95000000001</v>
      </c>
      <c r="C278" s="147"/>
      <c r="D278" s="148"/>
      <c r="E278" s="149"/>
      <c r="F278" s="148">
        <v>164528.95000000001</v>
      </c>
      <c r="G278" s="148">
        <v>0</v>
      </c>
      <c r="H278" s="139">
        <v>69792.17</v>
      </c>
      <c r="O278" s="139">
        <f t="shared" si="8"/>
        <v>0</v>
      </c>
      <c r="P278" s="139">
        <f t="shared" si="9"/>
        <v>0</v>
      </c>
      <c r="R278" s="139">
        <v>164528.95000000001</v>
      </c>
      <c r="S278" s="139">
        <v>0</v>
      </c>
      <c r="T278" s="235"/>
      <c r="U278" s="139">
        <f t="shared" si="10"/>
        <v>0</v>
      </c>
      <c r="V278" s="139">
        <f t="shared" si="11"/>
        <v>0</v>
      </c>
    </row>
    <row r="279" spans="1:22" x14ac:dyDescent="0.2">
      <c r="A279" s="145" t="s">
        <v>413</v>
      </c>
      <c r="B279" s="146">
        <v>211896.3</v>
      </c>
      <c r="C279" s="147"/>
      <c r="D279" s="148"/>
      <c r="E279" s="149"/>
      <c r="F279" s="148">
        <v>211896.3</v>
      </c>
      <c r="G279" s="148">
        <v>0</v>
      </c>
      <c r="O279" s="139">
        <f t="shared" si="8"/>
        <v>0</v>
      </c>
      <c r="P279" s="139">
        <f t="shared" si="9"/>
        <v>0</v>
      </c>
      <c r="R279" s="139">
        <v>211896.3</v>
      </c>
      <c r="S279" s="139">
        <v>0</v>
      </c>
      <c r="T279" s="235"/>
      <c r="U279" s="139">
        <f t="shared" si="10"/>
        <v>0</v>
      </c>
      <c r="V279" s="139">
        <f t="shared" si="11"/>
        <v>0</v>
      </c>
    </row>
    <row r="280" spans="1:22" x14ac:dyDescent="0.2">
      <c r="A280" s="145" t="s">
        <v>414</v>
      </c>
      <c r="B280" s="146">
        <v>263337</v>
      </c>
      <c r="C280" s="147"/>
      <c r="D280" s="148"/>
      <c r="E280" s="149"/>
      <c r="F280" s="148">
        <v>263337</v>
      </c>
      <c r="G280" s="148">
        <v>0</v>
      </c>
      <c r="H280" s="150">
        <f>H276+H278</f>
        <v>32968.57</v>
      </c>
      <c r="O280" s="139">
        <f t="shared" si="8"/>
        <v>0</v>
      </c>
      <c r="P280" s="139">
        <f t="shared" si="9"/>
        <v>0</v>
      </c>
      <c r="R280" s="139">
        <v>263337</v>
      </c>
      <c r="S280" s="139">
        <v>0</v>
      </c>
      <c r="T280" s="235"/>
      <c r="U280" s="139">
        <f t="shared" si="10"/>
        <v>0</v>
      </c>
      <c r="V280" s="139">
        <f t="shared" si="11"/>
        <v>0</v>
      </c>
    </row>
    <row r="281" spans="1:22" x14ac:dyDescent="0.2">
      <c r="A281" s="145" t="s">
        <v>415</v>
      </c>
      <c r="B281" s="146">
        <v>11860</v>
      </c>
      <c r="C281" s="147"/>
      <c r="D281" s="148"/>
      <c r="E281" s="149"/>
      <c r="F281" s="148">
        <v>11860</v>
      </c>
      <c r="G281" s="148">
        <v>0</v>
      </c>
      <c r="O281" s="139">
        <f t="shared" si="8"/>
        <v>0</v>
      </c>
      <c r="P281" s="139">
        <f t="shared" si="9"/>
        <v>0</v>
      </c>
      <c r="R281" s="139">
        <v>11860</v>
      </c>
      <c r="S281" s="139">
        <v>0</v>
      </c>
      <c r="T281" s="235"/>
      <c r="U281" s="139">
        <f t="shared" si="10"/>
        <v>0</v>
      </c>
      <c r="V281" s="139">
        <f t="shared" si="11"/>
        <v>0</v>
      </c>
    </row>
    <row r="282" spans="1:22" x14ac:dyDescent="0.2">
      <c r="A282" s="145" t="s">
        <v>416</v>
      </c>
      <c r="B282" s="146">
        <v>107230</v>
      </c>
      <c r="C282" s="147"/>
      <c r="D282" s="148"/>
      <c r="E282" s="149"/>
      <c r="F282" s="148">
        <v>107230</v>
      </c>
      <c r="G282" s="148">
        <v>0</v>
      </c>
      <c r="O282" s="139">
        <f t="shared" si="8"/>
        <v>0</v>
      </c>
      <c r="P282" s="139">
        <f t="shared" si="9"/>
        <v>0</v>
      </c>
      <c r="R282" s="139">
        <v>107230</v>
      </c>
      <c r="S282" s="139">
        <v>0</v>
      </c>
      <c r="T282" s="235"/>
      <c r="U282" s="139">
        <f t="shared" si="10"/>
        <v>0</v>
      </c>
      <c r="V282" s="139">
        <f t="shared" si="11"/>
        <v>0</v>
      </c>
    </row>
    <row r="283" spans="1:22" x14ac:dyDescent="0.2">
      <c r="A283" s="145" t="s">
        <v>417</v>
      </c>
      <c r="B283" s="146">
        <v>204366.25</v>
      </c>
      <c r="C283" s="147"/>
      <c r="D283" s="148"/>
      <c r="E283" s="149"/>
      <c r="F283" s="148">
        <v>204366.25</v>
      </c>
      <c r="G283" s="148">
        <v>0</v>
      </c>
      <c r="O283" s="139">
        <f t="shared" si="8"/>
        <v>0</v>
      </c>
      <c r="P283" s="139">
        <f t="shared" si="9"/>
        <v>0</v>
      </c>
      <c r="R283" s="139">
        <v>204366.25</v>
      </c>
      <c r="S283" s="139">
        <v>0</v>
      </c>
      <c r="T283" s="235"/>
      <c r="U283" s="139">
        <f t="shared" si="10"/>
        <v>0</v>
      </c>
      <c r="V283" s="139">
        <f t="shared" si="11"/>
        <v>0</v>
      </c>
    </row>
    <row r="284" spans="1:22" x14ac:dyDescent="0.2">
      <c r="A284" s="145" t="s">
        <v>418</v>
      </c>
      <c r="B284" s="146">
        <v>37675</v>
      </c>
      <c r="C284" s="147"/>
      <c r="D284" s="148"/>
      <c r="E284" s="149"/>
      <c r="F284" s="148">
        <v>37675</v>
      </c>
      <c r="G284" s="148">
        <v>0</v>
      </c>
      <c r="O284" s="139">
        <f t="shared" si="8"/>
        <v>0</v>
      </c>
      <c r="P284" s="139">
        <f t="shared" si="9"/>
        <v>0</v>
      </c>
      <c r="R284" s="139">
        <v>37675</v>
      </c>
      <c r="S284" s="139">
        <v>0</v>
      </c>
      <c r="T284" s="235"/>
      <c r="U284" s="139">
        <f t="shared" si="10"/>
        <v>0</v>
      </c>
      <c r="V284" s="139">
        <f t="shared" si="11"/>
        <v>0</v>
      </c>
    </row>
    <row r="285" spans="1:22" x14ac:dyDescent="0.2">
      <c r="A285" s="145" t="s">
        <v>419</v>
      </c>
      <c r="B285" s="146">
        <v>37269</v>
      </c>
      <c r="C285" s="147"/>
      <c r="D285" s="148"/>
      <c r="E285" s="149"/>
      <c r="F285" s="148">
        <v>37269</v>
      </c>
      <c r="G285" s="148">
        <v>0</v>
      </c>
      <c r="O285" s="139">
        <f t="shared" si="8"/>
        <v>0</v>
      </c>
      <c r="P285" s="139">
        <f t="shared" si="9"/>
        <v>0</v>
      </c>
      <c r="R285" s="139">
        <v>37269</v>
      </c>
      <c r="S285" s="139">
        <v>0</v>
      </c>
      <c r="T285" s="235"/>
      <c r="U285" s="139">
        <f t="shared" si="10"/>
        <v>0</v>
      </c>
      <c r="V285" s="139">
        <f t="shared" si="11"/>
        <v>0</v>
      </c>
    </row>
    <row r="286" spans="1:22" x14ac:dyDescent="0.2">
      <c r="A286" s="145" t="s">
        <v>420</v>
      </c>
      <c r="B286" s="146">
        <v>837315</v>
      </c>
      <c r="C286" s="147"/>
      <c r="D286" s="148"/>
      <c r="E286" s="149"/>
      <c r="F286" s="148">
        <v>837315</v>
      </c>
      <c r="G286" s="148">
        <v>0</v>
      </c>
      <c r="O286" s="139">
        <f t="shared" si="8"/>
        <v>0</v>
      </c>
      <c r="P286" s="139">
        <f t="shared" si="9"/>
        <v>0</v>
      </c>
      <c r="R286" s="139">
        <v>837315</v>
      </c>
      <c r="S286" s="139">
        <v>0</v>
      </c>
      <c r="T286" s="235"/>
      <c r="U286" s="139">
        <f t="shared" si="10"/>
        <v>0</v>
      </c>
      <c r="V286" s="139">
        <f t="shared" si="11"/>
        <v>0</v>
      </c>
    </row>
    <row r="287" spans="1:22" x14ac:dyDescent="0.2">
      <c r="A287" s="145" t="s">
        <v>421</v>
      </c>
      <c r="B287" s="146">
        <v>26000</v>
      </c>
      <c r="C287" s="147"/>
      <c r="D287" s="148"/>
      <c r="E287" s="149"/>
      <c r="F287" s="148">
        <v>26000</v>
      </c>
      <c r="G287" s="148">
        <v>0</v>
      </c>
      <c r="O287" s="139">
        <f t="shared" si="8"/>
        <v>0</v>
      </c>
      <c r="P287" s="139">
        <f t="shared" si="9"/>
        <v>0</v>
      </c>
      <c r="R287" s="139">
        <v>26000</v>
      </c>
      <c r="S287" s="139">
        <v>0</v>
      </c>
      <c r="T287" s="235"/>
      <c r="U287" s="139">
        <f t="shared" si="10"/>
        <v>0</v>
      </c>
      <c r="V287" s="139">
        <f t="shared" si="11"/>
        <v>0</v>
      </c>
    </row>
    <row r="288" spans="1:22" x14ac:dyDescent="0.2">
      <c r="A288" s="145" t="s">
        <v>422</v>
      </c>
      <c r="B288" s="146">
        <v>283580.96999999997</v>
      </c>
      <c r="C288" s="147"/>
      <c r="D288" s="148"/>
      <c r="E288" s="149"/>
      <c r="F288" s="148">
        <v>283580.96999999997</v>
      </c>
      <c r="G288" s="148">
        <v>0</v>
      </c>
      <c r="O288" s="139">
        <f t="shared" si="8"/>
        <v>0</v>
      </c>
      <c r="P288" s="139">
        <f t="shared" si="9"/>
        <v>0</v>
      </c>
      <c r="R288" s="139">
        <v>283580.96999999997</v>
      </c>
      <c r="S288" s="139">
        <v>0</v>
      </c>
      <c r="T288" s="235"/>
      <c r="U288" s="139">
        <f t="shared" si="10"/>
        <v>0</v>
      </c>
      <c r="V288" s="139">
        <f t="shared" si="11"/>
        <v>0</v>
      </c>
    </row>
    <row r="289" spans="1:23" x14ac:dyDescent="0.2">
      <c r="A289" s="145" t="s">
        <v>423</v>
      </c>
      <c r="B289" s="146">
        <v>53398</v>
      </c>
      <c r="C289" s="147"/>
      <c r="D289" s="148"/>
      <c r="E289" s="149"/>
      <c r="F289" s="148">
        <v>53398</v>
      </c>
      <c r="G289" s="148">
        <v>0</v>
      </c>
      <c r="O289" s="139">
        <f t="shared" si="8"/>
        <v>0</v>
      </c>
      <c r="P289" s="139">
        <f t="shared" si="9"/>
        <v>0</v>
      </c>
      <c r="R289" s="139">
        <v>53398</v>
      </c>
      <c r="S289" s="139">
        <v>0</v>
      </c>
      <c r="T289" s="235"/>
      <c r="U289" s="139">
        <f t="shared" si="10"/>
        <v>0</v>
      </c>
      <c r="V289" s="139">
        <f t="shared" si="11"/>
        <v>0</v>
      </c>
    </row>
    <row r="290" spans="1:23" x14ac:dyDescent="0.2">
      <c r="A290" s="145" t="s">
        <v>424</v>
      </c>
      <c r="B290" s="146">
        <v>181706.19</v>
      </c>
      <c r="C290" s="147"/>
      <c r="D290" s="148"/>
      <c r="E290" s="149"/>
      <c r="F290" s="148">
        <v>181706.19</v>
      </c>
      <c r="G290" s="148">
        <v>0</v>
      </c>
      <c r="O290" s="139">
        <f t="shared" si="8"/>
        <v>0</v>
      </c>
      <c r="P290" s="139">
        <f t="shared" si="9"/>
        <v>0</v>
      </c>
      <c r="R290" s="139">
        <v>181706.19</v>
      </c>
      <c r="S290" s="139">
        <v>0</v>
      </c>
      <c r="T290" s="235"/>
      <c r="U290" s="139">
        <f t="shared" si="10"/>
        <v>0</v>
      </c>
      <c r="V290" s="139">
        <f t="shared" si="11"/>
        <v>0</v>
      </c>
    </row>
    <row r="291" spans="1:23" x14ac:dyDescent="0.2">
      <c r="A291" s="145" t="s">
        <v>425</v>
      </c>
      <c r="B291" s="146">
        <v>56958</v>
      </c>
      <c r="C291" s="147"/>
      <c r="D291" s="148"/>
      <c r="E291" s="149"/>
      <c r="F291" s="148">
        <v>56958</v>
      </c>
      <c r="G291" s="148">
        <v>0</v>
      </c>
      <c r="O291" s="139">
        <f t="shared" si="8"/>
        <v>0</v>
      </c>
      <c r="P291" s="139">
        <f t="shared" si="9"/>
        <v>0</v>
      </c>
      <c r="R291" s="139">
        <v>56958</v>
      </c>
      <c r="S291" s="139">
        <v>0</v>
      </c>
      <c r="T291" s="235"/>
      <c r="U291" s="139">
        <f t="shared" si="10"/>
        <v>0</v>
      </c>
      <c r="V291" s="139">
        <f t="shared" si="11"/>
        <v>0</v>
      </c>
    </row>
    <row r="292" spans="1:23" x14ac:dyDescent="0.2">
      <c r="A292" s="145" t="s">
        <v>426</v>
      </c>
      <c r="B292" s="146">
        <v>707370</v>
      </c>
      <c r="C292" s="147"/>
      <c r="D292" s="148"/>
      <c r="E292" s="149"/>
      <c r="F292" s="148">
        <v>707370</v>
      </c>
      <c r="G292" s="148">
        <v>0</v>
      </c>
      <c r="O292" s="139">
        <f t="shared" si="8"/>
        <v>0</v>
      </c>
      <c r="P292" s="139">
        <f t="shared" si="9"/>
        <v>0</v>
      </c>
      <c r="R292" s="139">
        <v>707370</v>
      </c>
      <c r="S292" s="139">
        <v>0</v>
      </c>
      <c r="T292" s="235"/>
      <c r="U292" s="139">
        <f t="shared" si="10"/>
        <v>0</v>
      </c>
      <c r="V292" s="139">
        <f t="shared" si="11"/>
        <v>0</v>
      </c>
    </row>
    <row r="293" spans="1:23" x14ac:dyDescent="0.2">
      <c r="A293" s="145" t="s">
        <v>427</v>
      </c>
      <c r="B293" s="146">
        <v>37745</v>
      </c>
      <c r="C293" s="147"/>
      <c r="D293" s="148"/>
      <c r="E293" s="149"/>
      <c r="F293" s="148">
        <v>37745</v>
      </c>
      <c r="G293" s="148">
        <v>0</v>
      </c>
      <c r="O293" s="139">
        <f t="shared" si="8"/>
        <v>0</v>
      </c>
      <c r="P293" s="139">
        <f t="shared" si="9"/>
        <v>0</v>
      </c>
      <c r="R293" s="139">
        <v>37745</v>
      </c>
      <c r="S293" s="139">
        <v>0</v>
      </c>
      <c r="T293" s="235"/>
      <c r="U293" s="139">
        <f t="shared" si="10"/>
        <v>0</v>
      </c>
      <c r="V293" s="139">
        <f t="shared" si="11"/>
        <v>0</v>
      </c>
    </row>
    <row r="294" spans="1:23" x14ac:dyDescent="0.2">
      <c r="A294" s="159" t="s">
        <v>428</v>
      </c>
      <c r="B294" s="160">
        <v>1642206.48</v>
      </c>
      <c r="C294" s="161"/>
      <c r="D294" s="162"/>
      <c r="E294" s="163"/>
      <c r="F294" s="184">
        <v>1642206.48</v>
      </c>
      <c r="G294" s="148">
        <v>0</v>
      </c>
      <c r="H294" s="164"/>
      <c r="I294" s="164"/>
      <c r="J294" s="164"/>
      <c r="K294" s="164"/>
      <c r="L294" s="165"/>
      <c r="M294" s="164"/>
      <c r="N294" s="164"/>
      <c r="O294" s="139">
        <f t="shared" si="8"/>
        <v>0</v>
      </c>
      <c r="P294" s="139">
        <f t="shared" si="9"/>
        <v>0</v>
      </c>
      <c r="R294" s="139">
        <v>1642206.48</v>
      </c>
      <c r="S294" s="139">
        <v>0</v>
      </c>
      <c r="T294" s="235"/>
      <c r="U294" s="139">
        <f t="shared" si="10"/>
        <v>0</v>
      </c>
      <c r="V294" s="139">
        <f t="shared" si="11"/>
        <v>0</v>
      </c>
    </row>
    <row r="295" spans="1:23" x14ac:dyDescent="0.2">
      <c r="A295" s="145" t="s">
        <v>429</v>
      </c>
      <c r="B295" s="146">
        <v>1612394.76</v>
      </c>
      <c r="C295" s="147"/>
      <c r="D295" s="148">
        <v>-279871.99</v>
      </c>
      <c r="E295" s="149"/>
      <c r="F295" s="184">
        <v>1612394.76</v>
      </c>
      <c r="G295" s="148">
        <v>0</v>
      </c>
      <c r="H295" s="218"/>
      <c r="I295" s="218"/>
      <c r="J295" s="218"/>
      <c r="K295" s="218"/>
      <c r="L295" s="219"/>
      <c r="M295" s="218"/>
      <c r="N295" s="218"/>
      <c r="O295" s="139">
        <f t="shared" si="8"/>
        <v>0</v>
      </c>
      <c r="P295" s="139">
        <f t="shared" si="9"/>
        <v>0</v>
      </c>
      <c r="R295" s="139">
        <v>1612394.76</v>
      </c>
      <c r="S295" s="139">
        <v>0</v>
      </c>
      <c r="U295" s="219">
        <f t="shared" si="10"/>
        <v>0</v>
      </c>
      <c r="V295" s="219">
        <f t="shared" si="11"/>
        <v>0</v>
      </c>
      <c r="W295" s="164"/>
    </row>
    <row r="296" spans="1:23" x14ac:dyDescent="0.2">
      <c r="A296" s="145" t="s">
        <v>430</v>
      </c>
      <c r="B296" s="146">
        <v>1025044.92</v>
      </c>
      <c r="C296" s="147"/>
      <c r="D296" s="148"/>
      <c r="E296" s="149"/>
      <c r="F296" s="184">
        <v>1025044.92</v>
      </c>
      <c r="G296" s="148">
        <v>0</v>
      </c>
      <c r="O296" s="139">
        <f t="shared" si="8"/>
        <v>0</v>
      </c>
      <c r="P296" s="139">
        <f t="shared" si="9"/>
        <v>0</v>
      </c>
      <c r="R296" s="139">
        <v>1025044.92</v>
      </c>
      <c r="S296" s="139">
        <v>0</v>
      </c>
      <c r="T296" s="235"/>
      <c r="U296" s="139">
        <f t="shared" si="10"/>
        <v>0</v>
      </c>
      <c r="V296" s="139">
        <f t="shared" si="11"/>
        <v>0</v>
      </c>
    </row>
    <row r="297" spans="1:23" x14ac:dyDescent="0.2">
      <c r="A297" s="145" t="s">
        <v>431</v>
      </c>
      <c r="B297" s="146">
        <v>1204</v>
      </c>
      <c r="C297" s="147"/>
      <c r="D297" s="148"/>
      <c r="E297" s="149"/>
      <c r="F297" s="148">
        <v>1204</v>
      </c>
      <c r="G297" s="148">
        <v>0</v>
      </c>
      <c r="O297" s="139">
        <f t="shared" si="8"/>
        <v>0</v>
      </c>
      <c r="P297" s="139">
        <f t="shared" si="9"/>
        <v>0</v>
      </c>
      <c r="R297" s="139">
        <v>1204</v>
      </c>
      <c r="S297" s="139">
        <v>0</v>
      </c>
      <c r="T297" s="235"/>
      <c r="U297" s="139">
        <f t="shared" si="10"/>
        <v>0</v>
      </c>
      <c r="V297" s="139">
        <f t="shared" si="11"/>
        <v>0</v>
      </c>
    </row>
    <row r="298" spans="1:23" x14ac:dyDescent="0.2">
      <c r="A298" s="145" t="s">
        <v>432</v>
      </c>
      <c r="B298" s="146">
        <v>1715777.27</v>
      </c>
      <c r="C298" s="147"/>
      <c r="D298" s="148"/>
      <c r="E298" s="149"/>
      <c r="F298" s="162">
        <v>1715777.27</v>
      </c>
      <c r="G298" s="148">
        <v>0</v>
      </c>
      <c r="O298" s="139">
        <f t="shared" si="8"/>
        <v>0</v>
      </c>
      <c r="P298" s="139">
        <f t="shared" si="9"/>
        <v>0</v>
      </c>
      <c r="R298" s="139">
        <v>1715777.27</v>
      </c>
      <c r="S298" s="139">
        <v>0</v>
      </c>
      <c r="T298" s="235"/>
      <c r="U298" s="139">
        <f t="shared" si="10"/>
        <v>0</v>
      </c>
      <c r="V298" s="139">
        <f t="shared" si="11"/>
        <v>0</v>
      </c>
    </row>
    <row r="299" spans="1:23" x14ac:dyDescent="0.2">
      <c r="A299" s="145" t="s">
        <v>433</v>
      </c>
      <c r="B299" s="146">
        <v>145278.72</v>
      </c>
      <c r="C299" s="147"/>
      <c r="D299" s="148"/>
      <c r="E299" s="149"/>
      <c r="F299" s="162">
        <v>145278.72</v>
      </c>
      <c r="G299" s="148">
        <v>0</v>
      </c>
      <c r="O299" s="139">
        <f t="shared" si="8"/>
        <v>0</v>
      </c>
      <c r="P299" s="139">
        <f t="shared" si="9"/>
        <v>0</v>
      </c>
      <c r="R299" s="139">
        <v>145278.72</v>
      </c>
      <c r="S299" s="139">
        <v>0</v>
      </c>
      <c r="T299" s="235"/>
      <c r="U299" s="139">
        <f t="shared" si="10"/>
        <v>0</v>
      </c>
      <c r="V299" s="139">
        <f t="shared" si="11"/>
        <v>0</v>
      </c>
    </row>
    <row r="300" spans="1:23" x14ac:dyDescent="0.2">
      <c r="A300" s="145" t="s">
        <v>434</v>
      </c>
      <c r="B300" s="146">
        <v>499578.83</v>
      </c>
      <c r="C300" s="147"/>
      <c r="D300" s="148"/>
      <c r="E300" s="149"/>
      <c r="F300" s="162">
        <v>499578.83</v>
      </c>
      <c r="G300" s="148">
        <v>0</v>
      </c>
      <c r="O300" s="139">
        <f t="shared" si="8"/>
        <v>0</v>
      </c>
      <c r="P300" s="139">
        <f t="shared" si="9"/>
        <v>0</v>
      </c>
      <c r="R300" s="139">
        <v>499578.83</v>
      </c>
      <c r="S300" s="139">
        <v>0</v>
      </c>
      <c r="T300" s="235"/>
      <c r="U300" s="139">
        <f t="shared" si="10"/>
        <v>0</v>
      </c>
      <c r="V300" s="139">
        <f t="shared" si="11"/>
        <v>0</v>
      </c>
    </row>
    <row r="301" spans="1:23" x14ac:dyDescent="0.2">
      <c r="A301" s="145" t="s">
        <v>435</v>
      </c>
      <c r="B301" s="146">
        <v>12978.5</v>
      </c>
      <c r="C301" s="147"/>
      <c r="D301" s="148"/>
      <c r="E301" s="149"/>
      <c r="F301" s="148">
        <v>12978.5</v>
      </c>
      <c r="G301" s="148">
        <v>0</v>
      </c>
      <c r="O301" s="139">
        <f t="shared" si="8"/>
        <v>0</v>
      </c>
      <c r="P301" s="139">
        <f t="shared" si="9"/>
        <v>0</v>
      </c>
      <c r="R301" s="139">
        <v>12978.5</v>
      </c>
      <c r="S301" s="139">
        <v>0</v>
      </c>
      <c r="T301" s="235"/>
      <c r="U301" s="139">
        <f t="shared" si="10"/>
        <v>0</v>
      </c>
      <c r="V301" s="139">
        <f t="shared" si="11"/>
        <v>0</v>
      </c>
    </row>
    <row r="302" spans="1:23" x14ac:dyDescent="0.2">
      <c r="A302" s="145" t="s">
        <v>436</v>
      </c>
      <c r="B302" s="146">
        <v>80.849999999999994</v>
      </c>
      <c r="C302" s="147"/>
      <c r="D302" s="148"/>
      <c r="E302" s="149"/>
      <c r="F302" s="162">
        <v>80.849999999999994</v>
      </c>
      <c r="G302" s="148">
        <v>0</v>
      </c>
      <c r="O302" s="139">
        <f t="shared" si="8"/>
        <v>0</v>
      </c>
      <c r="P302" s="139">
        <f t="shared" si="9"/>
        <v>0</v>
      </c>
      <c r="R302" s="139">
        <v>80.849999999999994</v>
      </c>
      <c r="S302" s="139">
        <v>0</v>
      </c>
      <c r="T302" s="235"/>
      <c r="U302" s="139">
        <f t="shared" si="10"/>
        <v>0</v>
      </c>
      <c r="V302" s="139">
        <f t="shared" si="11"/>
        <v>0</v>
      </c>
    </row>
    <row r="303" spans="1:23" x14ac:dyDescent="0.2">
      <c r="A303" s="145" t="s">
        <v>437</v>
      </c>
      <c r="B303" s="146">
        <v>2249976.5099999998</v>
      </c>
      <c r="C303" s="147"/>
      <c r="D303" s="148"/>
      <c r="E303" s="149"/>
      <c r="F303" s="148">
        <v>2249976.5099999998</v>
      </c>
      <c r="G303" s="148">
        <v>0</v>
      </c>
      <c r="O303" s="139">
        <f t="shared" si="8"/>
        <v>0</v>
      </c>
      <c r="P303" s="139">
        <f t="shared" si="9"/>
        <v>0</v>
      </c>
      <c r="R303" s="139">
        <v>2249976.5099999998</v>
      </c>
      <c r="S303" s="139">
        <v>0</v>
      </c>
      <c r="T303" s="235"/>
      <c r="U303" s="139">
        <f t="shared" si="10"/>
        <v>0</v>
      </c>
      <c r="V303" s="139">
        <f t="shared" si="11"/>
        <v>0</v>
      </c>
    </row>
    <row r="304" spans="1:23" x14ac:dyDescent="0.2">
      <c r="A304" s="145" t="s">
        <v>563</v>
      </c>
      <c r="B304" s="146">
        <v>14173.1</v>
      </c>
      <c r="C304" s="147"/>
      <c r="D304" s="148"/>
      <c r="E304" s="149"/>
      <c r="F304" s="148">
        <v>14173.1</v>
      </c>
      <c r="G304" s="148">
        <v>0</v>
      </c>
      <c r="O304" s="139">
        <f t="shared" si="8"/>
        <v>0</v>
      </c>
      <c r="P304" s="139">
        <f t="shared" si="9"/>
        <v>0</v>
      </c>
      <c r="R304" s="139">
        <v>14173.1</v>
      </c>
      <c r="S304" s="139">
        <v>0</v>
      </c>
      <c r="T304" s="235"/>
      <c r="U304" s="139">
        <f t="shared" si="10"/>
        <v>0</v>
      </c>
      <c r="V304" s="139">
        <f t="shared" si="11"/>
        <v>0</v>
      </c>
    </row>
    <row r="305" spans="1:22" x14ac:dyDescent="0.2">
      <c r="A305" s="145" t="s">
        <v>438</v>
      </c>
      <c r="B305" s="146">
        <v>5140</v>
      </c>
      <c r="C305" s="147"/>
      <c r="D305" s="148"/>
      <c r="E305" s="149"/>
      <c r="F305" s="148">
        <v>5140</v>
      </c>
      <c r="G305" s="148">
        <v>0</v>
      </c>
      <c r="O305" s="139">
        <f t="shared" si="8"/>
        <v>0</v>
      </c>
      <c r="P305" s="139">
        <f t="shared" si="9"/>
        <v>0</v>
      </c>
      <c r="R305" s="139">
        <v>5140</v>
      </c>
      <c r="S305" s="139">
        <v>0</v>
      </c>
      <c r="T305" s="235"/>
      <c r="U305" s="139">
        <f t="shared" si="10"/>
        <v>0</v>
      </c>
      <c r="V305" s="139">
        <f t="shared" si="11"/>
        <v>0</v>
      </c>
    </row>
    <row r="306" spans="1:22" x14ac:dyDescent="0.2">
      <c r="A306" s="145" t="s">
        <v>439</v>
      </c>
      <c r="B306" s="146">
        <v>68255</v>
      </c>
      <c r="C306" s="147"/>
      <c r="D306" s="148"/>
      <c r="E306" s="149"/>
      <c r="F306" s="148">
        <v>68255</v>
      </c>
      <c r="G306" s="148">
        <v>0</v>
      </c>
      <c r="O306" s="139">
        <f t="shared" si="8"/>
        <v>0</v>
      </c>
      <c r="P306" s="139">
        <f t="shared" si="9"/>
        <v>0</v>
      </c>
      <c r="R306" s="139">
        <v>68255</v>
      </c>
      <c r="S306" s="139">
        <v>0</v>
      </c>
      <c r="T306" s="235"/>
      <c r="U306" s="139">
        <f t="shared" si="10"/>
        <v>0</v>
      </c>
      <c r="V306" s="139">
        <f t="shared" si="11"/>
        <v>0</v>
      </c>
    </row>
    <row r="307" spans="1:22" x14ac:dyDescent="0.2">
      <c r="A307" s="145" t="s">
        <v>440</v>
      </c>
      <c r="B307" s="146">
        <v>17284</v>
      </c>
      <c r="C307" s="147"/>
      <c r="D307" s="148"/>
      <c r="E307" s="149"/>
      <c r="F307" s="148">
        <v>17284</v>
      </c>
      <c r="G307" s="148">
        <v>0</v>
      </c>
      <c r="O307" s="139">
        <f t="shared" si="8"/>
        <v>0</v>
      </c>
      <c r="P307" s="139">
        <f t="shared" si="9"/>
        <v>0</v>
      </c>
      <c r="R307" s="139">
        <v>17284</v>
      </c>
      <c r="S307" s="139">
        <v>0</v>
      </c>
      <c r="T307" s="235"/>
      <c r="U307" s="139">
        <f t="shared" si="10"/>
        <v>0</v>
      </c>
      <c r="V307" s="139">
        <f t="shared" si="11"/>
        <v>0</v>
      </c>
    </row>
    <row r="308" spans="1:22" x14ac:dyDescent="0.2">
      <c r="A308" s="145" t="s">
        <v>441</v>
      </c>
      <c r="B308" s="146">
        <v>935975.49</v>
      </c>
      <c r="C308" s="147"/>
      <c r="D308" s="148"/>
      <c r="E308" s="149"/>
      <c r="F308" s="148">
        <v>935975.49</v>
      </c>
      <c r="G308" s="148">
        <v>0</v>
      </c>
      <c r="O308" s="139">
        <f t="shared" si="8"/>
        <v>0</v>
      </c>
      <c r="P308" s="139">
        <f t="shared" si="9"/>
        <v>0</v>
      </c>
      <c r="R308" s="139">
        <v>935975.49</v>
      </c>
      <c r="S308" s="139">
        <v>0</v>
      </c>
      <c r="T308" s="235"/>
      <c r="U308" s="139">
        <f t="shared" si="10"/>
        <v>0</v>
      </c>
      <c r="V308" s="139">
        <f t="shared" si="11"/>
        <v>0</v>
      </c>
    </row>
    <row r="309" spans="1:22" x14ac:dyDescent="0.2">
      <c r="A309" s="145" t="s">
        <v>442</v>
      </c>
      <c r="B309" s="146">
        <v>66460</v>
      </c>
      <c r="C309" s="147"/>
      <c r="D309" s="148"/>
      <c r="E309" s="149"/>
      <c r="F309" s="148">
        <v>66460</v>
      </c>
      <c r="G309" s="148">
        <v>0</v>
      </c>
      <c r="O309" s="139">
        <f t="shared" si="8"/>
        <v>0</v>
      </c>
      <c r="P309" s="139">
        <f t="shared" si="9"/>
        <v>0</v>
      </c>
      <c r="R309" s="139">
        <v>66460</v>
      </c>
      <c r="S309" s="139">
        <v>0</v>
      </c>
      <c r="T309" s="235"/>
      <c r="U309" s="139">
        <f t="shared" si="10"/>
        <v>0</v>
      </c>
      <c r="V309" s="139">
        <f t="shared" si="11"/>
        <v>0</v>
      </c>
    </row>
    <row r="310" spans="1:22" x14ac:dyDescent="0.2">
      <c r="A310" s="145" t="s">
        <v>443</v>
      </c>
      <c r="B310" s="146">
        <v>1273068.4099999999</v>
      </c>
      <c r="C310" s="147"/>
      <c r="D310" s="148"/>
      <c r="E310" s="149"/>
      <c r="F310" s="148">
        <v>1273068.4099999999</v>
      </c>
      <c r="G310" s="148">
        <v>0</v>
      </c>
      <c r="O310" s="139">
        <f t="shared" si="8"/>
        <v>0</v>
      </c>
      <c r="P310" s="139">
        <f t="shared" si="9"/>
        <v>0</v>
      </c>
      <c r="R310" s="139">
        <v>1273068.4099999999</v>
      </c>
      <c r="S310" s="139">
        <v>0</v>
      </c>
      <c r="T310" s="235"/>
      <c r="U310" s="139">
        <f t="shared" si="10"/>
        <v>0</v>
      </c>
      <c r="V310" s="139">
        <f t="shared" si="11"/>
        <v>0</v>
      </c>
    </row>
    <row r="311" spans="1:22" x14ac:dyDescent="0.2">
      <c r="A311" s="145" t="s">
        <v>444</v>
      </c>
      <c r="B311" s="146">
        <v>21869.3</v>
      </c>
      <c r="C311" s="147"/>
      <c r="D311" s="148"/>
      <c r="E311" s="149"/>
      <c r="F311" s="148">
        <v>21869.3</v>
      </c>
      <c r="G311" s="148">
        <v>0</v>
      </c>
      <c r="O311" s="139">
        <f t="shared" si="8"/>
        <v>0</v>
      </c>
      <c r="P311" s="139">
        <f t="shared" si="9"/>
        <v>0</v>
      </c>
      <c r="R311" s="139">
        <v>21869.3</v>
      </c>
      <c r="S311" s="139">
        <v>0</v>
      </c>
      <c r="T311" s="235"/>
      <c r="U311" s="139">
        <f t="shared" si="10"/>
        <v>0</v>
      </c>
      <c r="V311" s="139">
        <f t="shared" si="11"/>
        <v>0</v>
      </c>
    </row>
    <row r="312" spans="1:22" x14ac:dyDescent="0.2">
      <c r="A312" s="145" t="s">
        <v>445</v>
      </c>
      <c r="B312" s="146">
        <v>80974.600000000006</v>
      </c>
      <c r="C312" s="147"/>
      <c r="D312" s="148"/>
      <c r="E312" s="149"/>
      <c r="F312" s="148">
        <v>80974.600000000006</v>
      </c>
      <c r="G312" s="148">
        <v>0</v>
      </c>
      <c r="O312" s="139">
        <f t="shared" si="8"/>
        <v>0</v>
      </c>
      <c r="P312" s="139">
        <f t="shared" si="9"/>
        <v>0</v>
      </c>
      <c r="R312" s="139">
        <v>80974.600000000006</v>
      </c>
      <c r="S312" s="139">
        <v>0</v>
      </c>
      <c r="T312" s="235"/>
      <c r="U312" s="139">
        <f t="shared" si="10"/>
        <v>0</v>
      </c>
      <c r="V312" s="139">
        <f t="shared" si="11"/>
        <v>0</v>
      </c>
    </row>
    <row r="313" spans="1:22" x14ac:dyDescent="0.2">
      <c r="A313" s="145" t="s">
        <v>446</v>
      </c>
      <c r="B313" s="146">
        <v>204384</v>
      </c>
      <c r="C313" s="147"/>
      <c r="D313" s="148"/>
      <c r="E313" s="149"/>
      <c r="F313" s="148">
        <v>204384</v>
      </c>
      <c r="G313" s="148">
        <v>0</v>
      </c>
      <c r="O313" s="139">
        <f t="shared" si="8"/>
        <v>0</v>
      </c>
      <c r="P313" s="139">
        <f t="shared" si="9"/>
        <v>0</v>
      </c>
      <c r="R313" s="139">
        <v>204384</v>
      </c>
      <c r="S313" s="139">
        <v>0</v>
      </c>
      <c r="T313" s="235"/>
      <c r="U313" s="139">
        <f t="shared" si="10"/>
        <v>0</v>
      </c>
      <c r="V313" s="139">
        <f t="shared" si="11"/>
        <v>0</v>
      </c>
    </row>
    <row r="314" spans="1:22" x14ac:dyDescent="0.2">
      <c r="A314" s="145" t="s">
        <v>564</v>
      </c>
      <c r="B314" s="146">
        <v>49221.65</v>
      </c>
      <c r="C314" s="147"/>
      <c r="D314" s="148"/>
      <c r="E314" s="149"/>
      <c r="F314" s="148">
        <v>49221.65</v>
      </c>
      <c r="G314" s="148">
        <v>0</v>
      </c>
      <c r="O314" s="139">
        <f t="shared" si="8"/>
        <v>0</v>
      </c>
      <c r="P314" s="139">
        <f t="shared" si="9"/>
        <v>0</v>
      </c>
      <c r="R314" s="139">
        <v>49221.65</v>
      </c>
      <c r="S314" s="139">
        <v>0</v>
      </c>
      <c r="T314" s="235"/>
      <c r="U314" s="139">
        <f t="shared" si="10"/>
        <v>0</v>
      </c>
      <c r="V314" s="139">
        <f t="shared" si="11"/>
        <v>0</v>
      </c>
    </row>
    <row r="315" spans="1:22" x14ac:dyDescent="0.2">
      <c r="A315" s="145" t="s">
        <v>447</v>
      </c>
      <c r="B315" s="146">
        <v>290504</v>
      </c>
      <c r="C315" s="147"/>
      <c r="D315" s="148"/>
      <c r="E315" s="149"/>
      <c r="F315" s="148">
        <v>290504</v>
      </c>
      <c r="G315" s="148">
        <v>0</v>
      </c>
      <c r="O315" s="139">
        <f t="shared" si="8"/>
        <v>0</v>
      </c>
      <c r="P315" s="139">
        <f t="shared" si="9"/>
        <v>0</v>
      </c>
      <c r="R315" s="139">
        <v>290504</v>
      </c>
      <c r="S315" s="139">
        <v>0</v>
      </c>
      <c r="T315" s="235"/>
      <c r="U315" s="139">
        <f t="shared" si="10"/>
        <v>0</v>
      </c>
      <c r="V315" s="139">
        <f t="shared" si="11"/>
        <v>0</v>
      </c>
    </row>
    <row r="316" spans="1:22" x14ac:dyDescent="0.2">
      <c r="A316" s="145" t="s">
        <v>448</v>
      </c>
      <c r="B316" s="146">
        <v>1565100.01</v>
      </c>
      <c r="C316" s="147"/>
      <c r="D316" s="148"/>
      <c r="E316" s="149"/>
      <c r="F316" s="148">
        <v>1565100.01</v>
      </c>
      <c r="G316" s="148">
        <v>0</v>
      </c>
      <c r="O316" s="139">
        <f t="shared" si="8"/>
        <v>0</v>
      </c>
      <c r="P316" s="139">
        <f t="shared" si="9"/>
        <v>0</v>
      </c>
      <c r="R316" s="139">
        <v>1565100.01</v>
      </c>
      <c r="S316" s="139">
        <v>0</v>
      </c>
      <c r="T316" s="235"/>
      <c r="U316" s="139">
        <f t="shared" si="10"/>
        <v>0</v>
      </c>
      <c r="V316" s="139">
        <f t="shared" si="11"/>
        <v>0</v>
      </c>
    </row>
    <row r="317" spans="1:22" x14ac:dyDescent="0.2">
      <c r="A317" s="145" t="s">
        <v>449</v>
      </c>
      <c r="B317" s="146">
        <v>187552</v>
      </c>
      <c r="C317" s="147"/>
      <c r="D317" s="148"/>
      <c r="E317" s="149"/>
      <c r="F317" s="148">
        <v>187552</v>
      </c>
      <c r="G317" s="148">
        <v>0</v>
      </c>
      <c r="O317" s="139">
        <f t="shared" si="8"/>
        <v>0</v>
      </c>
      <c r="P317" s="139">
        <f t="shared" si="9"/>
        <v>0</v>
      </c>
      <c r="R317" s="139">
        <v>187552</v>
      </c>
      <c r="S317" s="139">
        <v>0</v>
      </c>
      <c r="T317" s="235"/>
      <c r="U317" s="139">
        <f t="shared" si="10"/>
        <v>0</v>
      </c>
      <c r="V317" s="139">
        <f t="shared" si="11"/>
        <v>0</v>
      </c>
    </row>
    <row r="318" spans="1:22" x14ac:dyDescent="0.2">
      <c r="A318" s="145" t="s">
        <v>450</v>
      </c>
      <c r="B318" s="146">
        <v>46888</v>
      </c>
      <c r="C318" s="147"/>
      <c r="D318" s="148"/>
      <c r="E318" s="149"/>
      <c r="F318" s="148">
        <v>46888</v>
      </c>
      <c r="G318" s="148">
        <v>0</v>
      </c>
      <c r="O318" s="139">
        <f t="shared" si="8"/>
        <v>0</v>
      </c>
      <c r="P318" s="139">
        <f t="shared" si="9"/>
        <v>0</v>
      </c>
      <c r="R318" s="139">
        <v>46888</v>
      </c>
      <c r="S318" s="139">
        <v>0</v>
      </c>
      <c r="T318" s="235"/>
      <c r="U318" s="139">
        <f t="shared" si="10"/>
        <v>0</v>
      </c>
      <c r="V318" s="139">
        <f t="shared" si="11"/>
        <v>0</v>
      </c>
    </row>
    <row r="319" spans="1:22" x14ac:dyDescent="0.2">
      <c r="A319" s="145" t="s">
        <v>451</v>
      </c>
      <c r="B319" s="146">
        <v>1024874.99</v>
      </c>
      <c r="C319" s="147"/>
      <c r="D319" s="148"/>
      <c r="E319" s="149"/>
      <c r="F319" s="148">
        <v>1024874.99</v>
      </c>
      <c r="G319" s="148">
        <v>0</v>
      </c>
      <c r="O319" s="139">
        <f t="shared" si="8"/>
        <v>0</v>
      </c>
      <c r="P319" s="139">
        <f t="shared" si="9"/>
        <v>0</v>
      </c>
      <c r="R319" s="139">
        <v>1024874.99</v>
      </c>
      <c r="S319" s="139">
        <v>0</v>
      </c>
      <c r="T319" s="235"/>
      <c r="U319" s="139">
        <f t="shared" si="10"/>
        <v>0</v>
      </c>
      <c r="V319" s="139">
        <f t="shared" si="11"/>
        <v>0</v>
      </c>
    </row>
    <row r="320" spans="1:22" x14ac:dyDescent="0.2">
      <c r="A320" s="145" t="s">
        <v>452</v>
      </c>
      <c r="B320" s="146"/>
      <c r="C320" s="147">
        <v>20527.18</v>
      </c>
      <c r="D320" s="148"/>
      <c r="E320" s="149">
        <v>-20527.18</v>
      </c>
      <c r="F320" s="148">
        <v>0</v>
      </c>
      <c r="G320" s="148">
        <v>300</v>
      </c>
      <c r="H320" s="220">
        <f>G320+G274</f>
        <v>6538.04</v>
      </c>
      <c r="I320" s="218"/>
      <c r="J320" s="218"/>
      <c r="K320" s="218"/>
      <c r="L320" s="219"/>
      <c r="M320" s="218"/>
      <c r="N320" s="218"/>
      <c r="O320" s="139">
        <f t="shared" si="8"/>
        <v>0</v>
      </c>
      <c r="P320" s="139">
        <f t="shared" si="9"/>
        <v>20227.18</v>
      </c>
      <c r="R320" s="139">
        <v>0</v>
      </c>
      <c r="S320" s="139">
        <v>300</v>
      </c>
      <c r="U320" s="219">
        <f t="shared" si="10"/>
        <v>0</v>
      </c>
      <c r="V320" s="219">
        <f t="shared" si="11"/>
        <v>0</v>
      </c>
    </row>
    <row r="321" spans="1:22" x14ac:dyDescent="0.2">
      <c r="A321" s="145" t="s">
        <v>453</v>
      </c>
      <c r="B321" s="146">
        <v>159550.49</v>
      </c>
      <c r="C321" s="147"/>
      <c r="D321" s="148"/>
      <c r="E321" s="149"/>
      <c r="F321" s="148">
        <v>159550.49</v>
      </c>
      <c r="G321" s="148">
        <v>0</v>
      </c>
      <c r="O321" s="139">
        <f t="shared" si="8"/>
        <v>0</v>
      </c>
      <c r="P321" s="139">
        <f t="shared" si="9"/>
        <v>0</v>
      </c>
      <c r="R321" s="139">
        <v>159550.49</v>
      </c>
      <c r="S321" s="139">
        <v>0</v>
      </c>
      <c r="T321" s="235"/>
      <c r="U321" s="139">
        <f t="shared" si="10"/>
        <v>0</v>
      </c>
      <c r="V321" s="139">
        <f t="shared" si="11"/>
        <v>0</v>
      </c>
    </row>
    <row r="322" spans="1:22" x14ac:dyDescent="0.2">
      <c r="A322" s="145" t="s">
        <v>454</v>
      </c>
      <c r="B322" s="146">
        <v>103914.56</v>
      </c>
      <c r="C322" s="147"/>
      <c r="D322" s="148"/>
      <c r="E322" s="149"/>
      <c r="F322" s="148">
        <v>103914.56</v>
      </c>
      <c r="G322" s="148">
        <v>0</v>
      </c>
      <c r="O322" s="139">
        <f t="shared" ref="O322:O385" si="12">B322-F322</f>
        <v>0</v>
      </c>
      <c r="P322" s="139">
        <f t="shared" ref="P322:P385" si="13">C322-G322</f>
        <v>0</v>
      </c>
      <c r="R322" s="139">
        <v>103914.56</v>
      </c>
      <c r="S322" s="139">
        <v>0</v>
      </c>
      <c r="T322" s="235"/>
      <c r="U322" s="139">
        <f t="shared" si="10"/>
        <v>0</v>
      </c>
      <c r="V322" s="139">
        <f t="shared" si="11"/>
        <v>0</v>
      </c>
    </row>
    <row r="323" spans="1:22" x14ac:dyDescent="0.2">
      <c r="A323" s="145" t="s">
        <v>455</v>
      </c>
      <c r="B323" s="146">
        <v>77308.87</v>
      </c>
      <c r="C323" s="147"/>
      <c r="D323" s="148"/>
      <c r="E323" s="149"/>
      <c r="F323" s="148">
        <v>77308.87</v>
      </c>
      <c r="G323" s="148">
        <v>0</v>
      </c>
      <c r="O323" s="139">
        <f t="shared" si="12"/>
        <v>0</v>
      </c>
      <c r="P323" s="139">
        <f t="shared" si="13"/>
        <v>0</v>
      </c>
      <c r="R323" s="139">
        <v>77308.87</v>
      </c>
      <c r="S323" s="139">
        <v>0</v>
      </c>
      <c r="T323" s="235"/>
      <c r="U323" s="139">
        <f t="shared" si="10"/>
        <v>0</v>
      </c>
      <c r="V323" s="139">
        <f t="shared" si="11"/>
        <v>0</v>
      </c>
    </row>
    <row r="324" spans="1:22" x14ac:dyDescent="0.2">
      <c r="A324" s="145" t="s">
        <v>565</v>
      </c>
      <c r="B324" s="146">
        <v>19197.54</v>
      </c>
      <c r="C324" s="147"/>
      <c r="D324" s="148"/>
      <c r="E324" s="149"/>
      <c r="F324" s="148">
        <v>19197.54</v>
      </c>
      <c r="G324" s="148">
        <v>0</v>
      </c>
      <c r="O324" s="139">
        <f t="shared" si="12"/>
        <v>0</v>
      </c>
      <c r="P324" s="139">
        <f t="shared" si="13"/>
        <v>0</v>
      </c>
      <c r="R324" s="139">
        <v>19197.54</v>
      </c>
      <c r="S324" s="139">
        <v>0</v>
      </c>
      <c r="T324" s="235"/>
      <c r="U324" s="139">
        <f t="shared" ref="U324:U387" si="14">F324-R324</f>
        <v>0</v>
      </c>
      <c r="V324" s="139">
        <f t="shared" ref="V324:V387" si="15">G324-S324</f>
        <v>0</v>
      </c>
    </row>
    <row r="325" spans="1:22" x14ac:dyDescent="0.2">
      <c r="A325" s="145" t="s">
        <v>456</v>
      </c>
      <c r="B325" s="146">
        <v>137019</v>
      </c>
      <c r="C325" s="147"/>
      <c r="D325" s="148"/>
      <c r="E325" s="149"/>
      <c r="F325" s="148">
        <v>137019</v>
      </c>
      <c r="G325" s="148">
        <v>0</v>
      </c>
      <c r="O325" s="139">
        <f t="shared" si="12"/>
        <v>0</v>
      </c>
      <c r="P325" s="139">
        <f t="shared" si="13"/>
        <v>0</v>
      </c>
      <c r="R325" s="139">
        <v>137019</v>
      </c>
      <c r="S325" s="139">
        <v>0</v>
      </c>
      <c r="T325" s="235"/>
      <c r="U325" s="139">
        <f t="shared" si="14"/>
        <v>0</v>
      </c>
      <c r="V325" s="139">
        <f t="shared" si="15"/>
        <v>0</v>
      </c>
    </row>
    <row r="326" spans="1:22" x14ac:dyDescent="0.2">
      <c r="A326" s="145" t="s">
        <v>457</v>
      </c>
      <c r="B326" s="146">
        <v>95045</v>
      </c>
      <c r="C326" s="147"/>
      <c r="D326" s="148"/>
      <c r="E326" s="149"/>
      <c r="F326" s="148">
        <v>95045</v>
      </c>
      <c r="G326" s="148">
        <v>0</v>
      </c>
      <c r="O326" s="139">
        <f t="shared" si="12"/>
        <v>0</v>
      </c>
      <c r="P326" s="139">
        <f t="shared" si="13"/>
        <v>0</v>
      </c>
      <c r="R326" s="139">
        <v>95045</v>
      </c>
      <c r="S326" s="139">
        <v>0</v>
      </c>
      <c r="T326" s="235"/>
      <c r="U326" s="139">
        <f t="shared" si="14"/>
        <v>0</v>
      </c>
      <c r="V326" s="139">
        <f t="shared" si="15"/>
        <v>0</v>
      </c>
    </row>
    <row r="327" spans="1:22" x14ac:dyDescent="0.2">
      <c r="A327" s="145" t="s">
        <v>458</v>
      </c>
      <c r="B327" s="146">
        <v>2500</v>
      </c>
      <c r="C327" s="147"/>
      <c r="D327" s="148"/>
      <c r="E327" s="149"/>
      <c r="F327" s="148">
        <v>2500</v>
      </c>
      <c r="G327" s="148">
        <v>0</v>
      </c>
      <c r="O327" s="139">
        <f t="shared" si="12"/>
        <v>0</v>
      </c>
      <c r="P327" s="139">
        <f t="shared" si="13"/>
        <v>0</v>
      </c>
      <c r="R327" s="139">
        <v>2500</v>
      </c>
      <c r="S327" s="139">
        <v>0</v>
      </c>
      <c r="T327" s="235"/>
      <c r="U327" s="139">
        <f t="shared" si="14"/>
        <v>0</v>
      </c>
      <c r="V327" s="139">
        <f t="shared" si="15"/>
        <v>0</v>
      </c>
    </row>
    <row r="328" spans="1:22" x14ac:dyDescent="0.2">
      <c r="A328" s="145" t="s">
        <v>566</v>
      </c>
      <c r="B328" s="146">
        <v>23434.69</v>
      </c>
      <c r="C328" s="147"/>
      <c r="D328" s="148"/>
      <c r="E328" s="149"/>
      <c r="F328" s="148">
        <v>23434.69</v>
      </c>
      <c r="G328" s="148">
        <v>0</v>
      </c>
      <c r="O328" s="139">
        <f t="shared" si="12"/>
        <v>0</v>
      </c>
      <c r="P328" s="139">
        <f t="shared" si="13"/>
        <v>0</v>
      </c>
      <c r="R328" s="139">
        <v>23434.69</v>
      </c>
      <c r="S328" s="139">
        <v>0</v>
      </c>
      <c r="T328" s="235"/>
      <c r="U328" s="139">
        <f t="shared" si="14"/>
        <v>0</v>
      </c>
      <c r="V328" s="139">
        <f t="shared" si="15"/>
        <v>0</v>
      </c>
    </row>
    <row r="329" spans="1:22" x14ac:dyDescent="0.2">
      <c r="A329" s="145" t="s">
        <v>459</v>
      </c>
      <c r="B329" s="146">
        <v>754200</v>
      </c>
      <c r="C329" s="147"/>
      <c r="D329" s="148"/>
      <c r="E329" s="149"/>
      <c r="F329" s="148">
        <v>754200</v>
      </c>
      <c r="G329" s="148">
        <v>0</v>
      </c>
      <c r="O329" s="139">
        <f t="shared" si="12"/>
        <v>0</v>
      </c>
      <c r="P329" s="139">
        <f t="shared" si="13"/>
        <v>0</v>
      </c>
      <c r="R329" s="139">
        <v>754200</v>
      </c>
      <c r="S329" s="139">
        <v>0</v>
      </c>
      <c r="T329" s="235"/>
      <c r="U329" s="139">
        <f t="shared" si="14"/>
        <v>0</v>
      </c>
      <c r="V329" s="139">
        <f t="shared" si="15"/>
        <v>0</v>
      </c>
    </row>
    <row r="330" spans="1:22" x14ac:dyDescent="0.2">
      <c r="A330" s="145" t="s">
        <v>460</v>
      </c>
      <c r="B330" s="146">
        <v>108593</v>
      </c>
      <c r="C330" s="147"/>
      <c r="D330" s="148"/>
      <c r="E330" s="149"/>
      <c r="F330" s="148">
        <v>108593</v>
      </c>
      <c r="G330" s="148">
        <v>0</v>
      </c>
      <c r="O330" s="139">
        <f t="shared" si="12"/>
        <v>0</v>
      </c>
      <c r="P330" s="139">
        <f t="shared" si="13"/>
        <v>0</v>
      </c>
      <c r="R330" s="139">
        <v>108593</v>
      </c>
      <c r="S330" s="139">
        <v>0</v>
      </c>
      <c r="T330" s="235"/>
      <c r="U330" s="139">
        <f t="shared" si="14"/>
        <v>0</v>
      </c>
      <c r="V330" s="139">
        <f t="shared" si="15"/>
        <v>0</v>
      </c>
    </row>
    <row r="331" spans="1:22" x14ac:dyDescent="0.2">
      <c r="A331" s="145" t="s">
        <v>461</v>
      </c>
      <c r="B331" s="146">
        <v>334458.92</v>
      </c>
      <c r="C331" s="147"/>
      <c r="D331" s="148"/>
      <c r="E331" s="149"/>
      <c r="F331" s="148">
        <v>334458.92</v>
      </c>
      <c r="G331" s="148">
        <v>0</v>
      </c>
      <c r="O331" s="139">
        <f t="shared" si="12"/>
        <v>0</v>
      </c>
      <c r="P331" s="139">
        <f t="shared" si="13"/>
        <v>0</v>
      </c>
      <c r="R331" s="139">
        <v>334458.92</v>
      </c>
      <c r="S331" s="139">
        <v>0</v>
      </c>
      <c r="T331" s="235"/>
      <c r="U331" s="139">
        <f t="shared" si="14"/>
        <v>0</v>
      </c>
      <c r="V331" s="139">
        <f t="shared" si="15"/>
        <v>0</v>
      </c>
    </row>
    <row r="332" spans="1:22" x14ac:dyDescent="0.2">
      <c r="A332" s="145" t="s">
        <v>462</v>
      </c>
      <c r="B332" s="146">
        <v>37135.5</v>
      </c>
      <c r="C332" s="147"/>
      <c r="D332" s="148"/>
      <c r="E332" s="149"/>
      <c r="F332" s="148">
        <v>37135.5</v>
      </c>
      <c r="G332" s="148">
        <v>0</v>
      </c>
      <c r="O332" s="139">
        <f t="shared" si="12"/>
        <v>0</v>
      </c>
      <c r="P332" s="139">
        <f t="shared" si="13"/>
        <v>0</v>
      </c>
      <c r="R332" s="139">
        <v>37135.5</v>
      </c>
      <c r="S332" s="139">
        <v>0</v>
      </c>
      <c r="T332" s="235"/>
      <c r="U332" s="139">
        <f t="shared" si="14"/>
        <v>0</v>
      </c>
      <c r="V332" s="139">
        <f t="shared" si="15"/>
        <v>0</v>
      </c>
    </row>
    <row r="333" spans="1:22" x14ac:dyDescent="0.2">
      <c r="A333" s="145" t="s">
        <v>463</v>
      </c>
      <c r="B333" s="146">
        <v>46000</v>
      </c>
      <c r="C333" s="147"/>
      <c r="D333" s="148"/>
      <c r="E333" s="149"/>
      <c r="F333" s="148">
        <v>46000</v>
      </c>
      <c r="G333" s="148">
        <v>0</v>
      </c>
      <c r="O333" s="139">
        <f t="shared" si="12"/>
        <v>0</v>
      </c>
      <c r="P333" s="139">
        <f t="shared" si="13"/>
        <v>0</v>
      </c>
      <c r="R333" s="139">
        <v>46000</v>
      </c>
      <c r="S333" s="139">
        <v>0</v>
      </c>
      <c r="T333" s="235"/>
      <c r="U333" s="139">
        <f t="shared" si="14"/>
        <v>0</v>
      </c>
      <c r="V333" s="139">
        <f t="shared" si="15"/>
        <v>0</v>
      </c>
    </row>
    <row r="334" spans="1:22" x14ac:dyDescent="0.2">
      <c r="A334" s="145" t="s">
        <v>464</v>
      </c>
      <c r="B334" s="146">
        <v>561983.52</v>
      </c>
      <c r="C334" s="147"/>
      <c r="D334" s="148"/>
      <c r="E334" s="149"/>
      <c r="F334" s="184">
        <v>561983.52</v>
      </c>
      <c r="G334" s="148">
        <v>0</v>
      </c>
      <c r="O334" s="139">
        <f t="shared" si="12"/>
        <v>0</v>
      </c>
      <c r="P334" s="139">
        <f t="shared" si="13"/>
        <v>0</v>
      </c>
      <c r="R334" s="139">
        <v>561983.52</v>
      </c>
      <c r="S334" s="139">
        <v>0</v>
      </c>
      <c r="T334" s="235"/>
      <c r="U334" s="139">
        <f t="shared" si="14"/>
        <v>0</v>
      </c>
      <c r="V334" s="139">
        <f t="shared" si="15"/>
        <v>0</v>
      </c>
    </row>
    <row r="335" spans="1:22" x14ac:dyDescent="0.2">
      <c r="A335" s="159" t="s">
        <v>465</v>
      </c>
      <c r="B335" s="160">
        <v>646595.52</v>
      </c>
      <c r="C335" s="161"/>
      <c r="D335" s="186">
        <v>-229.56</v>
      </c>
      <c r="E335" s="163"/>
      <c r="F335" s="184">
        <v>646365.96</v>
      </c>
      <c r="G335" s="148">
        <v>0</v>
      </c>
      <c r="H335" s="164"/>
      <c r="I335" s="164"/>
      <c r="J335" s="164"/>
      <c r="K335" s="164"/>
      <c r="L335" s="165"/>
      <c r="M335" s="164"/>
      <c r="N335" s="164"/>
      <c r="O335" s="139">
        <f t="shared" si="12"/>
        <v>229.56000000005588</v>
      </c>
      <c r="P335" s="139">
        <f t="shared" si="13"/>
        <v>0</v>
      </c>
      <c r="R335" s="139">
        <v>646365.96</v>
      </c>
      <c r="S335" s="139">
        <v>0</v>
      </c>
      <c r="T335" s="235"/>
      <c r="U335" s="139">
        <f t="shared" si="14"/>
        <v>0</v>
      </c>
      <c r="V335" s="139">
        <f t="shared" si="15"/>
        <v>0</v>
      </c>
    </row>
    <row r="336" spans="1:22" x14ac:dyDescent="0.2">
      <c r="A336" s="145" t="s">
        <v>466</v>
      </c>
      <c r="B336" s="146">
        <v>34976</v>
      </c>
      <c r="C336" s="147"/>
      <c r="D336" s="148"/>
      <c r="E336" s="149"/>
      <c r="F336" s="148">
        <v>34976</v>
      </c>
      <c r="G336" s="148">
        <v>0</v>
      </c>
      <c r="O336" s="139">
        <f t="shared" si="12"/>
        <v>0</v>
      </c>
      <c r="P336" s="139">
        <f t="shared" si="13"/>
        <v>0</v>
      </c>
      <c r="R336" s="139">
        <v>34976</v>
      </c>
      <c r="S336" s="139">
        <v>0</v>
      </c>
      <c r="T336" s="235"/>
      <c r="U336" s="139">
        <f t="shared" si="14"/>
        <v>0</v>
      </c>
      <c r="V336" s="139">
        <f t="shared" si="15"/>
        <v>0</v>
      </c>
    </row>
    <row r="337" spans="1:23" x14ac:dyDescent="0.2">
      <c r="A337" s="145" t="s">
        <v>467</v>
      </c>
      <c r="B337" s="146">
        <v>7614.54</v>
      </c>
      <c r="C337" s="147"/>
      <c r="D337" s="148"/>
      <c r="E337" s="149"/>
      <c r="F337" s="148">
        <v>7614.54</v>
      </c>
      <c r="G337" s="148">
        <v>0</v>
      </c>
      <c r="O337" s="139">
        <f t="shared" si="12"/>
        <v>0</v>
      </c>
      <c r="P337" s="139">
        <f t="shared" si="13"/>
        <v>0</v>
      </c>
      <c r="R337" s="139">
        <v>7614.54</v>
      </c>
      <c r="S337" s="139">
        <v>0</v>
      </c>
      <c r="T337" s="235"/>
      <c r="U337" s="139">
        <f t="shared" si="14"/>
        <v>0</v>
      </c>
      <c r="V337" s="139">
        <f t="shared" si="15"/>
        <v>0</v>
      </c>
    </row>
    <row r="338" spans="1:23" x14ac:dyDescent="0.2">
      <c r="A338" s="145" t="s">
        <v>468</v>
      </c>
      <c r="B338" s="146">
        <v>8755.2900000000009</v>
      </c>
      <c r="C338" s="147"/>
      <c r="D338" s="148"/>
      <c r="E338" s="149"/>
      <c r="F338" s="148">
        <v>8755.2900000000009</v>
      </c>
      <c r="G338" s="148">
        <v>0</v>
      </c>
      <c r="O338" s="139">
        <f t="shared" si="12"/>
        <v>0</v>
      </c>
      <c r="P338" s="139">
        <f t="shared" si="13"/>
        <v>0</v>
      </c>
      <c r="R338" s="139">
        <v>8755.2900000000009</v>
      </c>
      <c r="S338" s="139">
        <v>0</v>
      </c>
      <c r="T338" s="235"/>
      <c r="U338" s="139">
        <f t="shared" si="14"/>
        <v>0</v>
      </c>
      <c r="V338" s="139">
        <f t="shared" si="15"/>
        <v>0</v>
      </c>
    </row>
    <row r="339" spans="1:23" x14ac:dyDescent="0.2">
      <c r="A339" s="145" t="s">
        <v>567</v>
      </c>
      <c r="B339" s="146">
        <v>43388</v>
      </c>
      <c r="C339" s="147"/>
      <c r="D339" s="148"/>
      <c r="E339" s="149"/>
      <c r="F339" s="148">
        <v>43388</v>
      </c>
      <c r="G339" s="148">
        <v>0</v>
      </c>
      <c r="O339" s="139">
        <f t="shared" si="12"/>
        <v>0</v>
      </c>
      <c r="P339" s="139">
        <f t="shared" si="13"/>
        <v>0</v>
      </c>
      <c r="R339" s="139">
        <v>43388</v>
      </c>
      <c r="S339" s="139">
        <v>0</v>
      </c>
      <c r="T339" s="235"/>
      <c r="U339" s="139">
        <f t="shared" si="14"/>
        <v>0</v>
      </c>
      <c r="V339" s="139">
        <f t="shared" si="15"/>
        <v>0</v>
      </c>
    </row>
    <row r="340" spans="1:23" x14ac:dyDescent="0.2">
      <c r="A340" s="145" t="s">
        <v>469</v>
      </c>
      <c r="B340" s="146">
        <v>186950</v>
      </c>
      <c r="C340" s="147"/>
      <c r="D340" s="148"/>
      <c r="E340" s="149"/>
      <c r="F340" s="148">
        <v>186950</v>
      </c>
      <c r="G340" s="148">
        <v>0</v>
      </c>
      <c r="O340" s="139">
        <f t="shared" si="12"/>
        <v>0</v>
      </c>
      <c r="P340" s="139">
        <f t="shared" si="13"/>
        <v>0</v>
      </c>
      <c r="R340" s="139">
        <v>186950</v>
      </c>
      <c r="S340" s="139">
        <v>0</v>
      </c>
      <c r="T340" s="235"/>
      <c r="U340" s="139">
        <f t="shared" si="14"/>
        <v>0</v>
      </c>
      <c r="V340" s="139">
        <f t="shared" si="15"/>
        <v>0</v>
      </c>
    </row>
    <row r="341" spans="1:23" x14ac:dyDescent="0.2">
      <c r="A341" s="145" t="s">
        <v>568</v>
      </c>
      <c r="B341" s="146">
        <v>129600</v>
      </c>
      <c r="C341" s="147"/>
      <c r="D341" s="148"/>
      <c r="E341" s="149"/>
      <c r="F341" s="148">
        <v>129600</v>
      </c>
      <c r="G341" s="148">
        <v>0</v>
      </c>
      <c r="O341" s="139">
        <f t="shared" si="12"/>
        <v>0</v>
      </c>
      <c r="P341" s="139">
        <f t="shared" si="13"/>
        <v>0</v>
      </c>
      <c r="R341" s="139">
        <v>129600</v>
      </c>
      <c r="S341" s="139">
        <v>0</v>
      </c>
      <c r="T341" s="235"/>
      <c r="U341" s="139">
        <f t="shared" si="14"/>
        <v>0</v>
      </c>
      <c r="V341" s="139">
        <f t="shared" si="15"/>
        <v>0</v>
      </c>
    </row>
    <row r="342" spans="1:23" x14ac:dyDescent="0.2">
      <c r="A342" s="145" t="s">
        <v>569</v>
      </c>
      <c r="B342" s="146">
        <v>95520</v>
      </c>
      <c r="C342" s="147"/>
      <c r="D342" s="148"/>
      <c r="E342" s="149"/>
      <c r="F342" s="148">
        <v>95520</v>
      </c>
      <c r="G342" s="148">
        <v>0</v>
      </c>
      <c r="O342" s="139">
        <f t="shared" si="12"/>
        <v>0</v>
      </c>
      <c r="P342" s="139">
        <f t="shared" si="13"/>
        <v>0</v>
      </c>
      <c r="R342" s="139">
        <v>95520</v>
      </c>
      <c r="S342" s="139">
        <v>0</v>
      </c>
      <c r="T342" s="235"/>
      <c r="U342" s="139">
        <f t="shared" si="14"/>
        <v>0</v>
      </c>
      <c r="V342" s="139">
        <f t="shared" si="15"/>
        <v>0</v>
      </c>
    </row>
    <row r="343" spans="1:23" x14ac:dyDescent="0.2">
      <c r="A343" s="145" t="s">
        <v>570</v>
      </c>
      <c r="B343" s="146">
        <v>10161.18</v>
      </c>
      <c r="C343" s="147"/>
      <c r="D343" s="148"/>
      <c r="E343" s="149"/>
      <c r="F343" s="148">
        <v>10161.18</v>
      </c>
      <c r="G343" s="148">
        <v>0</v>
      </c>
      <c r="O343" s="139">
        <f t="shared" si="12"/>
        <v>0</v>
      </c>
      <c r="P343" s="139">
        <f t="shared" si="13"/>
        <v>0</v>
      </c>
      <c r="R343" s="139">
        <v>10161.18</v>
      </c>
      <c r="S343" s="139">
        <v>0</v>
      </c>
      <c r="T343" s="235"/>
      <c r="U343" s="139">
        <f t="shared" si="14"/>
        <v>0</v>
      </c>
      <c r="V343" s="139">
        <f t="shared" si="15"/>
        <v>0</v>
      </c>
    </row>
    <row r="344" spans="1:23" x14ac:dyDescent="0.2">
      <c r="A344" s="145" t="s">
        <v>571</v>
      </c>
      <c r="B344" s="146">
        <v>11669.55</v>
      </c>
      <c r="C344" s="147"/>
      <c r="D344" s="148"/>
      <c r="E344" s="149"/>
      <c r="F344" s="148">
        <v>11669.55</v>
      </c>
      <c r="G344" s="148">
        <v>0</v>
      </c>
      <c r="O344" s="139">
        <f t="shared" si="12"/>
        <v>0</v>
      </c>
      <c r="P344" s="139">
        <f t="shared" si="13"/>
        <v>0</v>
      </c>
      <c r="R344" s="139">
        <v>11669.55</v>
      </c>
      <c r="S344" s="139">
        <v>0</v>
      </c>
      <c r="T344" s="235"/>
      <c r="U344" s="139">
        <f t="shared" si="14"/>
        <v>0</v>
      </c>
      <c r="V344" s="139">
        <f t="shared" si="15"/>
        <v>0</v>
      </c>
    </row>
    <row r="345" spans="1:23" x14ac:dyDescent="0.2">
      <c r="A345" s="145" t="s">
        <v>572</v>
      </c>
      <c r="B345" s="146">
        <v>10200</v>
      </c>
      <c r="C345" s="147"/>
      <c r="D345" s="148"/>
      <c r="E345" s="149"/>
      <c r="F345" s="148">
        <v>10200</v>
      </c>
      <c r="G345" s="148">
        <v>0</v>
      </c>
      <c r="O345" s="139">
        <f t="shared" si="12"/>
        <v>0</v>
      </c>
      <c r="P345" s="139">
        <f t="shared" si="13"/>
        <v>0</v>
      </c>
      <c r="R345" s="139">
        <v>10200</v>
      </c>
      <c r="S345" s="139">
        <v>0</v>
      </c>
      <c r="T345" s="235"/>
      <c r="U345" s="139">
        <f t="shared" si="14"/>
        <v>0</v>
      </c>
      <c r="V345" s="139">
        <f t="shared" si="15"/>
        <v>0</v>
      </c>
    </row>
    <row r="346" spans="1:23" x14ac:dyDescent="0.2">
      <c r="A346" s="145" t="s">
        <v>470</v>
      </c>
      <c r="B346" s="146">
        <v>439448.09</v>
      </c>
      <c r="C346" s="147"/>
      <c r="D346" s="148"/>
      <c r="E346" s="149"/>
      <c r="F346" s="148">
        <v>439448.09</v>
      </c>
      <c r="G346" s="148">
        <v>0</v>
      </c>
      <c r="O346" s="139">
        <f t="shared" si="12"/>
        <v>0</v>
      </c>
      <c r="P346" s="139">
        <f t="shared" si="13"/>
        <v>0</v>
      </c>
      <c r="R346" s="139">
        <v>439448.09</v>
      </c>
      <c r="S346" s="139">
        <v>0</v>
      </c>
      <c r="T346" s="235"/>
      <c r="U346" s="139">
        <f t="shared" si="14"/>
        <v>0</v>
      </c>
      <c r="V346" s="139">
        <f t="shared" si="15"/>
        <v>0</v>
      </c>
    </row>
    <row r="347" spans="1:23" x14ac:dyDescent="0.2">
      <c r="A347" s="145" t="s">
        <v>471</v>
      </c>
      <c r="B347" s="146"/>
      <c r="C347" s="147">
        <v>162.84</v>
      </c>
      <c r="D347" s="148"/>
      <c r="E347" s="185">
        <v>-162.84</v>
      </c>
      <c r="F347" s="148">
        <v>0</v>
      </c>
      <c r="G347" s="148">
        <v>0</v>
      </c>
      <c r="O347" s="139">
        <f t="shared" si="12"/>
        <v>0</v>
      </c>
      <c r="P347" s="139">
        <f t="shared" si="13"/>
        <v>162.84</v>
      </c>
      <c r="R347" s="139">
        <v>0</v>
      </c>
      <c r="S347" s="139">
        <v>0</v>
      </c>
      <c r="T347" s="235"/>
      <c r="U347" s="139">
        <f t="shared" si="14"/>
        <v>0</v>
      </c>
      <c r="V347" s="139">
        <f t="shared" si="15"/>
        <v>0</v>
      </c>
    </row>
    <row r="348" spans="1:23" x14ac:dyDescent="0.2">
      <c r="A348" s="145" t="s">
        <v>573</v>
      </c>
      <c r="B348" s="146">
        <v>1125</v>
      </c>
      <c r="C348" s="147"/>
      <c r="D348" s="148"/>
      <c r="E348" s="149"/>
      <c r="F348" s="148">
        <v>1125</v>
      </c>
      <c r="G348" s="148">
        <v>0</v>
      </c>
      <c r="O348" s="139">
        <f t="shared" si="12"/>
        <v>0</v>
      </c>
      <c r="P348" s="139">
        <f t="shared" si="13"/>
        <v>0</v>
      </c>
      <c r="R348" s="139">
        <v>1125</v>
      </c>
      <c r="S348" s="139">
        <v>0</v>
      </c>
      <c r="T348" s="235"/>
      <c r="U348" s="139">
        <f t="shared" si="14"/>
        <v>0</v>
      </c>
      <c r="V348" s="139">
        <f t="shared" si="15"/>
        <v>0</v>
      </c>
    </row>
    <row r="349" spans="1:23" x14ac:dyDescent="0.2">
      <c r="A349" s="145" t="s">
        <v>472</v>
      </c>
      <c r="B349" s="146">
        <v>400812</v>
      </c>
      <c r="C349" s="147"/>
      <c r="D349" s="148"/>
      <c r="E349" s="149"/>
      <c r="F349" s="148">
        <v>400812</v>
      </c>
      <c r="G349" s="148">
        <v>0</v>
      </c>
      <c r="O349" s="139">
        <f t="shared" si="12"/>
        <v>0</v>
      </c>
      <c r="P349" s="139">
        <f t="shared" si="13"/>
        <v>0</v>
      </c>
      <c r="R349" s="139">
        <v>400812</v>
      </c>
      <c r="S349" s="139">
        <v>0</v>
      </c>
      <c r="T349" s="235"/>
      <c r="U349" s="139">
        <f t="shared" si="14"/>
        <v>0</v>
      </c>
      <c r="V349" s="139">
        <f t="shared" si="15"/>
        <v>0</v>
      </c>
    </row>
    <row r="350" spans="1:23" x14ac:dyDescent="0.2">
      <c r="A350" s="145" t="s">
        <v>473</v>
      </c>
      <c r="B350" s="146">
        <v>530631</v>
      </c>
      <c r="C350" s="147"/>
      <c r="D350" s="148"/>
      <c r="E350" s="149"/>
      <c r="F350" s="148">
        <v>530631</v>
      </c>
      <c r="G350" s="148">
        <v>0</v>
      </c>
      <c r="O350" s="139">
        <f t="shared" si="12"/>
        <v>0</v>
      </c>
      <c r="P350" s="139">
        <f t="shared" si="13"/>
        <v>0</v>
      </c>
      <c r="R350" s="139">
        <v>530631</v>
      </c>
      <c r="S350" s="139">
        <v>0</v>
      </c>
      <c r="T350" s="235"/>
      <c r="U350" s="139">
        <f t="shared" si="14"/>
        <v>0</v>
      </c>
      <c r="V350" s="139">
        <f t="shared" si="15"/>
        <v>0</v>
      </c>
    </row>
    <row r="351" spans="1:23" x14ac:dyDescent="0.2">
      <c r="A351" s="145" t="s">
        <v>474</v>
      </c>
      <c r="B351" s="146">
        <v>114628.8</v>
      </c>
      <c r="C351" s="147"/>
      <c r="D351" s="148">
        <v>-1200</v>
      </c>
      <c r="E351" s="149"/>
      <c r="F351" s="148">
        <v>114628.8</v>
      </c>
      <c r="G351" s="148">
        <v>0</v>
      </c>
      <c r="H351" s="218"/>
      <c r="I351" s="218"/>
      <c r="J351" s="218"/>
      <c r="K351" s="218"/>
      <c r="L351" s="219"/>
      <c r="M351" s="218"/>
      <c r="N351" s="218"/>
      <c r="O351" s="139">
        <f t="shared" si="12"/>
        <v>0</v>
      </c>
      <c r="P351" s="139">
        <f t="shared" si="13"/>
        <v>0</v>
      </c>
      <c r="R351" s="139">
        <v>114628.8</v>
      </c>
      <c r="S351" s="139">
        <v>0</v>
      </c>
      <c r="U351" s="219">
        <f t="shared" si="14"/>
        <v>0</v>
      </c>
      <c r="V351" s="219">
        <f t="shared" si="15"/>
        <v>0</v>
      </c>
      <c r="W351" s="164"/>
    </row>
    <row r="352" spans="1:23" x14ac:dyDescent="0.2">
      <c r="A352" s="145" t="s">
        <v>574</v>
      </c>
      <c r="B352" s="146">
        <v>2200</v>
      </c>
      <c r="C352" s="147"/>
      <c r="D352" s="148"/>
      <c r="E352" s="149"/>
      <c r="F352" s="148">
        <v>2200</v>
      </c>
      <c r="G352" s="148">
        <v>0</v>
      </c>
      <c r="O352" s="139">
        <f t="shared" si="12"/>
        <v>0</v>
      </c>
      <c r="P352" s="139">
        <f t="shared" si="13"/>
        <v>0</v>
      </c>
      <c r="R352" s="139">
        <v>2200</v>
      </c>
      <c r="S352" s="139">
        <v>0</v>
      </c>
      <c r="T352" s="235"/>
      <c r="U352" s="139">
        <f t="shared" si="14"/>
        <v>0</v>
      </c>
      <c r="V352" s="139">
        <f t="shared" si="15"/>
        <v>0</v>
      </c>
    </row>
    <row r="353" spans="1:22" x14ac:dyDescent="0.2">
      <c r="A353" s="145" t="s">
        <v>575</v>
      </c>
      <c r="B353" s="146">
        <v>167386.28</v>
      </c>
      <c r="C353" s="147"/>
      <c r="D353" s="148"/>
      <c r="E353" s="149"/>
      <c r="F353" s="148">
        <v>167386.28</v>
      </c>
      <c r="G353" s="148">
        <v>0</v>
      </c>
      <c r="O353" s="139">
        <f t="shared" si="12"/>
        <v>0</v>
      </c>
      <c r="P353" s="139">
        <f t="shared" si="13"/>
        <v>0</v>
      </c>
      <c r="R353" s="139">
        <v>167386.28</v>
      </c>
      <c r="S353" s="139">
        <v>0</v>
      </c>
      <c r="T353" s="235"/>
      <c r="U353" s="139">
        <f t="shared" si="14"/>
        <v>0</v>
      </c>
      <c r="V353" s="139">
        <f t="shared" si="15"/>
        <v>0</v>
      </c>
    </row>
    <row r="354" spans="1:22" x14ac:dyDescent="0.2">
      <c r="A354" s="145" t="s">
        <v>576</v>
      </c>
      <c r="B354" s="146">
        <v>119845.8</v>
      </c>
      <c r="C354" s="147"/>
      <c r="D354" s="148"/>
      <c r="E354" s="149"/>
      <c r="F354" s="148">
        <v>119845.8</v>
      </c>
      <c r="G354" s="148">
        <v>0</v>
      </c>
      <c r="O354" s="139">
        <f t="shared" si="12"/>
        <v>0</v>
      </c>
      <c r="P354" s="139">
        <f t="shared" si="13"/>
        <v>0</v>
      </c>
      <c r="R354" s="139">
        <v>119845.8</v>
      </c>
      <c r="S354" s="139">
        <v>0</v>
      </c>
      <c r="T354" s="235"/>
      <c r="U354" s="139">
        <f t="shared" si="14"/>
        <v>0</v>
      </c>
      <c r="V354" s="139">
        <f t="shared" si="15"/>
        <v>0</v>
      </c>
    </row>
    <row r="355" spans="1:22" x14ac:dyDescent="0.2">
      <c r="A355" s="145" t="s">
        <v>577</v>
      </c>
      <c r="B355" s="146">
        <v>350</v>
      </c>
      <c r="C355" s="147"/>
      <c r="D355" s="148"/>
      <c r="E355" s="149"/>
      <c r="F355" s="148">
        <v>350</v>
      </c>
      <c r="G355" s="148">
        <v>0</v>
      </c>
      <c r="O355" s="139">
        <f t="shared" si="12"/>
        <v>0</v>
      </c>
      <c r="P355" s="139">
        <f t="shared" si="13"/>
        <v>0</v>
      </c>
      <c r="R355" s="139">
        <v>350</v>
      </c>
      <c r="S355" s="139">
        <v>0</v>
      </c>
      <c r="T355" s="235"/>
      <c r="U355" s="139">
        <f t="shared" si="14"/>
        <v>0</v>
      </c>
      <c r="V355" s="139">
        <f t="shared" si="15"/>
        <v>0</v>
      </c>
    </row>
    <row r="356" spans="1:22" x14ac:dyDescent="0.2">
      <c r="A356" s="145" t="s">
        <v>578</v>
      </c>
      <c r="B356" s="146">
        <v>6530</v>
      </c>
      <c r="C356" s="147"/>
      <c r="D356" s="148"/>
      <c r="E356" s="149"/>
      <c r="F356" s="148">
        <v>6530</v>
      </c>
      <c r="G356" s="148">
        <v>0</v>
      </c>
      <c r="O356" s="139">
        <f t="shared" si="12"/>
        <v>0</v>
      </c>
      <c r="P356" s="139">
        <f t="shared" si="13"/>
        <v>0</v>
      </c>
      <c r="R356" s="139">
        <v>6530</v>
      </c>
      <c r="S356" s="139">
        <v>0</v>
      </c>
      <c r="T356" s="235"/>
      <c r="U356" s="139">
        <f t="shared" si="14"/>
        <v>0</v>
      </c>
      <c r="V356" s="139">
        <f t="shared" si="15"/>
        <v>0</v>
      </c>
    </row>
    <row r="357" spans="1:22" x14ac:dyDescent="0.2">
      <c r="A357" s="145" t="s">
        <v>579</v>
      </c>
      <c r="B357" s="146">
        <v>708860</v>
      </c>
      <c r="C357" s="147"/>
      <c r="D357" s="148"/>
      <c r="E357" s="149"/>
      <c r="F357" s="148">
        <v>708860</v>
      </c>
      <c r="G357" s="148">
        <v>0</v>
      </c>
      <c r="O357" s="139">
        <f t="shared" si="12"/>
        <v>0</v>
      </c>
      <c r="P357" s="139">
        <f t="shared" si="13"/>
        <v>0</v>
      </c>
      <c r="R357" s="139">
        <v>708860</v>
      </c>
      <c r="S357" s="139">
        <v>0</v>
      </c>
      <c r="T357" s="235"/>
      <c r="U357" s="139">
        <f t="shared" si="14"/>
        <v>0</v>
      </c>
      <c r="V357" s="139">
        <f t="shared" si="15"/>
        <v>0</v>
      </c>
    </row>
    <row r="358" spans="1:22" x14ac:dyDescent="0.2">
      <c r="A358" s="145" t="s">
        <v>580</v>
      </c>
      <c r="B358" s="146">
        <v>121020.14</v>
      </c>
      <c r="C358" s="147"/>
      <c r="D358" s="148"/>
      <c r="E358" s="149"/>
      <c r="F358" s="148">
        <v>121020.14</v>
      </c>
      <c r="G358" s="148">
        <v>0</v>
      </c>
      <c r="O358" s="139">
        <f t="shared" si="12"/>
        <v>0</v>
      </c>
      <c r="P358" s="139">
        <f t="shared" si="13"/>
        <v>0</v>
      </c>
      <c r="R358" s="139">
        <v>121020.14</v>
      </c>
      <c r="S358" s="139">
        <v>0</v>
      </c>
      <c r="T358" s="235"/>
      <c r="U358" s="139">
        <f t="shared" si="14"/>
        <v>0</v>
      </c>
      <c r="V358" s="139">
        <f t="shared" si="15"/>
        <v>0</v>
      </c>
    </row>
    <row r="359" spans="1:22" x14ac:dyDescent="0.2">
      <c r="A359" s="145" t="s">
        <v>581</v>
      </c>
      <c r="B359" s="146">
        <v>30348.959999999999</v>
      </c>
      <c r="C359" s="147"/>
      <c r="D359" s="148"/>
      <c r="E359" s="149"/>
      <c r="F359" s="148">
        <v>30348.959999999999</v>
      </c>
      <c r="G359" s="148">
        <v>0</v>
      </c>
      <c r="O359" s="139">
        <f t="shared" si="12"/>
        <v>0</v>
      </c>
      <c r="P359" s="139">
        <f t="shared" si="13"/>
        <v>0</v>
      </c>
      <c r="R359" s="139">
        <v>30348.959999999999</v>
      </c>
      <c r="S359" s="139">
        <v>0</v>
      </c>
      <c r="T359" s="235"/>
      <c r="U359" s="139">
        <f t="shared" si="14"/>
        <v>0</v>
      </c>
      <c r="V359" s="139">
        <f t="shared" si="15"/>
        <v>0</v>
      </c>
    </row>
    <row r="360" spans="1:22" x14ac:dyDescent="0.2">
      <c r="A360" s="145" t="s">
        <v>582</v>
      </c>
      <c r="B360" s="146">
        <v>236380</v>
      </c>
      <c r="C360" s="147"/>
      <c r="D360" s="148"/>
      <c r="E360" s="149"/>
      <c r="F360" s="148">
        <v>236380</v>
      </c>
      <c r="G360" s="148">
        <v>0</v>
      </c>
      <c r="O360" s="139">
        <f t="shared" si="12"/>
        <v>0</v>
      </c>
      <c r="P360" s="139">
        <f t="shared" si="13"/>
        <v>0</v>
      </c>
      <c r="R360" s="139">
        <v>236380</v>
      </c>
      <c r="S360" s="139">
        <v>0</v>
      </c>
      <c r="T360" s="235"/>
      <c r="U360" s="139">
        <f t="shared" si="14"/>
        <v>0</v>
      </c>
      <c r="V360" s="139">
        <f t="shared" si="15"/>
        <v>0</v>
      </c>
    </row>
    <row r="361" spans="1:22" x14ac:dyDescent="0.2">
      <c r="A361" s="145" t="s">
        <v>583</v>
      </c>
      <c r="B361" s="146">
        <v>65041.52</v>
      </c>
      <c r="C361" s="147"/>
      <c r="D361" s="148"/>
      <c r="E361" s="149"/>
      <c r="F361" s="148">
        <v>65041.52</v>
      </c>
      <c r="G361" s="148">
        <v>0</v>
      </c>
      <c r="O361" s="139">
        <f t="shared" si="12"/>
        <v>0</v>
      </c>
      <c r="P361" s="139">
        <f t="shared" si="13"/>
        <v>0</v>
      </c>
      <c r="R361" s="139">
        <v>65041.52</v>
      </c>
      <c r="S361" s="139">
        <v>0</v>
      </c>
      <c r="T361" s="235"/>
      <c r="U361" s="139">
        <f t="shared" si="14"/>
        <v>0</v>
      </c>
      <c r="V361" s="139">
        <f t="shared" si="15"/>
        <v>0</v>
      </c>
    </row>
    <row r="362" spans="1:22" x14ac:dyDescent="0.2">
      <c r="A362" s="145" t="s">
        <v>584</v>
      </c>
      <c r="B362" s="146">
        <v>112245.99</v>
      </c>
      <c r="C362" s="147"/>
      <c r="D362" s="148"/>
      <c r="E362" s="149"/>
      <c r="F362" s="148">
        <v>112245.99</v>
      </c>
      <c r="G362" s="148">
        <v>0</v>
      </c>
      <c r="O362" s="139">
        <f t="shared" si="12"/>
        <v>0</v>
      </c>
      <c r="P362" s="139">
        <f t="shared" si="13"/>
        <v>0</v>
      </c>
      <c r="R362" s="139">
        <v>112245.99</v>
      </c>
      <c r="S362" s="139">
        <v>0</v>
      </c>
      <c r="T362" s="235"/>
      <c r="U362" s="139">
        <f t="shared" si="14"/>
        <v>0</v>
      </c>
      <c r="V362" s="139">
        <f t="shared" si="15"/>
        <v>0</v>
      </c>
    </row>
    <row r="363" spans="1:22" x14ac:dyDescent="0.2">
      <c r="A363" s="145" t="s">
        <v>585</v>
      </c>
      <c r="B363" s="146">
        <v>10847</v>
      </c>
      <c r="C363" s="147"/>
      <c r="D363" s="148"/>
      <c r="E363" s="149"/>
      <c r="F363" s="148">
        <v>10847</v>
      </c>
      <c r="G363" s="148">
        <v>0</v>
      </c>
      <c r="O363" s="139">
        <f t="shared" si="12"/>
        <v>0</v>
      </c>
      <c r="P363" s="139">
        <f t="shared" si="13"/>
        <v>0</v>
      </c>
      <c r="R363" s="139">
        <v>10847</v>
      </c>
      <c r="S363" s="139">
        <v>0</v>
      </c>
      <c r="T363" s="235"/>
      <c r="U363" s="139">
        <f t="shared" si="14"/>
        <v>0</v>
      </c>
      <c r="V363" s="139">
        <f t="shared" si="15"/>
        <v>0</v>
      </c>
    </row>
    <row r="364" spans="1:22" x14ac:dyDescent="0.2">
      <c r="A364" s="145" t="s">
        <v>586</v>
      </c>
      <c r="B364" s="146">
        <v>8565.48</v>
      </c>
      <c r="C364" s="147"/>
      <c r="D364" s="148"/>
      <c r="E364" s="149"/>
      <c r="F364" s="148">
        <v>8565.48</v>
      </c>
      <c r="G364" s="148">
        <v>0</v>
      </c>
      <c r="O364" s="139">
        <f t="shared" si="12"/>
        <v>0</v>
      </c>
      <c r="P364" s="139">
        <f t="shared" si="13"/>
        <v>0</v>
      </c>
      <c r="R364" s="139">
        <v>8565.48</v>
      </c>
      <c r="S364" s="139">
        <v>0</v>
      </c>
      <c r="T364" s="235"/>
      <c r="U364" s="139">
        <f t="shared" si="14"/>
        <v>0</v>
      </c>
      <c r="V364" s="139">
        <f t="shared" si="15"/>
        <v>0</v>
      </c>
    </row>
    <row r="365" spans="1:22" x14ac:dyDescent="0.2">
      <c r="A365" s="145" t="s">
        <v>587</v>
      </c>
      <c r="B365" s="146">
        <v>1700</v>
      </c>
      <c r="C365" s="147"/>
      <c r="D365" s="148"/>
      <c r="E365" s="149"/>
      <c r="F365" s="148">
        <v>1700</v>
      </c>
      <c r="G365" s="148">
        <v>0</v>
      </c>
      <c r="O365" s="139">
        <f t="shared" si="12"/>
        <v>0</v>
      </c>
      <c r="P365" s="139">
        <f t="shared" si="13"/>
        <v>0</v>
      </c>
      <c r="R365" s="139">
        <v>1700</v>
      </c>
      <c r="S365" s="139">
        <v>0</v>
      </c>
      <c r="T365" s="235"/>
      <c r="U365" s="139">
        <f t="shared" si="14"/>
        <v>0</v>
      </c>
      <c r="V365" s="139">
        <f t="shared" si="15"/>
        <v>0</v>
      </c>
    </row>
    <row r="366" spans="1:22" x14ac:dyDescent="0.2">
      <c r="A366" s="145" t="s">
        <v>588</v>
      </c>
      <c r="B366" s="146">
        <v>41144.21</v>
      </c>
      <c r="C366" s="147"/>
      <c r="D366" s="148"/>
      <c r="E366" s="149"/>
      <c r="F366" s="148">
        <v>41144.21</v>
      </c>
      <c r="G366" s="148">
        <v>0</v>
      </c>
      <c r="O366" s="139">
        <f t="shared" si="12"/>
        <v>0</v>
      </c>
      <c r="P366" s="139">
        <f t="shared" si="13"/>
        <v>0</v>
      </c>
      <c r="R366" s="139">
        <v>41144.21</v>
      </c>
      <c r="S366" s="139">
        <v>0</v>
      </c>
      <c r="T366" s="235"/>
      <c r="U366" s="139">
        <f t="shared" si="14"/>
        <v>0</v>
      </c>
      <c r="V366" s="139">
        <f t="shared" si="15"/>
        <v>0</v>
      </c>
    </row>
    <row r="367" spans="1:22" x14ac:dyDescent="0.2">
      <c r="A367" s="145" t="s">
        <v>589</v>
      </c>
      <c r="B367" s="146">
        <v>3133</v>
      </c>
      <c r="C367" s="147"/>
      <c r="D367" s="148"/>
      <c r="E367" s="149"/>
      <c r="F367" s="148">
        <v>3133</v>
      </c>
      <c r="G367" s="148">
        <v>0</v>
      </c>
      <c r="O367" s="139">
        <f t="shared" si="12"/>
        <v>0</v>
      </c>
      <c r="P367" s="139">
        <f t="shared" si="13"/>
        <v>0</v>
      </c>
      <c r="R367" s="139">
        <v>3133</v>
      </c>
      <c r="S367" s="139">
        <v>0</v>
      </c>
      <c r="T367" s="235"/>
      <c r="U367" s="139">
        <f t="shared" si="14"/>
        <v>0</v>
      </c>
      <c r="V367" s="139">
        <f t="shared" si="15"/>
        <v>0</v>
      </c>
    </row>
    <row r="368" spans="1:22" x14ac:dyDescent="0.2">
      <c r="A368" s="145" t="s">
        <v>590</v>
      </c>
      <c r="B368" s="146">
        <v>600000</v>
      </c>
      <c r="C368" s="147"/>
      <c r="D368" s="148"/>
      <c r="E368" s="149"/>
      <c r="F368" s="148">
        <v>600000</v>
      </c>
      <c r="G368" s="148">
        <v>0</v>
      </c>
      <c r="O368" s="139">
        <f t="shared" si="12"/>
        <v>0</v>
      </c>
      <c r="P368" s="139">
        <f t="shared" si="13"/>
        <v>0</v>
      </c>
      <c r="R368" s="139">
        <v>600000</v>
      </c>
      <c r="S368" s="139">
        <v>0</v>
      </c>
      <c r="T368" s="235"/>
      <c r="U368" s="139">
        <f t="shared" si="14"/>
        <v>0</v>
      </c>
      <c r="V368" s="139">
        <f t="shared" si="15"/>
        <v>0</v>
      </c>
    </row>
    <row r="369" spans="1:23" x14ac:dyDescent="0.2">
      <c r="A369" s="145" t="s">
        <v>591</v>
      </c>
      <c r="B369" s="146">
        <v>532950</v>
      </c>
      <c r="C369" s="147"/>
      <c r="D369" s="148"/>
      <c r="E369" s="149"/>
      <c r="F369" s="148">
        <v>532950</v>
      </c>
      <c r="G369" s="148">
        <v>0</v>
      </c>
      <c r="O369" s="139">
        <f t="shared" si="12"/>
        <v>0</v>
      </c>
      <c r="P369" s="139">
        <f t="shared" si="13"/>
        <v>0</v>
      </c>
      <c r="R369" s="139">
        <v>532950</v>
      </c>
      <c r="S369" s="139">
        <v>0</v>
      </c>
      <c r="T369" s="235"/>
      <c r="U369" s="139">
        <f t="shared" si="14"/>
        <v>0</v>
      </c>
      <c r="V369" s="139">
        <f t="shared" si="15"/>
        <v>0</v>
      </c>
    </row>
    <row r="370" spans="1:23" x14ac:dyDescent="0.2">
      <c r="A370" s="145" t="s">
        <v>592</v>
      </c>
      <c r="B370" s="146">
        <v>106854.76</v>
      </c>
      <c r="C370" s="147"/>
      <c r="D370" s="148"/>
      <c r="E370" s="149"/>
      <c r="F370" s="148">
        <v>106854.76</v>
      </c>
      <c r="G370" s="148">
        <v>0</v>
      </c>
      <c r="O370" s="139">
        <f t="shared" si="12"/>
        <v>0</v>
      </c>
      <c r="P370" s="139">
        <f t="shared" si="13"/>
        <v>0</v>
      </c>
      <c r="R370" s="139">
        <v>106854.76</v>
      </c>
      <c r="S370" s="139">
        <v>0</v>
      </c>
      <c r="T370" s="235"/>
      <c r="U370" s="139">
        <f t="shared" si="14"/>
        <v>0</v>
      </c>
      <c r="V370" s="139">
        <f t="shared" si="15"/>
        <v>0</v>
      </c>
    </row>
    <row r="371" spans="1:23" x14ac:dyDescent="0.2">
      <c r="A371" s="145" t="s">
        <v>593</v>
      </c>
      <c r="B371" s="146">
        <v>89864</v>
      </c>
      <c r="C371" s="147"/>
      <c r="D371" s="148"/>
      <c r="E371" s="149"/>
      <c r="F371" s="148">
        <v>89864</v>
      </c>
      <c r="G371" s="148">
        <v>0</v>
      </c>
      <c r="O371" s="139">
        <f t="shared" si="12"/>
        <v>0</v>
      </c>
      <c r="P371" s="139">
        <f t="shared" si="13"/>
        <v>0</v>
      </c>
      <c r="R371" s="139">
        <v>89864</v>
      </c>
      <c r="S371" s="139">
        <v>0</v>
      </c>
      <c r="T371" s="235"/>
      <c r="U371" s="139">
        <f t="shared" si="14"/>
        <v>0</v>
      </c>
      <c r="V371" s="139">
        <f t="shared" si="15"/>
        <v>0</v>
      </c>
    </row>
    <row r="372" spans="1:23" x14ac:dyDescent="0.2">
      <c r="A372" s="145" t="s">
        <v>594</v>
      </c>
      <c r="B372" s="146">
        <v>1345</v>
      </c>
      <c r="C372" s="147"/>
      <c r="D372" s="148"/>
      <c r="E372" s="149"/>
      <c r="F372" s="148">
        <v>1345</v>
      </c>
      <c r="G372" s="148">
        <v>0</v>
      </c>
      <c r="O372" s="139">
        <f t="shared" si="12"/>
        <v>0</v>
      </c>
      <c r="P372" s="139">
        <f t="shared" si="13"/>
        <v>0</v>
      </c>
      <c r="R372" s="139">
        <v>1345</v>
      </c>
      <c r="S372" s="139">
        <v>0</v>
      </c>
      <c r="T372" s="235"/>
      <c r="U372" s="139">
        <f t="shared" si="14"/>
        <v>0</v>
      </c>
      <c r="V372" s="139">
        <f t="shared" si="15"/>
        <v>0</v>
      </c>
    </row>
    <row r="373" spans="1:23" x14ac:dyDescent="0.2">
      <c r="A373" s="145" t="s">
        <v>595</v>
      </c>
      <c r="B373" s="146">
        <v>568750</v>
      </c>
      <c r="C373" s="147"/>
      <c r="D373" s="148"/>
      <c r="E373" s="149"/>
      <c r="F373" s="148">
        <v>568750</v>
      </c>
      <c r="G373" s="148">
        <v>0</v>
      </c>
      <c r="O373" s="139">
        <f t="shared" si="12"/>
        <v>0</v>
      </c>
      <c r="P373" s="139">
        <f t="shared" si="13"/>
        <v>0</v>
      </c>
      <c r="R373" s="139">
        <v>568750</v>
      </c>
      <c r="S373" s="139">
        <v>0</v>
      </c>
      <c r="T373" s="235"/>
      <c r="U373" s="139">
        <f t="shared" si="14"/>
        <v>0</v>
      </c>
      <c r="V373" s="139">
        <f t="shared" si="15"/>
        <v>0</v>
      </c>
    </row>
    <row r="374" spans="1:23" x14ac:dyDescent="0.2">
      <c r="A374" s="145" t="s">
        <v>596</v>
      </c>
      <c r="B374" s="146">
        <v>64800</v>
      </c>
      <c r="C374" s="147"/>
      <c r="D374" s="148"/>
      <c r="E374" s="149"/>
      <c r="F374" s="148">
        <v>64800</v>
      </c>
      <c r="G374" s="148">
        <v>0</v>
      </c>
      <c r="O374" s="139">
        <f t="shared" si="12"/>
        <v>0</v>
      </c>
      <c r="P374" s="139">
        <f t="shared" si="13"/>
        <v>0</v>
      </c>
      <c r="R374" s="139">
        <v>64800</v>
      </c>
      <c r="S374" s="139">
        <v>0</v>
      </c>
      <c r="T374" s="235"/>
      <c r="U374" s="139">
        <f t="shared" si="14"/>
        <v>0</v>
      </c>
      <c r="V374" s="139">
        <f t="shared" si="15"/>
        <v>0</v>
      </c>
    </row>
    <row r="375" spans="1:23" x14ac:dyDescent="0.2">
      <c r="A375" s="145" t="s">
        <v>597</v>
      </c>
      <c r="B375" s="146">
        <v>16200</v>
      </c>
      <c r="C375" s="147"/>
      <c r="D375" s="148"/>
      <c r="E375" s="149"/>
      <c r="F375" s="148">
        <v>16200</v>
      </c>
      <c r="G375" s="148">
        <v>0</v>
      </c>
      <c r="O375" s="139">
        <f t="shared" si="12"/>
        <v>0</v>
      </c>
      <c r="P375" s="139">
        <f t="shared" si="13"/>
        <v>0</v>
      </c>
      <c r="R375" s="139">
        <v>16200</v>
      </c>
      <c r="S375" s="139">
        <v>0</v>
      </c>
      <c r="T375" s="235"/>
      <c r="U375" s="139">
        <f t="shared" si="14"/>
        <v>0</v>
      </c>
      <c r="V375" s="139">
        <f t="shared" si="15"/>
        <v>0</v>
      </c>
    </row>
    <row r="376" spans="1:23" x14ac:dyDescent="0.2">
      <c r="A376" s="145" t="s">
        <v>598</v>
      </c>
      <c r="B376" s="146">
        <v>40246</v>
      </c>
      <c r="C376" s="147"/>
      <c r="D376" s="148"/>
      <c r="E376" s="149"/>
      <c r="F376" s="148">
        <v>40246</v>
      </c>
      <c r="G376" s="148">
        <v>0</v>
      </c>
      <c r="O376" s="139">
        <f t="shared" si="12"/>
        <v>0</v>
      </c>
      <c r="P376" s="139">
        <f t="shared" si="13"/>
        <v>0</v>
      </c>
      <c r="R376" s="139">
        <v>40246</v>
      </c>
      <c r="S376" s="139">
        <v>0</v>
      </c>
      <c r="T376" s="235"/>
      <c r="U376" s="139">
        <f t="shared" si="14"/>
        <v>0</v>
      </c>
      <c r="V376" s="139">
        <f t="shared" si="15"/>
        <v>0</v>
      </c>
    </row>
    <row r="377" spans="1:23" x14ac:dyDescent="0.2">
      <c r="A377" s="145" t="s">
        <v>599</v>
      </c>
      <c r="B377" s="146">
        <v>380000</v>
      </c>
      <c r="C377" s="147"/>
      <c r="D377" s="148"/>
      <c r="E377" s="149"/>
      <c r="F377" s="148">
        <v>380000</v>
      </c>
      <c r="G377" s="148">
        <v>0</v>
      </c>
      <c r="O377" s="139">
        <f t="shared" si="12"/>
        <v>0</v>
      </c>
      <c r="P377" s="139">
        <f t="shared" si="13"/>
        <v>0</v>
      </c>
      <c r="R377" s="139">
        <v>380000</v>
      </c>
      <c r="S377" s="139">
        <v>0</v>
      </c>
      <c r="T377" s="235"/>
      <c r="U377" s="139">
        <f t="shared" si="14"/>
        <v>0</v>
      </c>
      <c r="V377" s="139">
        <f t="shared" si="15"/>
        <v>0</v>
      </c>
    </row>
    <row r="378" spans="1:23" x14ac:dyDescent="0.2">
      <c r="A378" s="145" t="s">
        <v>475</v>
      </c>
      <c r="B378" s="146">
        <v>192500</v>
      </c>
      <c r="C378" s="147"/>
      <c r="D378" s="148"/>
      <c r="E378" s="149"/>
      <c r="F378" s="148">
        <v>192500</v>
      </c>
      <c r="G378" s="148">
        <v>0</v>
      </c>
      <c r="O378" s="139">
        <f t="shared" si="12"/>
        <v>0</v>
      </c>
      <c r="P378" s="139">
        <f t="shared" si="13"/>
        <v>0</v>
      </c>
      <c r="R378" s="139">
        <v>192500</v>
      </c>
      <c r="S378" s="139">
        <v>0</v>
      </c>
      <c r="T378" s="235"/>
      <c r="U378" s="139">
        <f t="shared" si="14"/>
        <v>0</v>
      </c>
      <c r="V378" s="139">
        <f t="shared" si="15"/>
        <v>0</v>
      </c>
    </row>
    <row r="379" spans="1:23" x14ac:dyDescent="0.2">
      <c r="A379" s="145" t="s">
        <v>476</v>
      </c>
      <c r="B379" s="146">
        <v>23082.25</v>
      </c>
      <c r="C379" s="147"/>
      <c r="D379" s="148"/>
      <c r="E379" s="149"/>
      <c r="F379" s="148">
        <v>23082.25</v>
      </c>
      <c r="G379" s="148">
        <v>0</v>
      </c>
      <c r="O379" s="139">
        <f t="shared" si="12"/>
        <v>0</v>
      </c>
      <c r="P379" s="139">
        <f t="shared" si="13"/>
        <v>0</v>
      </c>
      <c r="R379" s="139">
        <v>23082.25</v>
      </c>
      <c r="S379" s="139">
        <v>0</v>
      </c>
      <c r="T379" s="235"/>
      <c r="U379" s="139">
        <f t="shared" si="14"/>
        <v>0</v>
      </c>
      <c r="V379" s="139">
        <f t="shared" si="15"/>
        <v>0</v>
      </c>
    </row>
    <row r="380" spans="1:23" x14ac:dyDescent="0.2">
      <c r="A380" s="145" t="s">
        <v>477</v>
      </c>
      <c r="B380" s="146">
        <v>117035</v>
      </c>
      <c r="C380" s="147"/>
      <c r="D380" s="148">
        <v>1200</v>
      </c>
      <c r="E380" s="149"/>
      <c r="F380" s="148">
        <v>117035</v>
      </c>
      <c r="G380" s="148">
        <v>0</v>
      </c>
      <c r="H380" s="218"/>
      <c r="I380" s="218"/>
      <c r="J380" s="218"/>
      <c r="K380" s="218"/>
      <c r="L380" s="219"/>
      <c r="M380" s="218"/>
      <c r="N380" s="218"/>
      <c r="O380" s="139">
        <f t="shared" si="12"/>
        <v>0</v>
      </c>
      <c r="P380" s="139">
        <f t="shared" si="13"/>
        <v>0</v>
      </c>
      <c r="R380" s="139">
        <v>117035</v>
      </c>
      <c r="S380" s="139">
        <v>0</v>
      </c>
      <c r="U380" s="219">
        <f t="shared" si="14"/>
        <v>0</v>
      </c>
      <c r="V380" s="219">
        <f t="shared" si="15"/>
        <v>0</v>
      </c>
      <c r="W380" s="164"/>
    </row>
    <row r="381" spans="1:23" x14ac:dyDescent="0.2">
      <c r="A381" s="172" t="s">
        <v>478</v>
      </c>
      <c r="B381" s="173">
        <v>2188460.04</v>
      </c>
      <c r="C381" s="174"/>
      <c r="D381" s="184"/>
      <c r="E381" s="187"/>
      <c r="F381" s="184">
        <v>2188460.04</v>
      </c>
      <c r="G381" s="148">
        <v>0</v>
      </c>
      <c r="H381" s="175"/>
      <c r="I381" s="175"/>
      <c r="J381" s="175"/>
      <c r="K381" s="175"/>
      <c r="L381" s="176"/>
      <c r="M381" s="175"/>
      <c r="N381" s="175"/>
      <c r="O381" s="139">
        <f t="shared" si="12"/>
        <v>0</v>
      </c>
      <c r="P381" s="139">
        <f t="shared" si="13"/>
        <v>0</v>
      </c>
      <c r="R381" s="139">
        <v>2188460.04</v>
      </c>
      <c r="S381" s="139">
        <v>0</v>
      </c>
      <c r="T381" s="235"/>
      <c r="U381" s="139">
        <f t="shared" si="14"/>
        <v>0</v>
      </c>
      <c r="V381" s="139">
        <f t="shared" si="15"/>
        <v>0</v>
      </c>
    </row>
    <row r="382" spans="1:23" x14ac:dyDescent="0.2">
      <c r="A382" s="145" t="s">
        <v>479</v>
      </c>
      <c r="B382" s="146">
        <v>707370</v>
      </c>
      <c r="C382" s="147"/>
      <c r="D382" s="148"/>
      <c r="E382" s="149"/>
      <c r="F382" s="148">
        <v>707370</v>
      </c>
      <c r="G382" s="148">
        <v>0</v>
      </c>
      <c r="O382" s="139">
        <f t="shared" si="12"/>
        <v>0</v>
      </c>
      <c r="P382" s="139">
        <f t="shared" si="13"/>
        <v>0</v>
      </c>
      <c r="R382" s="139">
        <v>707370</v>
      </c>
      <c r="S382" s="139">
        <v>0</v>
      </c>
      <c r="T382" s="235"/>
      <c r="U382" s="139">
        <f t="shared" si="14"/>
        <v>0</v>
      </c>
      <c r="V382" s="139">
        <f t="shared" si="15"/>
        <v>0</v>
      </c>
    </row>
    <row r="383" spans="1:23" x14ac:dyDescent="0.2">
      <c r="A383" s="145" t="s">
        <v>600</v>
      </c>
      <c r="B383" s="146">
        <v>75000</v>
      </c>
      <c r="C383" s="147"/>
      <c r="D383" s="148"/>
      <c r="E383" s="149"/>
      <c r="F383" s="148">
        <v>75000</v>
      </c>
      <c r="G383" s="148">
        <v>0</v>
      </c>
      <c r="O383" s="139">
        <f t="shared" si="12"/>
        <v>0</v>
      </c>
      <c r="P383" s="139">
        <f t="shared" si="13"/>
        <v>0</v>
      </c>
      <c r="R383" s="139">
        <v>75000</v>
      </c>
      <c r="S383" s="139">
        <v>0</v>
      </c>
      <c r="T383" s="235"/>
      <c r="U383" s="139">
        <f t="shared" si="14"/>
        <v>0</v>
      </c>
      <c r="V383" s="139">
        <f t="shared" si="15"/>
        <v>0</v>
      </c>
    </row>
    <row r="384" spans="1:23" x14ac:dyDescent="0.2">
      <c r="A384" s="145" t="s">
        <v>601</v>
      </c>
      <c r="B384" s="146">
        <v>17846</v>
      </c>
      <c r="C384" s="147"/>
      <c r="D384" s="148"/>
      <c r="E384" s="149"/>
      <c r="F384" s="148">
        <v>17846</v>
      </c>
      <c r="G384" s="148">
        <v>0</v>
      </c>
      <c r="O384" s="139">
        <f t="shared" si="12"/>
        <v>0</v>
      </c>
      <c r="P384" s="139">
        <f t="shared" si="13"/>
        <v>0</v>
      </c>
      <c r="R384" s="139">
        <v>17846</v>
      </c>
      <c r="S384" s="139">
        <v>0</v>
      </c>
      <c r="T384" s="235"/>
      <c r="U384" s="139">
        <f t="shared" si="14"/>
        <v>0</v>
      </c>
      <c r="V384" s="139">
        <f t="shared" si="15"/>
        <v>0</v>
      </c>
    </row>
    <row r="385" spans="1:22" x14ac:dyDescent="0.2">
      <c r="A385" s="145" t="s">
        <v>205</v>
      </c>
      <c r="B385" s="146">
        <v>1159200</v>
      </c>
      <c r="C385" s="147"/>
      <c r="D385" s="148"/>
      <c r="E385" s="149"/>
      <c r="F385" s="148">
        <v>1159200</v>
      </c>
      <c r="G385" s="148">
        <v>0</v>
      </c>
      <c r="O385" s="139">
        <f t="shared" si="12"/>
        <v>0</v>
      </c>
      <c r="P385" s="139">
        <f t="shared" si="13"/>
        <v>0</v>
      </c>
      <c r="R385" s="139">
        <v>1159200</v>
      </c>
      <c r="S385" s="139">
        <v>0</v>
      </c>
      <c r="T385" s="235"/>
      <c r="U385" s="139">
        <f t="shared" si="14"/>
        <v>0</v>
      </c>
      <c r="V385" s="139">
        <f t="shared" si="15"/>
        <v>0</v>
      </c>
    </row>
    <row r="386" spans="1:22" x14ac:dyDescent="0.2">
      <c r="A386" s="145" t="s">
        <v>206</v>
      </c>
      <c r="B386" s="146">
        <v>50142.32</v>
      </c>
      <c r="C386" s="147"/>
      <c r="D386" s="148"/>
      <c r="E386" s="149"/>
      <c r="F386" s="148">
        <v>50142.32</v>
      </c>
      <c r="G386" s="148">
        <v>0</v>
      </c>
      <c r="O386" s="139">
        <f t="shared" ref="O386:O431" si="16">B386-F386</f>
        <v>0</v>
      </c>
      <c r="P386" s="139">
        <f t="shared" ref="P386:P431" si="17">C386-G386</f>
        <v>0</v>
      </c>
      <c r="R386" s="139">
        <v>50142.32</v>
      </c>
      <c r="S386" s="139">
        <v>0</v>
      </c>
      <c r="T386" s="235"/>
      <c r="U386" s="139">
        <f t="shared" si="14"/>
        <v>0</v>
      </c>
      <c r="V386" s="139">
        <f t="shared" si="15"/>
        <v>0</v>
      </c>
    </row>
    <row r="387" spans="1:22" x14ac:dyDescent="0.2">
      <c r="A387" s="145" t="s">
        <v>207</v>
      </c>
      <c r="B387" s="146">
        <v>100500</v>
      </c>
      <c r="C387" s="147"/>
      <c r="D387" s="148"/>
      <c r="E387" s="149"/>
      <c r="F387" s="148">
        <v>100500</v>
      </c>
      <c r="G387" s="148">
        <v>0</v>
      </c>
      <c r="O387" s="139">
        <f t="shared" si="16"/>
        <v>0</v>
      </c>
      <c r="P387" s="139">
        <f t="shared" si="17"/>
        <v>0</v>
      </c>
      <c r="R387" s="139">
        <v>100500</v>
      </c>
      <c r="S387" s="139">
        <v>0</v>
      </c>
      <c r="T387" s="235"/>
      <c r="U387" s="139">
        <f t="shared" si="14"/>
        <v>0</v>
      </c>
      <c r="V387" s="139">
        <f t="shared" si="15"/>
        <v>0</v>
      </c>
    </row>
    <row r="388" spans="1:22" x14ac:dyDescent="0.2">
      <c r="A388" s="145" t="s">
        <v>208</v>
      </c>
      <c r="B388" s="146">
        <v>2700000</v>
      </c>
      <c r="C388" s="147"/>
      <c r="D388" s="148"/>
      <c r="E388" s="149"/>
      <c r="F388" s="148">
        <v>2700000</v>
      </c>
      <c r="G388" s="148">
        <v>0</v>
      </c>
      <c r="O388" s="139">
        <f t="shared" si="16"/>
        <v>0</v>
      </c>
      <c r="P388" s="139">
        <f t="shared" si="17"/>
        <v>0</v>
      </c>
      <c r="R388" s="139">
        <v>2700000</v>
      </c>
      <c r="S388" s="139">
        <v>0</v>
      </c>
      <c r="T388" s="235"/>
      <c r="U388" s="139">
        <f t="shared" ref="U388:U446" si="18">F388-R388</f>
        <v>0</v>
      </c>
      <c r="V388" s="139">
        <f t="shared" ref="V388:V446" si="19">G388-S388</f>
        <v>0</v>
      </c>
    </row>
    <row r="389" spans="1:22" x14ac:dyDescent="0.2">
      <c r="A389" s="145" t="s">
        <v>480</v>
      </c>
      <c r="B389" s="146">
        <v>840080</v>
      </c>
      <c r="C389" s="147"/>
      <c r="D389" s="148"/>
      <c r="E389" s="149"/>
      <c r="F389" s="148">
        <v>840080</v>
      </c>
      <c r="G389" s="148">
        <v>0</v>
      </c>
      <c r="O389" s="139">
        <f t="shared" si="16"/>
        <v>0</v>
      </c>
      <c r="P389" s="139">
        <f t="shared" si="17"/>
        <v>0</v>
      </c>
      <c r="R389" s="139">
        <v>840080</v>
      </c>
      <c r="S389" s="139">
        <v>0</v>
      </c>
      <c r="T389" s="235"/>
      <c r="U389" s="139">
        <f t="shared" si="18"/>
        <v>0</v>
      </c>
      <c r="V389" s="139">
        <f t="shared" si="19"/>
        <v>0</v>
      </c>
    </row>
    <row r="390" spans="1:22" x14ac:dyDescent="0.2">
      <c r="A390" s="145" t="s">
        <v>209</v>
      </c>
      <c r="B390" s="146">
        <v>251987</v>
      </c>
      <c r="C390" s="147"/>
      <c r="D390" s="148"/>
      <c r="E390" s="149"/>
      <c r="F390" s="148">
        <v>251987</v>
      </c>
      <c r="G390" s="148">
        <v>0</v>
      </c>
      <c r="O390" s="139">
        <f t="shared" si="16"/>
        <v>0</v>
      </c>
      <c r="P390" s="139">
        <f t="shared" si="17"/>
        <v>0</v>
      </c>
      <c r="R390" s="139">
        <v>251987</v>
      </c>
      <c r="S390" s="139">
        <v>0</v>
      </c>
      <c r="T390" s="235"/>
      <c r="U390" s="139">
        <f t="shared" si="18"/>
        <v>0</v>
      </c>
      <c r="V390" s="139">
        <f t="shared" si="19"/>
        <v>0</v>
      </c>
    </row>
    <row r="391" spans="1:22" x14ac:dyDescent="0.2">
      <c r="A391" s="145" t="s">
        <v>210</v>
      </c>
      <c r="B391" s="146">
        <v>676097</v>
      </c>
      <c r="C391" s="147"/>
      <c r="D391" s="148"/>
      <c r="E391" s="149"/>
      <c r="F391" s="148">
        <v>676097</v>
      </c>
      <c r="G391" s="148">
        <v>0</v>
      </c>
      <c r="O391" s="139">
        <f t="shared" si="16"/>
        <v>0</v>
      </c>
      <c r="P391" s="139">
        <f t="shared" si="17"/>
        <v>0</v>
      </c>
      <c r="R391" s="139">
        <v>676097</v>
      </c>
      <c r="S391" s="139">
        <v>0</v>
      </c>
      <c r="T391" s="235"/>
      <c r="U391" s="139">
        <f t="shared" si="18"/>
        <v>0</v>
      </c>
      <c r="V391" s="139">
        <f t="shared" si="19"/>
        <v>0</v>
      </c>
    </row>
    <row r="392" spans="1:22" x14ac:dyDescent="0.2">
      <c r="A392" s="145" t="s">
        <v>211</v>
      </c>
      <c r="B392" s="146">
        <v>1659190.12</v>
      </c>
      <c r="C392" s="147"/>
      <c r="D392" s="148"/>
      <c r="E392" s="149"/>
      <c r="F392" s="148">
        <v>1659190.12</v>
      </c>
      <c r="G392" s="148">
        <v>0</v>
      </c>
      <c r="O392" s="139">
        <f t="shared" si="16"/>
        <v>0</v>
      </c>
      <c r="P392" s="139">
        <f t="shared" si="17"/>
        <v>0</v>
      </c>
      <c r="R392" s="139">
        <v>1659190.12</v>
      </c>
      <c r="S392" s="139">
        <v>0</v>
      </c>
      <c r="T392" s="235"/>
      <c r="U392" s="139">
        <f t="shared" si="18"/>
        <v>0</v>
      </c>
      <c r="V392" s="139">
        <f t="shared" si="19"/>
        <v>0</v>
      </c>
    </row>
    <row r="393" spans="1:22" x14ac:dyDescent="0.2">
      <c r="A393" s="145" t="s">
        <v>602</v>
      </c>
      <c r="B393" s="146">
        <v>1117923.47</v>
      </c>
      <c r="C393" s="147"/>
      <c r="D393" s="148"/>
      <c r="E393" s="149"/>
      <c r="F393" s="148">
        <v>1117923.47</v>
      </c>
      <c r="G393" s="148">
        <v>0</v>
      </c>
      <c r="O393" s="139">
        <f t="shared" si="16"/>
        <v>0</v>
      </c>
      <c r="P393" s="139">
        <f t="shared" si="17"/>
        <v>0</v>
      </c>
      <c r="R393" s="139">
        <v>1117923.47</v>
      </c>
      <c r="S393" s="139">
        <v>0</v>
      </c>
      <c r="T393" s="235"/>
      <c r="U393" s="139">
        <f t="shared" si="18"/>
        <v>0</v>
      </c>
      <c r="V393" s="139">
        <f t="shared" si="19"/>
        <v>0</v>
      </c>
    </row>
    <row r="394" spans="1:22" x14ac:dyDescent="0.2">
      <c r="A394" s="145" t="s">
        <v>603</v>
      </c>
      <c r="B394" s="146">
        <v>227964.35</v>
      </c>
      <c r="C394" s="147"/>
      <c r="D394" s="148"/>
      <c r="E394" s="149"/>
      <c r="F394" s="148">
        <v>227964.35</v>
      </c>
      <c r="G394" s="148">
        <v>0</v>
      </c>
      <c r="O394" s="139">
        <f t="shared" si="16"/>
        <v>0</v>
      </c>
      <c r="P394" s="139">
        <f t="shared" si="17"/>
        <v>0</v>
      </c>
      <c r="R394" s="139">
        <v>227964.35</v>
      </c>
      <c r="S394" s="139">
        <v>0</v>
      </c>
      <c r="T394" s="235"/>
      <c r="U394" s="139">
        <f t="shared" si="18"/>
        <v>0</v>
      </c>
      <c r="V394" s="139">
        <f t="shared" si="19"/>
        <v>0</v>
      </c>
    </row>
    <row r="395" spans="1:22" x14ac:dyDescent="0.2">
      <c r="A395" s="145" t="s">
        <v>293</v>
      </c>
      <c r="B395" s="146">
        <v>188960</v>
      </c>
      <c r="C395" s="147"/>
      <c r="D395" s="148"/>
      <c r="E395" s="149"/>
      <c r="F395" s="148">
        <v>188960</v>
      </c>
      <c r="G395" s="148">
        <v>0</v>
      </c>
      <c r="O395" s="139">
        <f t="shared" si="16"/>
        <v>0</v>
      </c>
      <c r="P395" s="139">
        <f t="shared" si="17"/>
        <v>0</v>
      </c>
      <c r="R395" s="139">
        <v>188960</v>
      </c>
      <c r="S395" s="139">
        <v>0</v>
      </c>
      <c r="T395" s="235"/>
      <c r="U395" s="139">
        <f t="shared" si="18"/>
        <v>0</v>
      </c>
      <c r="V395" s="139">
        <f t="shared" si="19"/>
        <v>0</v>
      </c>
    </row>
    <row r="396" spans="1:22" x14ac:dyDescent="0.2">
      <c r="A396" s="145" t="s">
        <v>212</v>
      </c>
      <c r="B396" s="146">
        <v>75618.25</v>
      </c>
      <c r="C396" s="147"/>
      <c r="D396" s="148"/>
      <c r="E396" s="149"/>
      <c r="F396" s="148">
        <v>75618.25</v>
      </c>
      <c r="G396" s="148">
        <v>0</v>
      </c>
      <c r="O396" s="139">
        <f t="shared" si="16"/>
        <v>0</v>
      </c>
      <c r="P396" s="139">
        <f t="shared" si="17"/>
        <v>0</v>
      </c>
      <c r="R396" s="139">
        <v>75618.25</v>
      </c>
      <c r="S396" s="139">
        <v>0</v>
      </c>
      <c r="T396" s="235"/>
      <c r="U396" s="139">
        <f t="shared" si="18"/>
        <v>0</v>
      </c>
      <c r="V396" s="139">
        <f t="shared" si="19"/>
        <v>0</v>
      </c>
    </row>
    <row r="397" spans="1:22" x14ac:dyDescent="0.2">
      <c r="A397" s="145" t="s">
        <v>213</v>
      </c>
      <c r="B397" s="146">
        <v>179042.9</v>
      </c>
      <c r="C397" s="147"/>
      <c r="D397" s="148"/>
      <c r="E397" s="149"/>
      <c r="F397" s="148">
        <v>179042.9</v>
      </c>
      <c r="G397" s="148">
        <v>0</v>
      </c>
      <c r="O397" s="139">
        <f t="shared" si="16"/>
        <v>0</v>
      </c>
      <c r="P397" s="139">
        <f t="shared" si="17"/>
        <v>0</v>
      </c>
      <c r="R397" s="139">
        <v>179042.9</v>
      </c>
      <c r="S397" s="139">
        <v>0</v>
      </c>
      <c r="T397" s="235"/>
      <c r="U397" s="139">
        <f t="shared" si="18"/>
        <v>0</v>
      </c>
      <c r="V397" s="139">
        <f t="shared" si="19"/>
        <v>0</v>
      </c>
    </row>
    <row r="398" spans="1:22" x14ac:dyDescent="0.2">
      <c r="A398" s="145" t="s">
        <v>214</v>
      </c>
      <c r="B398" s="146">
        <v>263151.3</v>
      </c>
      <c r="C398" s="147"/>
      <c r="D398" s="148"/>
      <c r="E398" s="149"/>
      <c r="F398" s="148">
        <v>263151.3</v>
      </c>
      <c r="G398" s="148">
        <v>0</v>
      </c>
      <c r="O398" s="139">
        <f t="shared" si="16"/>
        <v>0</v>
      </c>
      <c r="P398" s="139">
        <f t="shared" si="17"/>
        <v>0</v>
      </c>
      <c r="R398" s="139">
        <v>263151.3</v>
      </c>
      <c r="S398" s="139">
        <v>0</v>
      </c>
      <c r="T398" s="235"/>
      <c r="U398" s="139">
        <f t="shared" si="18"/>
        <v>0</v>
      </c>
      <c r="V398" s="139">
        <f t="shared" si="19"/>
        <v>0</v>
      </c>
    </row>
    <row r="399" spans="1:22" x14ac:dyDescent="0.2">
      <c r="A399" s="145" t="s">
        <v>215</v>
      </c>
      <c r="B399" s="146">
        <v>298169.02</v>
      </c>
      <c r="C399" s="147"/>
      <c r="D399" s="148"/>
      <c r="E399" s="149"/>
      <c r="F399" s="148">
        <v>298169.02</v>
      </c>
      <c r="G399" s="148">
        <v>0</v>
      </c>
      <c r="O399" s="139">
        <f t="shared" si="16"/>
        <v>0</v>
      </c>
      <c r="P399" s="139">
        <f t="shared" si="17"/>
        <v>0</v>
      </c>
      <c r="R399" s="139">
        <v>298169.02</v>
      </c>
      <c r="S399" s="139">
        <v>0</v>
      </c>
      <c r="T399" s="235"/>
      <c r="U399" s="139">
        <f t="shared" si="18"/>
        <v>0</v>
      </c>
      <c r="V399" s="139">
        <f t="shared" si="19"/>
        <v>0</v>
      </c>
    </row>
    <row r="400" spans="1:22" x14ac:dyDescent="0.2">
      <c r="A400" s="145" t="s">
        <v>216</v>
      </c>
      <c r="B400" s="146">
        <v>479516.81</v>
      </c>
      <c r="C400" s="147"/>
      <c r="D400" s="148"/>
      <c r="E400" s="149"/>
      <c r="F400" s="148">
        <v>479516.81</v>
      </c>
      <c r="G400" s="148">
        <v>0</v>
      </c>
      <c r="O400" s="139">
        <f t="shared" si="16"/>
        <v>0</v>
      </c>
      <c r="P400" s="139">
        <f t="shared" si="17"/>
        <v>0</v>
      </c>
      <c r="R400" s="139">
        <v>479516.81</v>
      </c>
      <c r="S400" s="139">
        <v>0</v>
      </c>
      <c r="T400" s="235"/>
      <c r="U400" s="139">
        <f t="shared" si="18"/>
        <v>0</v>
      </c>
      <c r="V400" s="139">
        <f t="shared" si="19"/>
        <v>0</v>
      </c>
    </row>
    <row r="401" spans="1:22" x14ac:dyDescent="0.2">
      <c r="A401" s="145" t="s">
        <v>217</v>
      </c>
      <c r="B401" s="146">
        <v>61064.88</v>
      </c>
      <c r="C401" s="147"/>
      <c r="D401" s="148"/>
      <c r="E401" s="149"/>
      <c r="F401" s="148">
        <v>61064.88</v>
      </c>
      <c r="G401" s="148">
        <v>0</v>
      </c>
      <c r="O401" s="139">
        <f t="shared" si="16"/>
        <v>0</v>
      </c>
      <c r="P401" s="139">
        <f t="shared" si="17"/>
        <v>0</v>
      </c>
      <c r="R401" s="139">
        <v>61064.88</v>
      </c>
      <c r="S401" s="139">
        <v>0</v>
      </c>
      <c r="T401" s="235"/>
      <c r="U401" s="139">
        <f t="shared" si="18"/>
        <v>0</v>
      </c>
      <c r="V401" s="139">
        <f t="shared" si="19"/>
        <v>0</v>
      </c>
    </row>
    <row r="402" spans="1:22" x14ac:dyDescent="0.2">
      <c r="A402" s="145" t="s">
        <v>294</v>
      </c>
      <c r="B402" s="146">
        <v>1000</v>
      </c>
      <c r="C402" s="147"/>
      <c r="D402" s="148"/>
      <c r="E402" s="149"/>
      <c r="F402" s="148">
        <v>1000</v>
      </c>
      <c r="G402" s="148">
        <v>0</v>
      </c>
      <c r="O402" s="139">
        <f t="shared" si="16"/>
        <v>0</v>
      </c>
      <c r="P402" s="139">
        <f t="shared" si="17"/>
        <v>0</v>
      </c>
      <c r="R402" s="139">
        <v>1000</v>
      </c>
      <c r="S402" s="139">
        <v>0</v>
      </c>
      <c r="T402" s="235"/>
      <c r="U402" s="139">
        <f t="shared" si="18"/>
        <v>0</v>
      </c>
      <c r="V402" s="139">
        <f t="shared" si="19"/>
        <v>0</v>
      </c>
    </row>
    <row r="403" spans="1:22" x14ac:dyDescent="0.2">
      <c r="A403" s="145" t="s">
        <v>481</v>
      </c>
      <c r="B403" s="146">
        <v>269782</v>
      </c>
      <c r="C403" s="147"/>
      <c r="D403" s="148"/>
      <c r="E403" s="149"/>
      <c r="F403" s="148">
        <v>269782</v>
      </c>
      <c r="G403" s="148">
        <v>0</v>
      </c>
      <c r="O403" s="139">
        <f t="shared" si="16"/>
        <v>0</v>
      </c>
      <c r="P403" s="139">
        <f t="shared" si="17"/>
        <v>0</v>
      </c>
      <c r="R403" s="139">
        <v>269782</v>
      </c>
      <c r="S403" s="139">
        <v>0</v>
      </c>
      <c r="T403" s="235"/>
      <c r="U403" s="139">
        <f t="shared" si="18"/>
        <v>0</v>
      </c>
      <c r="V403" s="139">
        <f t="shared" si="19"/>
        <v>0</v>
      </c>
    </row>
    <row r="404" spans="1:22" x14ac:dyDescent="0.2">
      <c r="A404" s="145" t="s">
        <v>218</v>
      </c>
      <c r="B404" s="146">
        <v>174439.67</v>
      </c>
      <c r="C404" s="147"/>
      <c r="D404" s="148"/>
      <c r="E404" s="149"/>
      <c r="F404" s="148">
        <v>174439.67</v>
      </c>
      <c r="G404" s="148">
        <v>0</v>
      </c>
      <c r="O404" s="139">
        <f t="shared" si="16"/>
        <v>0</v>
      </c>
      <c r="P404" s="139">
        <f t="shared" si="17"/>
        <v>0</v>
      </c>
      <c r="R404" s="139">
        <v>174439.67</v>
      </c>
      <c r="S404" s="139">
        <v>0</v>
      </c>
      <c r="T404" s="235"/>
      <c r="U404" s="139">
        <f t="shared" si="18"/>
        <v>0</v>
      </c>
      <c r="V404" s="139">
        <f t="shared" si="19"/>
        <v>0</v>
      </c>
    </row>
    <row r="405" spans="1:22" x14ac:dyDescent="0.2">
      <c r="A405" s="145" t="s">
        <v>219</v>
      </c>
      <c r="B405" s="146">
        <v>96700.98</v>
      </c>
      <c r="C405" s="147"/>
      <c r="D405" s="148"/>
      <c r="E405" s="149"/>
      <c r="F405" s="148">
        <v>96700.98</v>
      </c>
      <c r="G405" s="148">
        <v>0</v>
      </c>
      <c r="O405" s="139">
        <f t="shared" si="16"/>
        <v>0</v>
      </c>
      <c r="P405" s="139">
        <f t="shared" si="17"/>
        <v>0</v>
      </c>
      <c r="R405" s="139">
        <v>96700.98</v>
      </c>
      <c r="S405" s="139">
        <v>0</v>
      </c>
      <c r="T405" s="235"/>
      <c r="U405" s="139">
        <f t="shared" si="18"/>
        <v>0</v>
      </c>
      <c r="V405" s="139">
        <f t="shared" si="19"/>
        <v>0</v>
      </c>
    </row>
    <row r="406" spans="1:22" x14ac:dyDescent="0.2">
      <c r="A406" s="145" t="s">
        <v>220</v>
      </c>
      <c r="B406" s="146">
        <v>1180447.49</v>
      </c>
      <c r="C406" s="147"/>
      <c r="D406" s="148"/>
      <c r="E406" s="149"/>
      <c r="F406" s="148">
        <v>1181073.1299999999</v>
      </c>
      <c r="G406" s="148">
        <v>0</v>
      </c>
      <c r="H406" s="218"/>
      <c r="I406" s="218"/>
      <c r="J406" s="218"/>
      <c r="K406" s="218"/>
      <c r="L406" s="219"/>
      <c r="M406" s="218"/>
      <c r="N406" s="218"/>
      <c r="O406" s="139">
        <f t="shared" si="16"/>
        <v>-625.63999999989755</v>
      </c>
      <c r="P406" s="139">
        <f t="shared" si="17"/>
        <v>0</v>
      </c>
      <c r="R406" s="139">
        <v>1181073.1299999999</v>
      </c>
      <c r="S406" s="139">
        <v>0</v>
      </c>
      <c r="U406" s="219">
        <f t="shared" si="18"/>
        <v>0</v>
      </c>
      <c r="V406" s="219">
        <f t="shared" si="19"/>
        <v>0</v>
      </c>
    </row>
    <row r="407" spans="1:22" x14ac:dyDescent="0.2">
      <c r="A407" s="145" t="s">
        <v>221</v>
      </c>
      <c r="B407" s="146">
        <v>930399.28</v>
      </c>
      <c r="C407" s="147"/>
      <c r="D407" s="148"/>
      <c r="E407" s="149"/>
      <c r="F407" s="148">
        <v>930399.28</v>
      </c>
      <c r="G407" s="148">
        <v>0</v>
      </c>
      <c r="O407" s="139">
        <f t="shared" si="16"/>
        <v>0</v>
      </c>
      <c r="P407" s="139">
        <f t="shared" si="17"/>
        <v>0</v>
      </c>
      <c r="R407" s="139">
        <v>930399.28</v>
      </c>
      <c r="S407" s="139">
        <v>0</v>
      </c>
      <c r="T407" s="235"/>
      <c r="U407" s="139">
        <f t="shared" si="18"/>
        <v>0</v>
      </c>
      <c r="V407" s="139">
        <f t="shared" si="19"/>
        <v>0</v>
      </c>
    </row>
    <row r="408" spans="1:22" x14ac:dyDescent="0.2">
      <c r="A408" s="145" t="s">
        <v>222</v>
      </c>
      <c r="B408" s="146">
        <v>239878.52</v>
      </c>
      <c r="C408" s="147"/>
      <c r="D408" s="148"/>
      <c r="E408" s="149"/>
      <c r="F408" s="148">
        <v>239878.52</v>
      </c>
      <c r="G408" s="148">
        <v>0</v>
      </c>
      <c r="O408" s="139">
        <f t="shared" si="16"/>
        <v>0</v>
      </c>
      <c r="P408" s="139">
        <f t="shared" si="17"/>
        <v>0</v>
      </c>
      <c r="R408" s="139">
        <v>239878.52</v>
      </c>
      <c r="S408" s="139">
        <v>0</v>
      </c>
      <c r="T408" s="235"/>
      <c r="U408" s="139">
        <f t="shared" si="18"/>
        <v>0</v>
      </c>
      <c r="V408" s="139">
        <f t="shared" si="19"/>
        <v>0</v>
      </c>
    </row>
    <row r="409" spans="1:22" x14ac:dyDescent="0.2">
      <c r="A409" s="145" t="s">
        <v>223</v>
      </c>
      <c r="B409" s="146">
        <v>161064</v>
      </c>
      <c r="C409" s="147"/>
      <c r="D409" s="148"/>
      <c r="E409" s="149"/>
      <c r="F409" s="148">
        <v>161064</v>
      </c>
      <c r="G409" s="148">
        <v>0</v>
      </c>
      <c r="O409" s="139">
        <f t="shared" si="16"/>
        <v>0</v>
      </c>
      <c r="P409" s="139">
        <f t="shared" si="17"/>
        <v>0</v>
      </c>
      <c r="R409" s="139">
        <v>161064</v>
      </c>
      <c r="S409" s="139">
        <v>0</v>
      </c>
      <c r="T409" s="235"/>
      <c r="U409" s="139">
        <f t="shared" si="18"/>
        <v>0</v>
      </c>
      <c r="V409" s="139">
        <f t="shared" si="19"/>
        <v>0</v>
      </c>
    </row>
    <row r="410" spans="1:22" x14ac:dyDescent="0.2">
      <c r="A410" s="145" t="s">
        <v>604</v>
      </c>
      <c r="B410" s="146">
        <v>26108.3</v>
      </c>
      <c r="C410" s="147"/>
      <c r="D410" s="148"/>
      <c r="E410" s="149"/>
      <c r="F410" s="148">
        <v>26108.3</v>
      </c>
      <c r="G410" s="148">
        <v>0</v>
      </c>
      <c r="O410" s="139">
        <f t="shared" si="16"/>
        <v>0</v>
      </c>
      <c r="P410" s="139">
        <f t="shared" si="17"/>
        <v>0</v>
      </c>
      <c r="R410" s="139">
        <v>26108.3</v>
      </c>
      <c r="S410" s="139">
        <v>0</v>
      </c>
      <c r="T410" s="235"/>
      <c r="U410" s="139">
        <f t="shared" si="18"/>
        <v>0</v>
      </c>
      <c r="V410" s="139">
        <f t="shared" si="19"/>
        <v>0</v>
      </c>
    </row>
    <row r="411" spans="1:22" x14ac:dyDescent="0.2">
      <c r="A411" s="145" t="s">
        <v>224</v>
      </c>
      <c r="B411" s="146">
        <v>111659.6</v>
      </c>
      <c r="C411" s="147"/>
      <c r="D411" s="148"/>
      <c r="E411" s="149"/>
      <c r="F411" s="148">
        <v>111659.6</v>
      </c>
      <c r="G411" s="148">
        <v>0</v>
      </c>
      <c r="O411" s="139">
        <f t="shared" si="16"/>
        <v>0</v>
      </c>
      <c r="P411" s="139">
        <f t="shared" si="17"/>
        <v>0</v>
      </c>
      <c r="R411" s="139">
        <v>111659.6</v>
      </c>
      <c r="S411" s="139">
        <v>0</v>
      </c>
      <c r="T411" s="235"/>
      <c r="U411" s="139">
        <f t="shared" si="18"/>
        <v>0</v>
      </c>
      <c r="V411" s="139">
        <f t="shared" si="19"/>
        <v>0</v>
      </c>
    </row>
    <row r="412" spans="1:22" x14ac:dyDescent="0.2">
      <c r="A412" s="145" t="s">
        <v>225</v>
      </c>
      <c r="B412" s="146">
        <v>115584</v>
      </c>
      <c r="C412" s="147"/>
      <c r="D412" s="148"/>
      <c r="E412" s="149"/>
      <c r="F412" s="148">
        <v>115584</v>
      </c>
      <c r="G412" s="148">
        <v>0</v>
      </c>
      <c r="O412" s="139">
        <f t="shared" si="16"/>
        <v>0</v>
      </c>
      <c r="P412" s="139">
        <f t="shared" si="17"/>
        <v>0</v>
      </c>
      <c r="R412" s="139">
        <v>115584</v>
      </c>
      <c r="S412" s="139">
        <v>0</v>
      </c>
      <c r="T412" s="235"/>
      <c r="U412" s="139">
        <f t="shared" si="18"/>
        <v>0</v>
      </c>
      <c r="V412" s="139">
        <f t="shared" si="19"/>
        <v>0</v>
      </c>
    </row>
    <row r="413" spans="1:22" x14ac:dyDescent="0.2">
      <c r="A413" s="145" t="s">
        <v>226</v>
      </c>
      <c r="B413" s="146">
        <v>819000</v>
      </c>
      <c r="C413" s="147"/>
      <c r="D413" s="148"/>
      <c r="E413" s="149"/>
      <c r="F413" s="148">
        <v>819000</v>
      </c>
      <c r="G413" s="148">
        <v>0</v>
      </c>
      <c r="O413" s="139">
        <f t="shared" si="16"/>
        <v>0</v>
      </c>
      <c r="P413" s="139">
        <f t="shared" si="17"/>
        <v>0</v>
      </c>
      <c r="R413" s="139">
        <v>819000</v>
      </c>
      <c r="S413" s="139">
        <v>0</v>
      </c>
      <c r="T413" s="235"/>
      <c r="U413" s="139">
        <f t="shared" si="18"/>
        <v>0</v>
      </c>
      <c r="V413" s="139">
        <f t="shared" si="19"/>
        <v>0</v>
      </c>
    </row>
    <row r="414" spans="1:22" x14ac:dyDescent="0.2">
      <c r="A414" s="145" t="s">
        <v>227</v>
      </c>
      <c r="B414" s="146">
        <v>1530518.8</v>
      </c>
      <c r="C414" s="147"/>
      <c r="D414" s="148"/>
      <c r="E414" s="149"/>
      <c r="F414" s="148">
        <v>1530518.8</v>
      </c>
      <c r="G414" s="148">
        <v>0</v>
      </c>
      <c r="O414" s="139">
        <f t="shared" si="16"/>
        <v>0</v>
      </c>
      <c r="P414" s="139">
        <f t="shared" si="17"/>
        <v>0</v>
      </c>
      <c r="R414" s="139">
        <v>1530518.8</v>
      </c>
      <c r="S414" s="139">
        <v>0</v>
      </c>
      <c r="T414" s="235"/>
      <c r="U414" s="139">
        <f t="shared" si="18"/>
        <v>0</v>
      </c>
      <c r="V414" s="139">
        <f t="shared" si="19"/>
        <v>0</v>
      </c>
    </row>
    <row r="415" spans="1:22" x14ac:dyDescent="0.2">
      <c r="A415" s="145" t="s">
        <v>228</v>
      </c>
      <c r="B415" s="146">
        <v>702143.87</v>
      </c>
      <c r="C415" s="147"/>
      <c r="D415" s="148"/>
      <c r="E415" s="149"/>
      <c r="F415" s="148">
        <v>723724.31</v>
      </c>
      <c r="G415" s="148">
        <v>0</v>
      </c>
      <c r="H415" s="218"/>
      <c r="I415" s="218"/>
      <c r="J415" s="218"/>
      <c r="K415" s="218"/>
      <c r="L415" s="219"/>
      <c r="M415" s="218"/>
      <c r="N415" s="218"/>
      <c r="O415" s="139">
        <f t="shared" si="16"/>
        <v>-21580.440000000061</v>
      </c>
      <c r="P415" s="139">
        <f t="shared" si="17"/>
        <v>0</v>
      </c>
      <c r="R415" s="139">
        <v>723724.31</v>
      </c>
      <c r="S415" s="139">
        <v>0</v>
      </c>
      <c r="U415" s="219">
        <f t="shared" si="18"/>
        <v>0</v>
      </c>
      <c r="V415" s="219">
        <f t="shared" si="19"/>
        <v>0</v>
      </c>
    </row>
    <row r="416" spans="1:22" x14ac:dyDescent="0.2">
      <c r="A416" s="145" t="s">
        <v>229</v>
      </c>
      <c r="B416" s="146">
        <v>1916753</v>
      </c>
      <c r="C416" s="147"/>
      <c r="D416" s="148"/>
      <c r="E416" s="149"/>
      <c r="F416" s="148">
        <v>1916753</v>
      </c>
      <c r="G416" s="148">
        <v>0</v>
      </c>
      <c r="O416" s="139">
        <f t="shared" si="16"/>
        <v>0</v>
      </c>
      <c r="P416" s="139">
        <f t="shared" si="17"/>
        <v>0</v>
      </c>
      <c r="R416" s="139">
        <v>1916753</v>
      </c>
      <c r="S416" s="139">
        <v>0</v>
      </c>
      <c r="T416" s="235"/>
      <c r="U416" s="139">
        <f t="shared" si="18"/>
        <v>0</v>
      </c>
      <c r="V416" s="139">
        <f t="shared" si="19"/>
        <v>0</v>
      </c>
    </row>
    <row r="417" spans="1:23" x14ac:dyDescent="0.2">
      <c r="A417" s="145" t="s">
        <v>230</v>
      </c>
      <c r="B417" s="146">
        <v>697416.65</v>
      </c>
      <c r="C417" s="147"/>
      <c r="D417" s="148">
        <v>550</v>
      </c>
      <c r="E417" s="149"/>
      <c r="F417" s="148">
        <v>697416.65</v>
      </c>
      <c r="G417" s="148">
        <v>0</v>
      </c>
      <c r="H417" s="218"/>
      <c r="I417" s="218"/>
      <c r="J417" s="218"/>
      <c r="K417" s="218"/>
      <c r="L417" s="219"/>
      <c r="M417" s="218"/>
      <c r="N417" s="218"/>
      <c r="O417" s="139">
        <f t="shared" si="16"/>
        <v>0</v>
      </c>
      <c r="P417" s="139">
        <f t="shared" si="17"/>
        <v>0</v>
      </c>
      <c r="R417" s="139">
        <v>697416.65</v>
      </c>
      <c r="S417" s="139">
        <v>0</v>
      </c>
      <c r="U417" s="219">
        <f t="shared" si="18"/>
        <v>0</v>
      </c>
      <c r="V417" s="219">
        <f t="shared" si="19"/>
        <v>0</v>
      </c>
      <c r="W417" s="164"/>
    </row>
    <row r="418" spans="1:23" x14ac:dyDescent="0.2">
      <c r="A418" s="145" t="s">
        <v>295</v>
      </c>
      <c r="B418" s="146">
        <v>25370</v>
      </c>
      <c r="C418" s="147"/>
      <c r="D418" s="148"/>
      <c r="E418" s="149"/>
      <c r="F418" s="148">
        <v>25370</v>
      </c>
      <c r="G418" s="148">
        <v>0</v>
      </c>
      <c r="O418" s="139">
        <f t="shared" si="16"/>
        <v>0</v>
      </c>
      <c r="P418" s="139">
        <f t="shared" si="17"/>
        <v>0</v>
      </c>
      <c r="R418" s="139">
        <v>25370</v>
      </c>
      <c r="S418" s="139">
        <v>0</v>
      </c>
      <c r="T418" s="235"/>
      <c r="U418" s="139">
        <f t="shared" si="18"/>
        <v>0</v>
      </c>
      <c r="V418" s="139">
        <f t="shared" si="19"/>
        <v>0</v>
      </c>
    </row>
    <row r="419" spans="1:23" x14ac:dyDescent="0.2">
      <c r="A419" s="145" t="s">
        <v>296</v>
      </c>
      <c r="B419" s="146">
        <v>5000</v>
      </c>
      <c r="C419" s="147"/>
      <c r="D419" s="148"/>
      <c r="E419" s="149"/>
      <c r="F419" s="148">
        <v>5000</v>
      </c>
      <c r="G419" s="148">
        <v>0</v>
      </c>
      <c r="O419" s="139">
        <f t="shared" si="16"/>
        <v>0</v>
      </c>
      <c r="P419" s="139">
        <f t="shared" si="17"/>
        <v>0</v>
      </c>
      <c r="R419" s="139">
        <v>5000</v>
      </c>
      <c r="S419" s="139">
        <v>0</v>
      </c>
      <c r="T419" s="235"/>
      <c r="U419" s="139">
        <f t="shared" si="18"/>
        <v>0</v>
      </c>
      <c r="V419" s="139">
        <f t="shared" si="19"/>
        <v>0</v>
      </c>
    </row>
    <row r="420" spans="1:23" x14ac:dyDescent="0.2">
      <c r="A420" s="145" t="s">
        <v>605</v>
      </c>
      <c r="B420" s="146">
        <v>550</v>
      </c>
      <c r="C420" s="147"/>
      <c r="D420" s="148">
        <v>-550</v>
      </c>
      <c r="E420" s="149"/>
      <c r="F420" s="184">
        <v>550</v>
      </c>
      <c r="G420" s="148">
        <v>0</v>
      </c>
      <c r="H420" s="218"/>
      <c r="I420" s="218"/>
      <c r="J420" s="218"/>
      <c r="K420" s="218"/>
      <c r="L420" s="219"/>
      <c r="M420" s="218"/>
      <c r="N420" s="218"/>
      <c r="O420" s="139">
        <f t="shared" si="16"/>
        <v>0</v>
      </c>
      <c r="P420" s="139">
        <f t="shared" si="17"/>
        <v>0</v>
      </c>
      <c r="R420" s="139">
        <v>550</v>
      </c>
      <c r="S420" s="139">
        <v>0</v>
      </c>
      <c r="U420" s="219">
        <f t="shared" si="18"/>
        <v>0</v>
      </c>
      <c r="V420" s="219">
        <f t="shared" si="19"/>
        <v>0</v>
      </c>
      <c r="W420" s="164"/>
    </row>
    <row r="421" spans="1:23" x14ac:dyDescent="0.2">
      <c r="A421" s="145" t="s">
        <v>231</v>
      </c>
      <c r="B421" s="146">
        <v>1795263.72</v>
      </c>
      <c r="C421" s="147"/>
      <c r="D421" s="148"/>
      <c r="E421" s="149"/>
      <c r="F421" s="184">
        <v>1515391.73</v>
      </c>
      <c r="G421" s="148">
        <v>0</v>
      </c>
      <c r="H421" s="218"/>
      <c r="I421" s="218"/>
      <c r="J421" s="218"/>
      <c r="K421" s="218"/>
      <c r="L421" s="219"/>
      <c r="M421" s="218"/>
      <c r="N421" s="218"/>
      <c r="O421" s="139">
        <f t="shared" si="16"/>
        <v>279871.99</v>
      </c>
      <c r="P421" s="139">
        <f t="shared" si="17"/>
        <v>0</v>
      </c>
      <c r="R421" s="139">
        <v>1515391.73</v>
      </c>
      <c r="S421" s="139">
        <v>0</v>
      </c>
      <c r="U421" s="219">
        <f t="shared" si="18"/>
        <v>0</v>
      </c>
      <c r="V421" s="219">
        <f t="shared" si="19"/>
        <v>0</v>
      </c>
      <c r="W421" s="164"/>
    </row>
    <row r="422" spans="1:23" x14ac:dyDescent="0.2">
      <c r="A422" s="145" t="s">
        <v>232</v>
      </c>
      <c r="B422" s="146">
        <v>1956980.28</v>
      </c>
      <c r="C422" s="147"/>
      <c r="D422" s="148">
        <f>4240.54</f>
        <v>4240.54</v>
      </c>
      <c r="E422" s="149"/>
      <c r="F422" s="184">
        <v>1999840.82</v>
      </c>
      <c r="G422" s="148">
        <v>0</v>
      </c>
      <c r="H422" s="218"/>
      <c r="I422" s="218"/>
      <c r="J422" s="218"/>
      <c r="K422" s="218"/>
      <c r="L422" s="219"/>
      <c r="M422" s="218"/>
      <c r="N422" s="218"/>
      <c r="O422" s="139">
        <f t="shared" si="16"/>
        <v>-42860.540000000037</v>
      </c>
      <c r="P422" s="139">
        <f t="shared" si="17"/>
        <v>0</v>
      </c>
      <c r="R422" s="139">
        <v>1999840.82</v>
      </c>
      <c r="S422" s="139">
        <v>0</v>
      </c>
      <c r="U422" s="219">
        <f t="shared" si="18"/>
        <v>0</v>
      </c>
      <c r="V422" s="219">
        <f t="shared" si="19"/>
        <v>0</v>
      </c>
      <c r="W422" s="164"/>
    </row>
    <row r="423" spans="1:23" x14ac:dyDescent="0.2">
      <c r="A423" s="243" t="s">
        <v>641</v>
      </c>
      <c r="B423" s="146"/>
      <c r="C423" s="147"/>
      <c r="D423" s="148">
        <v>38620</v>
      </c>
      <c r="E423" s="149"/>
      <c r="F423" s="148">
        <v>0</v>
      </c>
      <c r="G423" s="148">
        <v>0</v>
      </c>
      <c r="H423" s="218"/>
      <c r="I423" s="218"/>
      <c r="J423" s="218"/>
      <c r="K423" s="218"/>
      <c r="L423" s="219"/>
      <c r="M423" s="218"/>
      <c r="N423" s="218"/>
      <c r="O423" s="139">
        <f t="shared" si="16"/>
        <v>0</v>
      </c>
      <c r="P423" s="139">
        <f t="shared" si="17"/>
        <v>0</v>
      </c>
      <c r="R423" s="139">
        <v>0</v>
      </c>
      <c r="S423" s="139">
        <v>0</v>
      </c>
      <c r="U423" s="219">
        <f t="shared" si="18"/>
        <v>0</v>
      </c>
      <c r="V423" s="219">
        <f t="shared" si="19"/>
        <v>0</v>
      </c>
      <c r="W423" s="164"/>
    </row>
    <row r="424" spans="1:23" x14ac:dyDescent="0.2">
      <c r="A424" s="145" t="s">
        <v>233</v>
      </c>
      <c r="B424" s="146">
        <v>473959.08</v>
      </c>
      <c r="C424" s="147"/>
      <c r="D424" s="148"/>
      <c r="E424" s="149"/>
      <c r="F424" s="184">
        <v>473959.08</v>
      </c>
      <c r="G424" s="148">
        <v>0</v>
      </c>
      <c r="O424" s="139">
        <f t="shared" si="16"/>
        <v>0</v>
      </c>
      <c r="P424" s="139">
        <f t="shared" si="17"/>
        <v>0</v>
      </c>
      <c r="R424" s="139">
        <v>473959.08</v>
      </c>
      <c r="S424" s="139">
        <v>0</v>
      </c>
      <c r="T424" s="235"/>
      <c r="U424" s="139">
        <f t="shared" si="18"/>
        <v>0</v>
      </c>
      <c r="V424" s="139">
        <f t="shared" si="19"/>
        <v>0</v>
      </c>
    </row>
    <row r="425" spans="1:23" x14ac:dyDescent="0.2">
      <c r="A425" s="145" t="s">
        <v>234</v>
      </c>
      <c r="B425" s="146">
        <v>631168.56000000006</v>
      </c>
      <c r="C425" s="147"/>
      <c r="D425" s="148"/>
      <c r="E425" s="149"/>
      <c r="F425" s="184">
        <v>631168.56000000006</v>
      </c>
      <c r="G425" s="148">
        <v>0</v>
      </c>
      <c r="O425" s="139">
        <f t="shared" si="16"/>
        <v>0</v>
      </c>
      <c r="P425" s="139">
        <f t="shared" si="17"/>
        <v>0</v>
      </c>
      <c r="R425" s="139">
        <v>631168.56000000006</v>
      </c>
      <c r="S425" s="139">
        <v>0</v>
      </c>
      <c r="T425" s="235"/>
      <c r="U425" s="139">
        <f t="shared" si="18"/>
        <v>0</v>
      </c>
      <c r="V425" s="139">
        <f t="shared" si="19"/>
        <v>0</v>
      </c>
    </row>
    <row r="426" spans="1:23" x14ac:dyDescent="0.2">
      <c r="A426" s="145" t="s">
        <v>235</v>
      </c>
      <c r="B426" s="146">
        <v>45801.14</v>
      </c>
      <c r="C426" s="147"/>
      <c r="D426" s="148"/>
      <c r="E426" s="149"/>
      <c r="F426" s="148">
        <v>45801.14</v>
      </c>
      <c r="G426" s="148">
        <v>0</v>
      </c>
      <c r="O426" s="139">
        <f t="shared" si="16"/>
        <v>0</v>
      </c>
      <c r="P426" s="139">
        <f t="shared" si="17"/>
        <v>0</v>
      </c>
      <c r="R426" s="139">
        <v>45801.14</v>
      </c>
      <c r="S426" s="139">
        <v>0</v>
      </c>
      <c r="T426" s="235"/>
      <c r="U426" s="139">
        <f t="shared" si="18"/>
        <v>0</v>
      </c>
      <c r="V426" s="139">
        <f t="shared" si="19"/>
        <v>0</v>
      </c>
    </row>
    <row r="427" spans="1:23" x14ac:dyDescent="0.2">
      <c r="A427" s="145" t="s">
        <v>236</v>
      </c>
      <c r="B427" s="146">
        <v>145300.1</v>
      </c>
      <c r="C427" s="147"/>
      <c r="D427" s="148"/>
      <c r="E427" s="149"/>
      <c r="F427" s="148">
        <v>145300.1</v>
      </c>
      <c r="G427" s="148">
        <v>0</v>
      </c>
      <c r="O427" s="139">
        <f t="shared" si="16"/>
        <v>0</v>
      </c>
      <c r="P427" s="139">
        <f t="shared" si="17"/>
        <v>0</v>
      </c>
      <c r="R427" s="139">
        <v>145300.1</v>
      </c>
      <c r="S427" s="139">
        <v>0</v>
      </c>
      <c r="T427" s="235"/>
      <c r="U427" s="139">
        <f t="shared" si="18"/>
        <v>0</v>
      </c>
      <c r="V427" s="139">
        <f t="shared" si="19"/>
        <v>0</v>
      </c>
    </row>
    <row r="428" spans="1:23" x14ac:dyDescent="0.2">
      <c r="A428" s="145" t="s">
        <v>237</v>
      </c>
      <c r="B428" s="146">
        <v>1438374.23</v>
      </c>
      <c r="C428" s="147"/>
      <c r="D428" s="148"/>
      <c r="E428" s="149"/>
      <c r="F428" s="148">
        <v>1440995.2</v>
      </c>
      <c r="G428" s="148">
        <v>0</v>
      </c>
      <c r="H428" s="218"/>
      <c r="I428" s="218"/>
      <c r="J428" s="218"/>
      <c r="K428" s="218"/>
      <c r="L428" s="219"/>
      <c r="M428" s="218"/>
      <c r="N428" s="218"/>
      <c r="O428" s="139">
        <f t="shared" si="16"/>
        <v>-2620.9699999999721</v>
      </c>
      <c r="P428" s="139">
        <f t="shared" si="17"/>
        <v>0</v>
      </c>
      <c r="R428" s="139">
        <v>1440995.2</v>
      </c>
      <c r="S428" s="139">
        <v>0</v>
      </c>
      <c r="U428" s="219">
        <f t="shared" si="18"/>
        <v>0</v>
      </c>
      <c r="V428" s="219">
        <f t="shared" si="19"/>
        <v>0</v>
      </c>
    </row>
    <row r="429" spans="1:23" x14ac:dyDescent="0.2">
      <c r="A429" s="145" t="s">
        <v>238</v>
      </c>
      <c r="B429" s="146">
        <v>391821.21</v>
      </c>
      <c r="C429" s="147"/>
      <c r="D429" s="148"/>
      <c r="E429" s="149"/>
      <c r="F429" s="162">
        <v>391821.21</v>
      </c>
      <c r="G429" s="148">
        <v>0</v>
      </c>
      <c r="O429" s="139">
        <f t="shared" si="16"/>
        <v>0</v>
      </c>
      <c r="P429" s="139">
        <f t="shared" si="17"/>
        <v>0</v>
      </c>
      <c r="R429" s="139">
        <v>391821.21</v>
      </c>
      <c r="S429" s="139">
        <v>0</v>
      </c>
      <c r="T429" s="235"/>
      <c r="U429" s="139">
        <f t="shared" si="18"/>
        <v>0</v>
      </c>
      <c r="V429" s="139">
        <f t="shared" si="19"/>
        <v>0</v>
      </c>
    </row>
    <row r="430" spans="1:23" x14ac:dyDescent="0.2">
      <c r="A430" s="145" t="s">
        <v>239</v>
      </c>
      <c r="B430" s="146">
        <v>3865823.14</v>
      </c>
      <c r="C430" s="147"/>
      <c r="D430" s="148"/>
      <c r="E430" s="149"/>
      <c r="F430" s="162">
        <v>3865823.14</v>
      </c>
      <c r="G430" s="148">
        <v>0</v>
      </c>
      <c r="O430" s="139">
        <f t="shared" si="16"/>
        <v>0</v>
      </c>
      <c r="P430" s="139">
        <f t="shared" si="17"/>
        <v>0</v>
      </c>
      <c r="R430" s="139">
        <v>3865823.14</v>
      </c>
      <c r="S430" s="139">
        <v>0</v>
      </c>
      <c r="T430" s="235"/>
      <c r="U430" s="139">
        <f t="shared" si="18"/>
        <v>0</v>
      </c>
      <c r="V430" s="139">
        <f t="shared" si="19"/>
        <v>0</v>
      </c>
    </row>
    <row r="431" spans="1:23" x14ac:dyDescent="0.2">
      <c r="A431" s="145" t="s">
        <v>482</v>
      </c>
      <c r="B431" s="146">
        <v>757192.38</v>
      </c>
      <c r="C431" s="147"/>
      <c r="D431" s="148"/>
      <c r="E431" s="149"/>
      <c r="F431" s="162">
        <v>757192.38</v>
      </c>
      <c r="G431" s="148">
        <v>0</v>
      </c>
      <c r="O431" s="139">
        <f t="shared" si="16"/>
        <v>0</v>
      </c>
      <c r="P431" s="139">
        <f t="shared" si="17"/>
        <v>0</v>
      </c>
      <c r="R431" s="139">
        <v>757192.38</v>
      </c>
      <c r="S431" s="139">
        <v>0</v>
      </c>
      <c r="T431" s="235"/>
      <c r="U431" s="139">
        <f t="shared" si="18"/>
        <v>0</v>
      </c>
      <c r="V431" s="139">
        <f t="shared" si="19"/>
        <v>0</v>
      </c>
    </row>
    <row r="432" spans="1:23" x14ac:dyDescent="0.2">
      <c r="A432" s="145" t="s">
        <v>606</v>
      </c>
      <c r="B432" s="146">
        <v>3649.57</v>
      </c>
      <c r="C432" s="147"/>
      <c r="D432" s="148"/>
      <c r="E432" s="149"/>
      <c r="F432" s="162">
        <v>3649.57</v>
      </c>
      <c r="G432" s="148">
        <v>0</v>
      </c>
      <c r="R432" s="139">
        <v>3649.57</v>
      </c>
      <c r="S432" s="139">
        <v>0</v>
      </c>
      <c r="T432" s="235"/>
      <c r="U432" s="139">
        <f t="shared" si="18"/>
        <v>0</v>
      </c>
      <c r="V432" s="139">
        <f t="shared" si="19"/>
        <v>0</v>
      </c>
    </row>
    <row r="433" spans="1:24" x14ac:dyDescent="0.2">
      <c r="A433" s="145" t="s">
        <v>308</v>
      </c>
      <c r="B433" s="146">
        <v>225</v>
      </c>
      <c r="C433" s="147"/>
      <c r="D433" s="148"/>
      <c r="E433" s="149"/>
      <c r="F433" s="148">
        <v>225</v>
      </c>
      <c r="G433" s="148">
        <v>0</v>
      </c>
      <c r="O433" s="139">
        <f t="shared" ref="O433:P437" si="20">B433-F433</f>
        <v>0</v>
      </c>
      <c r="P433" s="139">
        <f t="shared" si="20"/>
        <v>0</v>
      </c>
      <c r="R433" s="139">
        <v>225</v>
      </c>
      <c r="S433" s="139">
        <v>0</v>
      </c>
      <c r="T433" s="235"/>
      <c r="U433" s="139">
        <f t="shared" si="18"/>
        <v>0</v>
      </c>
      <c r="V433" s="139">
        <f t="shared" si="19"/>
        <v>0</v>
      </c>
    </row>
    <row r="434" spans="1:24" x14ac:dyDescent="0.2">
      <c r="A434" s="145" t="s">
        <v>297</v>
      </c>
      <c r="B434" s="146">
        <v>98125</v>
      </c>
      <c r="C434" s="147"/>
      <c r="D434" s="148"/>
      <c r="E434" s="149"/>
      <c r="F434" s="148">
        <v>98125</v>
      </c>
      <c r="G434" s="148">
        <v>0</v>
      </c>
      <c r="O434" s="139">
        <f t="shared" si="20"/>
        <v>0</v>
      </c>
      <c r="P434" s="139">
        <f t="shared" si="20"/>
        <v>0</v>
      </c>
      <c r="R434" s="139">
        <v>98125</v>
      </c>
      <c r="S434" s="139">
        <v>0</v>
      </c>
      <c r="T434" s="235"/>
      <c r="U434" s="139">
        <f t="shared" si="18"/>
        <v>0</v>
      </c>
      <c r="V434" s="139">
        <f t="shared" si="19"/>
        <v>0</v>
      </c>
    </row>
    <row r="435" spans="1:24" x14ac:dyDescent="0.2">
      <c r="A435" s="145" t="s">
        <v>483</v>
      </c>
      <c r="B435" s="146">
        <v>42959.49</v>
      </c>
      <c r="C435" s="147"/>
      <c r="D435" s="148"/>
      <c r="E435" s="149"/>
      <c r="F435" s="148">
        <v>42959.49</v>
      </c>
      <c r="G435" s="148">
        <v>0</v>
      </c>
      <c r="O435" s="139">
        <f t="shared" si="20"/>
        <v>0</v>
      </c>
      <c r="P435" s="139">
        <f t="shared" si="20"/>
        <v>0</v>
      </c>
      <c r="R435" s="139">
        <v>42959.49</v>
      </c>
      <c r="S435" s="139">
        <v>0</v>
      </c>
      <c r="T435" s="235"/>
      <c r="U435" s="139">
        <f t="shared" si="18"/>
        <v>0</v>
      </c>
      <c r="V435" s="139">
        <f t="shared" si="19"/>
        <v>0</v>
      </c>
    </row>
    <row r="436" spans="1:24" x14ac:dyDescent="0.2">
      <c r="A436" s="145" t="s">
        <v>607</v>
      </c>
      <c r="B436" s="146">
        <v>40000</v>
      </c>
      <c r="C436" s="147"/>
      <c r="D436" s="148"/>
      <c r="E436" s="149"/>
      <c r="F436" s="148">
        <v>40000</v>
      </c>
      <c r="G436" s="148">
        <v>0</v>
      </c>
      <c r="O436" s="139">
        <f t="shared" si="20"/>
        <v>0</v>
      </c>
      <c r="P436" s="139">
        <f t="shared" si="20"/>
        <v>0</v>
      </c>
      <c r="R436" s="139">
        <v>40000</v>
      </c>
      <c r="S436" s="139">
        <v>0</v>
      </c>
      <c r="T436" s="235"/>
      <c r="U436" s="139">
        <f t="shared" si="18"/>
        <v>0</v>
      </c>
      <c r="V436" s="139">
        <f t="shared" si="19"/>
        <v>0</v>
      </c>
    </row>
    <row r="437" spans="1:24" x14ac:dyDescent="0.2">
      <c r="A437" s="145" t="s">
        <v>240</v>
      </c>
      <c r="B437" s="146">
        <v>189833.31</v>
      </c>
      <c r="C437" s="147"/>
      <c r="D437" s="148"/>
      <c r="E437" s="149"/>
      <c r="F437" s="148">
        <v>189833.31</v>
      </c>
      <c r="G437" s="148">
        <v>0</v>
      </c>
      <c r="O437" s="139">
        <f t="shared" si="20"/>
        <v>0</v>
      </c>
      <c r="P437" s="139">
        <f t="shared" si="20"/>
        <v>0</v>
      </c>
      <c r="R437" s="139">
        <v>189833.31</v>
      </c>
      <c r="S437" s="139">
        <v>0</v>
      </c>
      <c r="T437" s="235"/>
      <c r="U437" s="139">
        <f t="shared" si="18"/>
        <v>0</v>
      </c>
      <c r="V437" s="139">
        <f t="shared" si="19"/>
        <v>0</v>
      </c>
    </row>
    <row r="438" spans="1:24" x14ac:dyDescent="0.2">
      <c r="A438" s="145" t="s">
        <v>241</v>
      </c>
      <c r="B438" s="146"/>
      <c r="C438" s="147">
        <v>21933</v>
      </c>
      <c r="D438" s="148"/>
      <c r="E438" s="149"/>
      <c r="F438" s="148">
        <v>0</v>
      </c>
      <c r="G438" s="162">
        <v>21933</v>
      </c>
      <c r="R438" s="139">
        <v>0</v>
      </c>
      <c r="S438" s="139">
        <v>21933</v>
      </c>
      <c r="T438" s="235"/>
      <c r="U438" s="139">
        <f t="shared" si="18"/>
        <v>0</v>
      </c>
      <c r="V438" s="139">
        <f t="shared" si="19"/>
        <v>0</v>
      </c>
    </row>
    <row r="439" spans="1:24" x14ac:dyDescent="0.2">
      <c r="A439" s="145" t="s">
        <v>242</v>
      </c>
      <c r="B439" s="146"/>
      <c r="C439" s="147">
        <v>117394</v>
      </c>
      <c r="D439" s="148"/>
      <c r="E439" s="149"/>
      <c r="F439" s="148">
        <v>0</v>
      </c>
      <c r="G439" s="162">
        <v>117394</v>
      </c>
      <c r="R439" s="139">
        <v>0</v>
      </c>
      <c r="S439" s="139">
        <v>117394</v>
      </c>
      <c r="T439" s="235"/>
      <c r="U439" s="139">
        <f t="shared" si="18"/>
        <v>0</v>
      </c>
      <c r="V439" s="139">
        <f t="shared" si="19"/>
        <v>0</v>
      </c>
    </row>
    <row r="440" spans="1:24" x14ac:dyDescent="0.2">
      <c r="A440" s="145" t="s">
        <v>243</v>
      </c>
      <c r="B440" s="146"/>
      <c r="C440" s="147">
        <v>1411160.1</v>
      </c>
      <c r="D440" s="148"/>
      <c r="E440" s="149"/>
      <c r="F440" s="148">
        <v>0</v>
      </c>
      <c r="G440" s="162">
        <v>913564.21</v>
      </c>
      <c r="H440" s="218"/>
      <c r="I440" s="218"/>
      <c r="J440" s="218"/>
      <c r="K440" s="218"/>
      <c r="L440" s="219"/>
      <c r="M440" s="218"/>
      <c r="N440" s="218"/>
      <c r="R440" s="139">
        <v>0</v>
      </c>
      <c r="S440" s="139">
        <v>913564.21</v>
      </c>
      <c r="U440" s="219">
        <f t="shared" si="18"/>
        <v>0</v>
      </c>
      <c r="V440" s="219">
        <f t="shared" si="19"/>
        <v>0</v>
      </c>
      <c r="X440" s="150"/>
    </row>
    <row r="441" spans="1:24" x14ac:dyDescent="0.2">
      <c r="A441" s="145" t="s">
        <v>244</v>
      </c>
      <c r="B441" s="146"/>
      <c r="C441" s="147">
        <v>242075</v>
      </c>
      <c r="D441" s="148"/>
      <c r="E441" s="149"/>
      <c r="F441" s="148">
        <v>0</v>
      </c>
      <c r="G441" s="162">
        <v>242075</v>
      </c>
      <c r="R441" s="139">
        <v>0</v>
      </c>
      <c r="S441" s="139">
        <v>242075</v>
      </c>
      <c r="T441" s="235"/>
      <c r="U441" s="139">
        <f t="shared" si="18"/>
        <v>0</v>
      </c>
      <c r="V441" s="139">
        <f t="shared" si="19"/>
        <v>0</v>
      </c>
    </row>
    <row r="442" spans="1:24" x14ac:dyDescent="0.2">
      <c r="A442" s="145" t="s">
        <v>245</v>
      </c>
      <c r="B442" s="151">
        <v>2030</v>
      </c>
      <c r="C442" s="152"/>
      <c r="D442" s="153"/>
      <c r="E442" s="154"/>
      <c r="F442" s="162">
        <v>2030</v>
      </c>
      <c r="G442" s="148">
        <v>0</v>
      </c>
      <c r="R442" s="139">
        <v>2030</v>
      </c>
      <c r="S442" s="139">
        <v>0</v>
      </c>
      <c r="T442" s="235"/>
      <c r="U442" s="139">
        <f t="shared" si="18"/>
        <v>0</v>
      </c>
      <c r="V442" s="139">
        <f t="shared" si="19"/>
        <v>0</v>
      </c>
    </row>
    <row r="443" spans="1:24" x14ac:dyDescent="0.2">
      <c r="A443" s="145" t="s">
        <v>513</v>
      </c>
      <c r="B443" s="146"/>
      <c r="C443" s="146"/>
      <c r="D443" s="148">
        <v>500000</v>
      </c>
      <c r="E443" s="149"/>
      <c r="F443" s="148">
        <v>0</v>
      </c>
      <c r="G443" s="148">
        <v>0</v>
      </c>
      <c r="H443" s="218"/>
      <c r="I443" s="218"/>
      <c r="J443" s="218"/>
      <c r="K443" s="218"/>
      <c r="L443" s="219"/>
      <c r="M443" s="218"/>
      <c r="N443" s="218"/>
      <c r="R443" s="139">
        <v>0</v>
      </c>
      <c r="S443" s="139">
        <v>0</v>
      </c>
      <c r="U443" s="219">
        <f t="shared" si="18"/>
        <v>0</v>
      </c>
      <c r="V443" s="219">
        <f t="shared" si="19"/>
        <v>0</v>
      </c>
    </row>
    <row r="444" spans="1:24" x14ac:dyDescent="0.2">
      <c r="A444" s="145" t="s">
        <v>47</v>
      </c>
      <c r="B444" s="146"/>
      <c r="C444" s="146"/>
      <c r="D444" s="148">
        <v>1025280</v>
      </c>
      <c r="E444" s="149"/>
      <c r="F444" s="184">
        <f>D444</f>
        <v>1025280</v>
      </c>
      <c r="G444" s="148">
        <v>0</v>
      </c>
      <c r="H444" s="218"/>
      <c r="I444" s="218"/>
      <c r="J444" s="218"/>
      <c r="K444" s="218"/>
      <c r="L444" s="219"/>
      <c r="M444" s="218"/>
      <c r="N444" s="218"/>
      <c r="R444" s="139">
        <v>0</v>
      </c>
      <c r="S444" s="139">
        <v>0</v>
      </c>
      <c r="U444" s="219">
        <f t="shared" si="18"/>
        <v>1025280</v>
      </c>
      <c r="V444" s="219">
        <f t="shared" si="19"/>
        <v>0</v>
      </c>
      <c r="W444" s="164"/>
    </row>
    <row r="445" spans="1:24" x14ac:dyDescent="0.2">
      <c r="A445" s="177"/>
      <c r="B445" s="178"/>
      <c r="C445" s="178"/>
      <c r="D445" s="228"/>
      <c r="E445" s="228"/>
      <c r="F445" s="229"/>
      <c r="G445" s="229"/>
      <c r="Q445" s="223"/>
      <c r="U445" s="139">
        <f t="shared" si="18"/>
        <v>0</v>
      </c>
      <c r="V445" s="139">
        <f t="shared" si="19"/>
        <v>0</v>
      </c>
    </row>
    <row r="446" spans="1:24" x14ac:dyDescent="0.2">
      <c r="A446" s="177"/>
      <c r="B446" s="178"/>
      <c r="C446" s="178"/>
      <c r="D446" s="228"/>
      <c r="E446" s="228"/>
      <c r="F446" s="229"/>
      <c r="G446" s="229"/>
      <c r="Q446" s="223"/>
      <c r="U446" s="139">
        <f t="shared" si="18"/>
        <v>0</v>
      </c>
      <c r="V446" s="139">
        <f t="shared" si="19"/>
        <v>0</v>
      </c>
    </row>
    <row r="447" spans="1:24" s="156" customFormat="1" ht="15.95" customHeight="1" thickBot="1" x14ac:dyDescent="0.25">
      <c r="A447" s="155"/>
      <c r="B447" s="180">
        <f>ROUND(SUM(B3:B442),5)</f>
        <v>520277515.33999997</v>
      </c>
      <c r="C447" s="180">
        <f>ROUND(SUM(C3:C442),5)</f>
        <v>520277515.33999997</v>
      </c>
      <c r="D447" s="181">
        <f>SUM(D3:D444)</f>
        <v>10007405.829999998</v>
      </c>
      <c r="E447" s="181">
        <f>SUM(E3:E444)</f>
        <v>8955446.3299999982</v>
      </c>
      <c r="F447" s="182">
        <f>SUM(F3:F444)</f>
        <v>543440596.38000011</v>
      </c>
      <c r="G447" s="182">
        <f>SUM(G3:G444)</f>
        <v>543440596.38</v>
      </c>
      <c r="L447" s="157"/>
      <c r="O447" s="157"/>
      <c r="P447" s="157"/>
      <c r="Q447" s="226"/>
      <c r="R447" s="182">
        <f>SUM(R2:R444)</f>
        <v>542415316.38000011</v>
      </c>
      <c r="S447" s="182">
        <f>SUM(S2:S444)</f>
        <v>542415316.38</v>
      </c>
      <c r="T447" s="234"/>
      <c r="U447" s="182">
        <f>SUM(U2:U444)</f>
        <v>1025280</v>
      </c>
      <c r="V447" s="182">
        <f>SUM(V2:V444)</f>
        <v>1025280</v>
      </c>
    </row>
    <row r="448" spans="1:24" ht="13.5" thickTop="1" x14ac:dyDescent="0.2"/>
    <row r="449" spans="3:18" x14ac:dyDescent="0.2">
      <c r="D449" s="150"/>
    </row>
    <row r="450" spans="3:18" x14ac:dyDescent="0.2">
      <c r="E450" s="150">
        <f>D447-E447</f>
        <v>1051959.5</v>
      </c>
      <c r="R450" s="139">
        <f>R447-G447</f>
        <v>-1025279.9999998808</v>
      </c>
    </row>
    <row r="451" spans="3:18" x14ac:dyDescent="0.2">
      <c r="C451" s="139">
        <f>C17+C320+C347+32805.73</f>
        <v>69792.17</v>
      </c>
    </row>
    <row r="452" spans="3:18" x14ac:dyDescent="0.2">
      <c r="E452" s="150"/>
    </row>
    <row r="453" spans="3:18" x14ac:dyDescent="0.2">
      <c r="G453" s="150"/>
    </row>
    <row r="454" spans="3:18" x14ac:dyDescent="0.2">
      <c r="E454" s="150">
        <f>E450+E452</f>
        <v>1051959.5</v>
      </c>
    </row>
  </sheetData>
  <mergeCells count="2">
    <mergeCell ref="D1:E1"/>
    <mergeCell ref="F1:G1"/>
  </mergeCell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M46"/>
  <sheetViews>
    <sheetView workbookViewId="0">
      <selection activeCell="F17" sqref="F17"/>
    </sheetView>
  </sheetViews>
  <sheetFormatPr defaultRowHeight="12.75" x14ac:dyDescent="0.2"/>
  <cols>
    <col min="1" max="1" width="11" customWidth="1"/>
    <col min="2" max="2" width="14" bestFit="1" customWidth="1"/>
    <col min="3" max="3" width="14" customWidth="1"/>
    <col min="4" max="4" width="21.85546875" bestFit="1" customWidth="1"/>
    <col min="5" max="5" width="19.140625" bestFit="1" customWidth="1"/>
    <col min="9" max="9" width="12.85546875" bestFit="1" customWidth="1"/>
    <col min="14" max="14" width="14" bestFit="1" customWidth="1"/>
  </cols>
  <sheetData>
    <row r="1" spans="1:9" ht="13.5" thickBot="1" x14ac:dyDescent="0.25"/>
    <row r="2" spans="1:9" s="328" customFormat="1" ht="16.5" thickBot="1" x14ac:dyDescent="0.3">
      <c r="F2" s="329" t="s">
        <v>791</v>
      </c>
      <c r="H2" s="330"/>
    </row>
    <row r="3" spans="1:9" s="328" customFormat="1" ht="15.75" x14ac:dyDescent="0.25">
      <c r="F3" s="329"/>
      <c r="G3" s="331"/>
    </row>
    <row r="4" spans="1:9" s="328" customFormat="1" ht="15.75" x14ac:dyDescent="0.25">
      <c r="A4" s="329" t="s">
        <v>792</v>
      </c>
      <c r="F4" s="328" t="s">
        <v>793</v>
      </c>
    </row>
    <row r="5" spans="1:9" s="328" customFormat="1" ht="15.75" x14ac:dyDescent="0.25">
      <c r="F5" s="328" t="s">
        <v>794</v>
      </c>
    </row>
    <row r="6" spans="1:9" s="328" customFormat="1" ht="15.75" x14ac:dyDescent="0.25">
      <c r="A6" s="329" t="s">
        <v>795</v>
      </c>
      <c r="F6" s="328" t="s">
        <v>796</v>
      </c>
    </row>
    <row r="7" spans="1:9" s="328" customFormat="1" ht="15.75" x14ac:dyDescent="0.25">
      <c r="A7" s="329"/>
      <c r="F7" s="328" t="s">
        <v>794</v>
      </c>
    </row>
    <row r="8" spans="1:9" s="328" customFormat="1" ht="15.75" x14ac:dyDescent="0.25">
      <c r="A8" s="329" t="s">
        <v>797</v>
      </c>
    </row>
    <row r="9" spans="1:9" s="328" customFormat="1" ht="16.5" thickBot="1" x14ac:dyDescent="0.3">
      <c r="A9" s="329"/>
    </row>
    <row r="10" spans="1:9" s="328" customFormat="1" ht="15.75" x14ac:dyDescent="0.25">
      <c r="A10" s="566" t="s">
        <v>798</v>
      </c>
      <c r="B10" s="568" t="s">
        <v>799</v>
      </c>
      <c r="C10" s="568" t="s">
        <v>800</v>
      </c>
      <c r="D10" s="562" t="s">
        <v>801</v>
      </c>
      <c r="E10" s="562" t="s">
        <v>802</v>
      </c>
      <c r="F10" s="562" t="s">
        <v>803</v>
      </c>
      <c r="G10" s="562" t="s">
        <v>804</v>
      </c>
      <c r="H10" s="564" t="s">
        <v>805</v>
      </c>
    </row>
    <row r="11" spans="1:9" s="328" customFormat="1" ht="15.75" x14ac:dyDescent="0.25">
      <c r="A11" s="567"/>
      <c r="B11" s="569"/>
      <c r="C11" s="569"/>
      <c r="D11" s="563"/>
      <c r="E11" s="563"/>
      <c r="F11" s="563"/>
      <c r="G11" s="563"/>
      <c r="H11" s="565"/>
    </row>
    <row r="12" spans="1:9" x14ac:dyDescent="0.2">
      <c r="A12" s="325"/>
      <c r="B12" s="327"/>
      <c r="C12" s="325" t="s">
        <v>790</v>
      </c>
      <c r="I12" s="322"/>
    </row>
    <row r="13" spans="1:9" x14ac:dyDescent="0.2">
      <c r="A13" s="56"/>
      <c r="B13" s="56" t="s">
        <v>806</v>
      </c>
      <c r="C13" s="56" t="s">
        <v>807</v>
      </c>
      <c r="D13" s="56">
        <v>3178113.17</v>
      </c>
      <c r="E13" s="56">
        <v>2376839.11</v>
      </c>
      <c r="F13" s="56"/>
      <c r="G13" s="56"/>
      <c r="H13" s="56"/>
    </row>
    <row r="14" spans="1:9" x14ac:dyDescent="0.2">
      <c r="A14" s="56"/>
      <c r="B14" s="56" t="s">
        <v>808</v>
      </c>
      <c r="C14" s="56" t="s">
        <v>809</v>
      </c>
      <c r="D14" s="56">
        <v>458415</v>
      </c>
      <c r="E14" s="56">
        <v>109160</v>
      </c>
      <c r="F14" s="56"/>
      <c r="G14" s="56"/>
      <c r="H14" s="56"/>
    </row>
    <row r="15" spans="1:9" x14ac:dyDescent="0.2">
      <c r="A15" s="56"/>
      <c r="B15" s="56" t="s">
        <v>810</v>
      </c>
      <c r="C15" s="56" t="s">
        <v>811</v>
      </c>
      <c r="D15" s="56">
        <v>617999</v>
      </c>
      <c r="E15" s="56">
        <v>484970</v>
      </c>
      <c r="F15" s="56"/>
      <c r="G15" s="56"/>
      <c r="H15" s="56"/>
    </row>
    <row r="16" spans="1:9" x14ac:dyDescent="0.2">
      <c r="A16" s="56"/>
      <c r="B16" s="56" t="s">
        <v>812</v>
      </c>
      <c r="C16" s="56" t="s">
        <v>813</v>
      </c>
      <c r="D16" s="56">
        <v>218915</v>
      </c>
      <c r="E16" s="56">
        <v>79214</v>
      </c>
      <c r="F16" s="56"/>
      <c r="G16" s="56"/>
      <c r="H16" s="56"/>
    </row>
    <row r="17" spans="1:13" x14ac:dyDescent="0.2">
      <c r="A17" s="56"/>
      <c r="B17" s="56" t="s">
        <v>814</v>
      </c>
      <c r="C17" s="56" t="s">
        <v>815</v>
      </c>
      <c r="D17" s="56">
        <v>295697.78000000003</v>
      </c>
      <c r="E17" s="56">
        <v>44400</v>
      </c>
      <c r="F17" s="56"/>
      <c r="G17" s="56"/>
      <c r="H17" s="56"/>
    </row>
    <row r="18" spans="1:13" x14ac:dyDescent="0.2">
      <c r="A18" s="56"/>
      <c r="B18" s="56" t="s">
        <v>816</v>
      </c>
      <c r="C18" s="56" t="s">
        <v>12</v>
      </c>
      <c r="D18" s="56">
        <v>297474.51</v>
      </c>
      <c r="E18" s="56">
        <v>60557</v>
      </c>
      <c r="F18" s="56"/>
      <c r="G18" s="56"/>
      <c r="H18" s="56"/>
    </row>
    <row r="19" spans="1:13" x14ac:dyDescent="0.2">
      <c r="A19" s="56"/>
      <c r="B19" s="56" t="s">
        <v>817</v>
      </c>
      <c r="C19" s="56" t="s">
        <v>818</v>
      </c>
      <c r="D19" s="56">
        <v>82234</v>
      </c>
      <c r="E19" s="56">
        <v>31700</v>
      </c>
      <c r="F19" s="56"/>
      <c r="G19" s="56"/>
      <c r="H19" s="56"/>
    </row>
    <row r="20" spans="1:13" x14ac:dyDescent="0.2">
      <c r="A20" s="56"/>
      <c r="B20" s="56" t="s">
        <v>819</v>
      </c>
      <c r="C20" s="56" t="s">
        <v>820</v>
      </c>
      <c r="D20" s="56">
        <v>855</v>
      </c>
      <c r="E20" s="56">
        <v>545</v>
      </c>
      <c r="F20" s="56"/>
      <c r="G20" s="56"/>
      <c r="H20" s="56"/>
    </row>
    <row r="21" spans="1:13" x14ac:dyDescent="0.2">
      <c r="A21" s="56"/>
      <c r="B21" s="56" t="s">
        <v>821</v>
      </c>
      <c r="C21" s="56" t="s">
        <v>822</v>
      </c>
      <c r="D21" s="56">
        <v>2327158.6</v>
      </c>
      <c r="E21" s="56">
        <v>231546</v>
      </c>
      <c r="F21" s="56"/>
      <c r="G21" s="56"/>
      <c r="H21" s="56"/>
    </row>
    <row r="22" spans="1:13" x14ac:dyDescent="0.2">
      <c r="A22" s="56"/>
      <c r="B22" s="56" t="s">
        <v>823</v>
      </c>
      <c r="C22" s="56" t="s">
        <v>824</v>
      </c>
      <c r="D22" s="56">
        <v>212000</v>
      </c>
      <c r="E22" s="56">
        <v>238500</v>
      </c>
      <c r="F22" s="56"/>
      <c r="G22" s="56"/>
      <c r="H22" s="56"/>
    </row>
    <row r="23" spans="1:13" x14ac:dyDescent="0.2">
      <c r="A23" s="56"/>
      <c r="B23" s="56" t="s">
        <v>825</v>
      </c>
      <c r="C23" s="56" t="s">
        <v>826</v>
      </c>
      <c r="D23" s="56">
        <v>3136200</v>
      </c>
      <c r="E23" s="56">
        <v>1138500.8400000001</v>
      </c>
      <c r="F23" s="56"/>
      <c r="G23" s="56"/>
      <c r="H23" s="56"/>
    </row>
    <row r="24" spans="1:13" x14ac:dyDescent="0.2">
      <c r="A24" s="56"/>
      <c r="B24" s="56" t="s">
        <v>827</v>
      </c>
      <c r="C24" s="56" t="s">
        <v>828</v>
      </c>
      <c r="D24" s="56">
        <v>6401567.6500000004</v>
      </c>
      <c r="E24" s="56">
        <v>2652061.88</v>
      </c>
      <c r="F24" s="56"/>
      <c r="G24" s="56"/>
      <c r="H24" s="56"/>
      <c r="J24" s="323"/>
      <c r="K24" s="323"/>
      <c r="L24" s="323"/>
      <c r="M24" s="323"/>
    </row>
    <row r="25" spans="1:13" x14ac:dyDescent="0.2">
      <c r="A25" s="56"/>
      <c r="B25" s="324"/>
      <c r="C25" s="324"/>
      <c r="D25" s="324">
        <f>SUM(D13:D24)</f>
        <v>17226629.710000001</v>
      </c>
      <c r="E25" s="324">
        <f>SUM(E13:E24)</f>
        <v>7447993.8300000001</v>
      </c>
      <c r="F25" s="56"/>
      <c r="G25" s="56"/>
      <c r="H25" s="56"/>
      <c r="J25" s="323"/>
      <c r="K25" s="323"/>
      <c r="L25" s="323"/>
      <c r="M25" s="323"/>
    </row>
    <row r="26" spans="1:13" x14ac:dyDescent="0.2">
      <c r="A26" s="324"/>
      <c r="B26" s="56"/>
      <c r="C26" s="56"/>
      <c r="D26" s="56"/>
      <c r="E26" s="56"/>
      <c r="F26" s="56"/>
      <c r="G26" s="56"/>
      <c r="H26" s="56"/>
      <c r="J26" s="323"/>
      <c r="K26" s="323"/>
      <c r="L26" s="323"/>
      <c r="M26" s="323"/>
    </row>
    <row r="27" spans="1:13" x14ac:dyDescent="0.2">
      <c r="A27" s="332"/>
      <c r="B27" s="333">
        <v>5000</v>
      </c>
      <c r="C27" s="326" t="s">
        <v>829</v>
      </c>
      <c r="D27" s="323">
        <v>31517.86</v>
      </c>
      <c r="E27" s="56">
        <v>0</v>
      </c>
      <c r="F27" s="56"/>
      <c r="H27" s="56"/>
      <c r="I27" s="56"/>
      <c r="J27" s="56"/>
      <c r="K27" s="56"/>
      <c r="L27" s="56"/>
      <c r="M27" s="56"/>
    </row>
    <row r="28" spans="1:13" x14ac:dyDescent="0.2">
      <c r="A28" s="326"/>
      <c r="B28" s="333">
        <v>5100000</v>
      </c>
      <c r="C28" s="56" t="s">
        <v>54</v>
      </c>
      <c r="D28" s="56">
        <v>25466</v>
      </c>
      <c r="E28" s="56">
        <v>0</v>
      </c>
      <c r="F28" s="56"/>
      <c r="H28" s="56"/>
      <c r="I28" s="56"/>
      <c r="J28" s="56"/>
      <c r="K28" s="56"/>
      <c r="L28" s="56"/>
      <c r="M28" s="56"/>
    </row>
    <row r="29" spans="1:13" x14ac:dyDescent="0.2">
      <c r="A29" s="56"/>
      <c r="B29" s="333">
        <v>5100120</v>
      </c>
      <c r="C29" s="326" t="s">
        <v>830</v>
      </c>
      <c r="D29" s="56">
        <v>76427.490000000005</v>
      </c>
      <c r="E29" s="56">
        <v>3240510.2</v>
      </c>
      <c r="F29" s="56"/>
      <c r="H29" s="56"/>
      <c r="I29" s="56"/>
      <c r="J29" s="56"/>
      <c r="K29" s="56"/>
      <c r="L29" s="56"/>
      <c r="M29" s="56"/>
    </row>
    <row r="30" spans="1:13" x14ac:dyDescent="0.2">
      <c r="A30" s="326"/>
      <c r="B30" s="333">
        <v>5100110</v>
      </c>
      <c r="C30" s="56" t="s">
        <v>831</v>
      </c>
      <c r="D30" s="56">
        <v>0</v>
      </c>
      <c r="E30" s="56">
        <v>1330509.8999999999</v>
      </c>
      <c r="F30" s="56"/>
      <c r="H30" s="56"/>
      <c r="I30" s="56"/>
      <c r="J30" s="56"/>
      <c r="K30" s="56"/>
      <c r="L30" s="56"/>
      <c r="M30" s="56"/>
    </row>
    <row r="31" spans="1:13" x14ac:dyDescent="0.2">
      <c r="A31" s="326"/>
      <c r="B31" s="333">
        <v>5101000</v>
      </c>
      <c r="C31" s="56" t="s">
        <v>832</v>
      </c>
      <c r="D31" s="56">
        <v>1360</v>
      </c>
      <c r="E31" s="56">
        <v>0</v>
      </c>
      <c r="F31" s="56"/>
      <c r="H31" s="56"/>
      <c r="I31" s="56"/>
      <c r="J31" s="56"/>
      <c r="K31" s="56"/>
      <c r="L31" s="56"/>
      <c r="M31" s="56"/>
    </row>
    <row r="32" spans="1:13" x14ac:dyDescent="0.2">
      <c r="A32" s="56"/>
      <c r="B32" s="333" t="s">
        <v>833</v>
      </c>
      <c r="C32" s="56" t="s">
        <v>834</v>
      </c>
      <c r="D32" s="56">
        <v>28750340.190000001</v>
      </c>
      <c r="E32" s="56">
        <v>35722181.710000001</v>
      </c>
      <c r="F32" s="56"/>
      <c r="H32" s="56"/>
      <c r="I32" s="56"/>
      <c r="J32" s="56"/>
      <c r="K32" s="56"/>
      <c r="L32" s="56"/>
      <c r="M32" s="56"/>
    </row>
    <row r="33" spans="1:13" x14ac:dyDescent="0.2">
      <c r="A33" s="56"/>
      <c r="B33" s="333" t="s">
        <v>835</v>
      </c>
      <c r="C33" s="56" t="s">
        <v>836</v>
      </c>
      <c r="D33" s="56">
        <v>0</v>
      </c>
      <c r="E33" s="56">
        <v>7625</v>
      </c>
      <c r="F33" s="56"/>
      <c r="H33" s="56"/>
      <c r="I33" s="56"/>
      <c r="J33" s="56"/>
      <c r="K33" s="56"/>
      <c r="L33" s="56"/>
      <c r="M33" s="56"/>
    </row>
    <row r="34" spans="1:13" x14ac:dyDescent="0.2">
      <c r="A34" s="56"/>
      <c r="B34" s="333" t="s">
        <v>837</v>
      </c>
      <c r="C34" s="56" t="s">
        <v>838</v>
      </c>
      <c r="D34" s="56">
        <v>3255525.96</v>
      </c>
      <c r="E34" s="56">
        <v>2119081.48</v>
      </c>
      <c r="F34" s="56"/>
      <c r="H34" s="56"/>
      <c r="I34" s="56"/>
      <c r="J34" s="56"/>
      <c r="K34" s="56"/>
      <c r="L34" s="56"/>
      <c r="M34" s="56"/>
    </row>
    <row r="35" spans="1:13" x14ac:dyDescent="0.2">
      <c r="A35" s="56"/>
      <c r="B35" s="333" t="s">
        <v>839</v>
      </c>
      <c r="C35" s="56" t="s">
        <v>840</v>
      </c>
      <c r="D35" s="56">
        <v>236300</v>
      </c>
      <c r="E35" s="56">
        <v>182700</v>
      </c>
      <c r="F35" s="56"/>
      <c r="H35" s="56"/>
      <c r="I35" s="56"/>
      <c r="J35" s="56"/>
      <c r="K35" s="56"/>
      <c r="L35" s="56"/>
      <c r="M35" s="56"/>
    </row>
    <row r="36" spans="1:13" x14ac:dyDescent="0.2">
      <c r="A36" s="56"/>
      <c r="B36" s="333" t="s">
        <v>841</v>
      </c>
      <c r="C36" s="56" t="s">
        <v>842</v>
      </c>
      <c r="D36" s="56">
        <v>2055952.96</v>
      </c>
      <c r="E36" s="56">
        <v>4412171.8</v>
      </c>
      <c r="F36" s="56"/>
      <c r="H36" s="56"/>
      <c r="I36" s="56"/>
      <c r="J36" s="56"/>
      <c r="K36" s="56"/>
      <c r="L36" s="56"/>
      <c r="M36" s="56"/>
    </row>
    <row r="37" spans="1:13" x14ac:dyDescent="0.2">
      <c r="A37" s="326"/>
      <c r="B37" s="333">
        <v>5101100</v>
      </c>
      <c r="C37" s="326" t="s">
        <v>843</v>
      </c>
      <c r="D37" s="56">
        <v>0</v>
      </c>
      <c r="E37" s="56">
        <v>106393.81</v>
      </c>
      <c r="F37" s="56"/>
      <c r="H37" s="56"/>
      <c r="I37" s="56"/>
      <c r="J37" s="56"/>
      <c r="K37" s="56"/>
      <c r="L37" s="56"/>
      <c r="M37" s="56"/>
    </row>
    <row r="38" spans="1:13" x14ac:dyDescent="0.2">
      <c r="A38" s="326"/>
      <c r="B38" s="333">
        <v>5106000</v>
      </c>
      <c r="C38" s="326" t="s">
        <v>844</v>
      </c>
      <c r="D38" s="56">
        <v>5390</v>
      </c>
      <c r="E38" s="56">
        <v>0</v>
      </c>
      <c r="F38" s="56"/>
      <c r="H38" s="56"/>
      <c r="I38" s="56"/>
      <c r="J38" s="56"/>
      <c r="K38" s="56"/>
      <c r="L38" s="56"/>
      <c r="M38" s="56"/>
    </row>
    <row r="39" spans="1:13" x14ac:dyDescent="0.2">
      <c r="A39" s="326"/>
      <c r="B39" s="333">
        <v>5106003</v>
      </c>
      <c r="C39" s="56" t="s">
        <v>845</v>
      </c>
      <c r="D39" s="56">
        <v>1420</v>
      </c>
      <c r="E39" s="56">
        <v>0</v>
      </c>
      <c r="F39" s="56"/>
      <c r="H39" s="56"/>
      <c r="I39" s="56"/>
      <c r="J39" s="56"/>
      <c r="K39" s="56"/>
      <c r="L39" s="56"/>
      <c r="M39" s="56"/>
    </row>
    <row r="40" spans="1:13" x14ac:dyDescent="0.2">
      <c r="A40" s="326"/>
      <c r="B40" s="333">
        <v>510600</v>
      </c>
      <c r="C40" s="56" t="s">
        <v>842</v>
      </c>
      <c r="D40" s="56">
        <v>10980</v>
      </c>
      <c r="E40" s="56">
        <v>0</v>
      </c>
      <c r="F40" s="56"/>
      <c r="H40" s="56"/>
      <c r="I40" s="56"/>
      <c r="J40" s="56"/>
      <c r="K40" s="56"/>
      <c r="L40" s="56"/>
      <c r="M40" s="56"/>
    </row>
    <row r="41" spans="1:13" x14ac:dyDescent="0.2">
      <c r="A41" s="56"/>
      <c r="B41" s="333">
        <v>5100210</v>
      </c>
      <c r="C41" s="56" t="s">
        <v>831</v>
      </c>
      <c r="D41" s="56">
        <v>0</v>
      </c>
      <c r="E41" s="56">
        <v>-1886684.43</v>
      </c>
      <c r="F41" s="56"/>
      <c r="H41" s="56"/>
      <c r="I41" s="56"/>
      <c r="J41" s="56"/>
      <c r="K41" s="56"/>
      <c r="L41" s="56"/>
      <c r="M41" s="56"/>
    </row>
    <row r="42" spans="1:13" x14ac:dyDescent="0.2">
      <c r="A42" s="56"/>
      <c r="B42" s="333">
        <v>5100220</v>
      </c>
      <c r="C42" s="56" t="s">
        <v>830</v>
      </c>
      <c r="D42" s="56">
        <v>1259919.76</v>
      </c>
      <c r="E42" s="56">
        <v>-5256657.1500000004</v>
      </c>
    </row>
    <row r="43" spans="1:13" x14ac:dyDescent="0.2">
      <c r="A43" s="56"/>
      <c r="B43" s="333">
        <v>5100230</v>
      </c>
      <c r="C43" s="56" t="s">
        <v>846</v>
      </c>
      <c r="D43" s="56">
        <v>0</v>
      </c>
      <c r="E43" s="56">
        <v>-1006439</v>
      </c>
    </row>
    <row r="44" spans="1:13" x14ac:dyDescent="0.2">
      <c r="A44" s="56"/>
      <c r="B44" s="333">
        <v>5100300</v>
      </c>
      <c r="C44" s="56" t="s">
        <v>847</v>
      </c>
      <c r="D44" s="56">
        <v>0</v>
      </c>
      <c r="E44" s="56">
        <v>-762423</v>
      </c>
    </row>
    <row r="45" spans="1:13" x14ac:dyDescent="0.2">
      <c r="A45" s="56"/>
      <c r="B45" s="324"/>
      <c r="C45" s="324"/>
      <c r="D45" s="324">
        <f>SUM(D27:D44)</f>
        <v>35710600.219999999</v>
      </c>
      <c r="E45" s="324">
        <f>SUM(E27:E44)</f>
        <v>38208970.32</v>
      </c>
    </row>
    <row r="46" spans="1:13" x14ac:dyDescent="0.2">
      <c r="A46" s="325"/>
      <c r="B46" s="324"/>
      <c r="C46" s="324"/>
      <c r="D46" s="324">
        <f>D45+D25</f>
        <v>52937229.93</v>
      </c>
      <c r="E46" s="324">
        <f>E45+E25</f>
        <v>45656964.149999999</v>
      </c>
    </row>
  </sheetData>
  <protectedRanges>
    <protectedRange sqref="H2 A2:F8 G3:H8" name="Range3"/>
  </protectedRanges>
  <mergeCells count="8">
    <mergeCell ref="G10:G11"/>
    <mergeCell ref="H10:H11"/>
    <mergeCell ref="A10:A11"/>
    <mergeCell ref="B10:B11"/>
    <mergeCell ref="C10:C11"/>
    <mergeCell ref="D10:D11"/>
    <mergeCell ref="E10:E11"/>
    <mergeCell ref="F10:F11"/>
  </mergeCells>
  <pageMargins left="0.7" right="0.7" top="0.75" bottom="0.75" header="0.3" footer="0.3"/>
  <pageSetup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25F5AC-6CFB-482E-BC3A-142A00AA0272}">
  <dimension ref="A1:Y406"/>
  <sheetViews>
    <sheetView tabSelected="1" view="pageBreakPreview" zoomScaleSheetLayoutView="100" workbookViewId="0">
      <selection activeCell="P7" sqref="P7"/>
    </sheetView>
  </sheetViews>
  <sheetFormatPr defaultRowHeight="12.75" x14ac:dyDescent="0.2"/>
  <cols>
    <col min="1" max="1" width="3.85546875" style="655" customWidth="1"/>
    <col min="2" max="2" width="9.28515625" style="621" bestFit="1" customWidth="1"/>
    <col min="3" max="3" width="18.5703125" style="621" customWidth="1"/>
    <col min="4" max="4" width="1.42578125" style="621" customWidth="1"/>
    <col min="5" max="5" width="12" style="621" customWidth="1"/>
    <col min="6" max="6" width="13.7109375" style="621" customWidth="1"/>
    <col min="7" max="7" width="10.85546875" style="621" customWidth="1"/>
    <col min="8" max="8" width="11.140625" style="621" customWidth="1"/>
    <col min="9" max="9" width="12.42578125" style="621" customWidth="1"/>
    <col min="10" max="10" width="12" style="621" customWidth="1"/>
    <col min="11" max="11" width="11.7109375" style="621" customWidth="1"/>
    <col min="12" max="12" width="13.28515625" style="621" customWidth="1"/>
    <col min="13" max="14" width="11.85546875" style="621" customWidth="1"/>
    <col min="15" max="15" width="12.28515625" style="621" customWidth="1"/>
    <col min="16" max="16" width="13.140625" style="574" bestFit="1" customWidth="1"/>
    <col min="17" max="17" width="10.42578125" style="574" bestFit="1" customWidth="1"/>
    <col min="18" max="18" width="13.7109375" style="574" bestFit="1" customWidth="1"/>
    <col min="19" max="19" width="12.5703125" style="574" bestFit="1" customWidth="1"/>
    <col min="20" max="20" width="11.140625" style="574" bestFit="1" customWidth="1"/>
    <col min="21" max="21" width="13" style="574" bestFit="1" customWidth="1"/>
    <col min="22" max="22" width="11.28515625" style="574" bestFit="1" customWidth="1"/>
    <col min="23" max="23" width="9.140625" style="574"/>
    <col min="24" max="24" width="24.5703125" style="574" customWidth="1"/>
    <col min="25" max="25" width="11.140625" style="574" bestFit="1" customWidth="1"/>
    <col min="26" max="16384" width="9.140625" style="574"/>
  </cols>
  <sheetData>
    <row r="1" spans="1:21" x14ac:dyDescent="0.2">
      <c r="A1" s="570"/>
      <c r="B1" s="15"/>
      <c r="C1" s="15"/>
      <c r="D1" s="15"/>
      <c r="E1" s="15"/>
      <c r="F1" s="15"/>
      <c r="G1" s="15"/>
      <c r="H1" s="15"/>
      <c r="I1" s="15"/>
      <c r="J1" s="571"/>
      <c r="K1" s="571"/>
      <c r="L1" s="15"/>
      <c r="M1" s="15"/>
      <c r="N1" s="15"/>
      <c r="O1" s="572" t="s">
        <v>1656</v>
      </c>
      <c r="P1" s="573"/>
    </row>
    <row r="2" spans="1:21" ht="13.5" x14ac:dyDescent="0.25">
      <c r="A2" s="575" t="s">
        <v>7</v>
      </c>
      <c r="B2" s="576"/>
      <c r="C2" s="577"/>
      <c r="D2" s="577"/>
      <c r="E2" s="577"/>
      <c r="F2" s="577"/>
      <c r="G2" s="577"/>
      <c r="H2" s="577"/>
      <c r="I2" s="577"/>
      <c r="J2" s="578"/>
      <c r="K2" s="578"/>
      <c r="L2" s="577"/>
      <c r="M2" s="577"/>
      <c r="N2" s="577"/>
      <c r="O2" s="579" t="str">
        <f>'[5]12'!H2</f>
        <v>(Expressed in Sri Lankan Rupees)</v>
      </c>
    </row>
    <row r="3" spans="1:21" x14ac:dyDescent="0.2">
      <c r="A3" s="580"/>
      <c r="B3" s="581"/>
      <c r="C3" s="582"/>
      <c r="D3" s="582"/>
      <c r="E3" s="582"/>
      <c r="F3" s="582"/>
      <c r="G3" s="582"/>
      <c r="H3" s="582"/>
      <c r="I3" s="583"/>
      <c r="J3" s="571"/>
      <c r="K3" s="571"/>
      <c r="L3" s="584"/>
      <c r="M3" s="584"/>
      <c r="N3" s="584"/>
      <c r="O3" s="15"/>
    </row>
    <row r="4" spans="1:21" x14ac:dyDescent="0.2">
      <c r="A4" s="585" t="s">
        <v>1657</v>
      </c>
      <c r="B4" s="581"/>
      <c r="C4" s="582"/>
      <c r="D4" s="582"/>
      <c r="E4" s="582"/>
      <c r="F4" s="582"/>
      <c r="G4" s="582"/>
      <c r="H4" s="582"/>
      <c r="I4" s="583"/>
      <c r="J4" s="571"/>
      <c r="K4" s="571"/>
      <c r="L4" s="584"/>
      <c r="M4" s="584"/>
      <c r="N4" s="584"/>
      <c r="O4" s="15"/>
    </row>
    <row r="5" spans="1:21" ht="13.5" x14ac:dyDescent="0.25">
      <c r="A5" s="586"/>
      <c r="B5" s="577"/>
      <c r="C5" s="577"/>
      <c r="D5" s="577"/>
      <c r="E5" s="577"/>
      <c r="F5" s="577"/>
      <c r="G5" s="577"/>
      <c r="H5" s="577"/>
      <c r="I5" s="577"/>
      <c r="J5" s="578"/>
      <c r="K5" s="578"/>
      <c r="L5" s="587"/>
      <c r="M5" s="587"/>
      <c r="N5" s="587"/>
      <c r="O5" s="587"/>
      <c r="P5" s="573"/>
    </row>
    <row r="6" spans="1:21" ht="13.5" x14ac:dyDescent="0.25">
      <c r="A6" s="588"/>
      <c r="B6" s="584"/>
      <c r="C6" s="584"/>
      <c r="D6" s="584"/>
      <c r="E6" s="584"/>
      <c r="F6" s="584"/>
      <c r="G6" s="584"/>
      <c r="H6" s="584"/>
      <c r="I6" s="584"/>
      <c r="J6" s="571"/>
      <c r="K6" s="571"/>
      <c r="L6" s="589"/>
      <c r="M6" s="589"/>
      <c r="N6" s="589"/>
      <c r="O6" s="589"/>
      <c r="Q6" s="573"/>
    </row>
    <row r="7" spans="1:21" x14ac:dyDescent="0.2">
      <c r="A7" s="590">
        <f>[6]FP!B11</f>
        <v>11</v>
      </c>
      <c r="B7" s="591" t="s">
        <v>64</v>
      </c>
      <c r="C7" s="591"/>
      <c r="D7" s="591"/>
      <c r="E7" s="592"/>
      <c r="F7" s="592"/>
      <c r="G7" s="592"/>
      <c r="H7" s="593"/>
      <c r="I7" s="593"/>
      <c r="J7" s="594"/>
      <c r="K7" s="594"/>
      <c r="L7" s="571"/>
      <c r="M7" s="595"/>
      <c r="N7" s="571"/>
      <c r="O7" s="571"/>
      <c r="Q7" s="573"/>
    </row>
    <row r="8" spans="1:21" x14ac:dyDescent="0.2">
      <c r="A8" s="590"/>
      <c r="B8" s="591"/>
      <c r="C8" s="591"/>
      <c r="D8" s="591"/>
      <c r="E8" s="592"/>
      <c r="F8" s="592"/>
      <c r="G8" s="592"/>
      <c r="H8" s="593"/>
      <c r="I8" s="593"/>
      <c r="J8" s="593"/>
      <c r="K8" s="593"/>
      <c r="L8" s="571"/>
      <c r="M8" s="571"/>
      <c r="N8" s="571"/>
      <c r="O8" s="571"/>
      <c r="Q8" s="573"/>
      <c r="R8" s="596"/>
    </row>
    <row r="9" spans="1:21" ht="38.25" x14ac:dyDescent="0.2">
      <c r="A9" s="597"/>
      <c r="B9" s="598" t="s">
        <v>1632</v>
      </c>
      <c r="C9" s="598"/>
      <c r="D9" s="599"/>
      <c r="E9" s="600" t="s">
        <v>1633</v>
      </c>
      <c r="F9" s="600" t="s">
        <v>1634</v>
      </c>
      <c r="G9" s="600" t="s">
        <v>1635</v>
      </c>
      <c r="H9" s="600" t="s">
        <v>1636</v>
      </c>
      <c r="I9" s="600" t="s">
        <v>1637</v>
      </c>
      <c r="J9" s="600" t="s">
        <v>1638</v>
      </c>
      <c r="K9" s="600" t="s">
        <v>1639</v>
      </c>
      <c r="L9" s="600" t="s">
        <v>1640</v>
      </c>
      <c r="M9" s="600" t="s">
        <v>1641</v>
      </c>
      <c r="N9" s="600" t="s">
        <v>1642</v>
      </c>
      <c r="O9" s="601" t="s">
        <v>57</v>
      </c>
    </row>
    <row r="10" spans="1:21" hidden="1" x14ac:dyDescent="0.2">
      <c r="A10" s="602"/>
      <c r="B10" s="603" t="s">
        <v>1643</v>
      </c>
      <c r="C10" s="603"/>
      <c r="D10" s="604"/>
      <c r="E10" s="605"/>
      <c r="F10" s="605"/>
      <c r="G10" s="605"/>
      <c r="H10" s="605"/>
      <c r="I10" s="605"/>
      <c r="J10" s="605"/>
      <c r="K10" s="605"/>
      <c r="L10" s="605"/>
      <c r="M10" s="605"/>
      <c r="N10" s="605"/>
      <c r="O10" s="606"/>
      <c r="R10" s="596"/>
      <c r="S10" s="607"/>
      <c r="U10" s="596"/>
    </row>
    <row r="11" spans="1:21" hidden="1" x14ac:dyDescent="0.2">
      <c r="A11" s="602"/>
      <c r="B11" s="608" t="s">
        <v>1644</v>
      </c>
      <c r="C11" s="603"/>
      <c r="D11" s="604"/>
      <c r="E11" s="592"/>
      <c r="F11" s="592"/>
      <c r="G11" s="592"/>
      <c r="H11" s="592"/>
      <c r="I11" s="592"/>
      <c r="J11" s="592"/>
      <c r="K11" s="592"/>
      <c r="L11" s="592"/>
      <c r="M11" s="592"/>
      <c r="N11" s="592"/>
      <c r="O11" s="595"/>
      <c r="R11" s="596"/>
      <c r="S11" s="573"/>
      <c r="U11" s="596"/>
    </row>
    <row r="12" spans="1:21" x14ac:dyDescent="0.2">
      <c r="A12" s="602"/>
      <c r="B12" s="603" t="s">
        <v>1658</v>
      </c>
      <c r="C12" s="603"/>
      <c r="D12" s="604"/>
      <c r="E12" s="605">
        <f>+'BS 1.1.2018'!I298</f>
        <v>110130176</v>
      </c>
      <c r="F12" s="605">
        <f>+'BS 1.1.2018'!J298</f>
        <v>38707399.640000001</v>
      </c>
      <c r="G12" s="605">
        <f>+'BS 1.1.2018'!K298</f>
        <v>15973055</v>
      </c>
      <c r="H12" s="605">
        <f>+'BS 1.1.2018'!L298</f>
        <v>13575721.279999999</v>
      </c>
      <c r="I12" s="605">
        <f>+'BS 1.1.2018'!M298</f>
        <v>9359584.0899999999</v>
      </c>
      <c r="J12" s="605">
        <f>+'BS 1.1.2018'!N298</f>
        <v>14599703.6</v>
      </c>
      <c r="K12" s="605">
        <f>+'BS 1.1.2018'!O298</f>
        <v>8843507.8200000003</v>
      </c>
      <c r="L12" s="605">
        <f>+'BS 1.1.2018'!P298</f>
        <v>0</v>
      </c>
      <c r="M12" s="605">
        <f>+'BS 1.1.2018'!Q298</f>
        <v>4000422.45</v>
      </c>
      <c r="N12" s="605">
        <f>+'BS 1.1.2018'!R298</f>
        <v>6156839</v>
      </c>
      <c r="O12" s="605">
        <f>SUM(E12:N12)</f>
        <v>221346408.87999997</v>
      </c>
      <c r="Q12" s="573"/>
      <c r="R12" s="596"/>
      <c r="S12" s="573"/>
      <c r="U12" s="596"/>
    </row>
    <row r="13" spans="1:21" x14ac:dyDescent="0.2">
      <c r="A13" s="602"/>
      <c r="B13" s="608" t="s">
        <v>1644</v>
      </c>
      <c r="C13" s="603"/>
      <c r="D13" s="604"/>
      <c r="E13" s="592"/>
      <c r="F13" s="592"/>
      <c r="G13" s="592"/>
      <c r="H13" s="592">
        <v>1766590</v>
      </c>
      <c r="I13" s="592">
        <v>4999</v>
      </c>
      <c r="J13" s="592">
        <v>1344</v>
      </c>
      <c r="K13" s="592"/>
      <c r="L13" s="592"/>
      <c r="M13" s="592"/>
      <c r="N13" s="592"/>
      <c r="O13" s="592">
        <f>SUM(E13:N13)</f>
        <v>1772933</v>
      </c>
      <c r="P13" s="573"/>
      <c r="R13" s="596"/>
      <c r="S13" s="607"/>
      <c r="U13" s="596"/>
    </row>
    <row r="14" spans="1:21" s="609" customFormat="1" x14ac:dyDescent="0.2">
      <c r="A14" s="602"/>
      <c r="B14" s="608" t="s">
        <v>1645</v>
      </c>
      <c r="C14" s="603"/>
      <c r="D14" s="604"/>
      <c r="F14" s="610"/>
      <c r="G14" s="610"/>
      <c r="H14" s="610"/>
      <c r="I14" s="610"/>
      <c r="J14" s="610"/>
      <c r="K14" s="131"/>
      <c r="L14" s="592"/>
      <c r="M14" s="610"/>
      <c r="N14" s="592"/>
      <c r="O14" s="592"/>
      <c r="R14" s="611"/>
      <c r="S14" s="612"/>
    </row>
    <row r="15" spans="1:21" s="609" customFormat="1" x14ac:dyDescent="0.2">
      <c r="A15" s="602"/>
      <c r="B15" s="608" t="s">
        <v>1646</v>
      </c>
      <c r="C15" s="603"/>
      <c r="D15" s="604"/>
      <c r="E15" s="592"/>
      <c r="F15" s="610"/>
      <c r="G15" s="610"/>
      <c r="H15" s="610"/>
      <c r="I15" s="610"/>
      <c r="J15" s="610"/>
      <c r="K15" s="592"/>
      <c r="L15" s="592"/>
      <c r="M15" s="610"/>
      <c r="N15" s="592"/>
      <c r="O15" s="592"/>
      <c r="P15" s="613"/>
      <c r="Q15" s="611"/>
      <c r="R15" s="611"/>
      <c r="S15" s="612"/>
    </row>
    <row r="16" spans="1:21" s="609" customFormat="1" x14ac:dyDescent="0.2">
      <c r="A16" s="602"/>
      <c r="B16" s="608" t="s">
        <v>1647</v>
      </c>
      <c r="C16" s="603"/>
      <c r="D16" s="604"/>
      <c r="E16" s="592"/>
      <c r="F16" s="610"/>
      <c r="G16" s="610"/>
      <c r="H16" s="610"/>
      <c r="I16" s="610"/>
      <c r="J16" s="610"/>
      <c r="K16" s="592"/>
      <c r="L16" s="592"/>
      <c r="M16" s="614"/>
      <c r="N16" s="592"/>
      <c r="O16" s="592"/>
      <c r="P16" s="613"/>
      <c r="R16" s="611"/>
      <c r="S16" s="612"/>
    </row>
    <row r="17" spans="1:25" s="609" customFormat="1" x14ac:dyDescent="0.2">
      <c r="A17" s="602"/>
      <c r="B17" s="608" t="s">
        <v>1648</v>
      </c>
      <c r="C17" s="603"/>
      <c r="D17" s="604"/>
      <c r="E17" s="610"/>
      <c r="F17" s="610"/>
      <c r="G17" s="592"/>
      <c r="H17" s="610"/>
      <c r="I17" s="610"/>
      <c r="J17" s="610"/>
      <c r="K17" s="610"/>
      <c r="L17" s="592"/>
      <c r="M17" s="610"/>
      <c r="N17" s="592"/>
      <c r="O17" s="592"/>
      <c r="P17" s="613"/>
      <c r="R17" s="611"/>
      <c r="S17" s="612"/>
    </row>
    <row r="18" spans="1:25" s="609" customFormat="1" x14ac:dyDescent="0.2">
      <c r="A18" s="602"/>
      <c r="B18" s="603" t="s">
        <v>1659</v>
      </c>
      <c r="C18" s="603"/>
      <c r="D18" s="604"/>
      <c r="E18" s="615">
        <f>+'BS MARCH 31 (2)'!AA305</f>
        <v>110130176</v>
      </c>
      <c r="F18" s="615">
        <f>+'BS MARCH 31 (2)'!AB305</f>
        <v>38707399.640000001</v>
      </c>
      <c r="G18" s="615">
        <f>+'BS MARCH 31 (2)'!AC305</f>
        <v>15973055</v>
      </c>
      <c r="H18" s="615">
        <f>+'BS MARCH 31 (2)'!AD305</f>
        <v>15342311.629999999</v>
      </c>
      <c r="I18" s="615">
        <f>+'BS MARCH 31 (2)'!AE305</f>
        <v>9364583.0899999999</v>
      </c>
      <c r="J18" s="615">
        <f>+'BS MARCH 31 (2)'!AF305</f>
        <v>14601047.6</v>
      </c>
      <c r="K18" s="615">
        <f>+'BS MARCH 31 (2)'!AG305</f>
        <v>8843507.8200000003</v>
      </c>
      <c r="L18" s="615">
        <f>'[6]TB 2016'!C168+'[6]TB 2016'!C169</f>
        <v>0</v>
      </c>
      <c r="M18" s="615">
        <f>+'BS MARCH 31 (2)'!AI305</f>
        <v>4000422.45</v>
      </c>
      <c r="N18" s="615">
        <f>+'BS MARCH 31 (2)'!AJ305</f>
        <v>6156839</v>
      </c>
      <c r="O18" s="605">
        <f>SUM(E18:N18)</f>
        <v>223119342.22999996</v>
      </c>
      <c r="P18" s="613"/>
      <c r="R18" s="611"/>
      <c r="S18" s="612"/>
    </row>
    <row r="19" spans="1:25" s="609" customFormat="1" x14ac:dyDescent="0.2">
      <c r="A19" s="602"/>
      <c r="B19" s="604"/>
      <c r="C19" s="604"/>
      <c r="D19" s="604"/>
      <c r="E19" s="610"/>
      <c r="F19" s="23"/>
      <c r="G19" s="610"/>
      <c r="H19" s="610"/>
      <c r="I19" s="610"/>
      <c r="J19" s="610"/>
      <c r="K19" s="610"/>
      <c r="L19" s="610"/>
      <c r="M19" s="610"/>
      <c r="N19" s="610"/>
      <c r="O19" s="610"/>
      <c r="R19" s="611"/>
      <c r="S19" s="612"/>
    </row>
    <row r="20" spans="1:25" ht="38.25" x14ac:dyDescent="0.2">
      <c r="A20" s="602"/>
      <c r="B20" s="616" t="s">
        <v>55</v>
      </c>
      <c r="C20" s="616"/>
      <c r="D20" s="617"/>
      <c r="E20" s="600" t="s">
        <v>1633</v>
      </c>
      <c r="F20" s="600" t="s">
        <v>1634</v>
      </c>
      <c r="G20" s="600" t="s">
        <v>1635</v>
      </c>
      <c r="H20" s="600" t="s">
        <v>1636</v>
      </c>
      <c r="I20" s="600" t="s">
        <v>1637</v>
      </c>
      <c r="J20" s="600" t="s">
        <v>1638</v>
      </c>
      <c r="K20" s="600" t="s">
        <v>1639</v>
      </c>
      <c r="L20" s="600" t="s">
        <v>1640</v>
      </c>
      <c r="M20" s="600" t="s">
        <v>1641</v>
      </c>
      <c r="N20" s="600" t="s">
        <v>1642</v>
      </c>
      <c r="O20" s="601" t="s">
        <v>57</v>
      </c>
      <c r="P20" s="573"/>
      <c r="R20" s="596"/>
      <c r="S20" s="607"/>
    </row>
    <row r="21" spans="1:25" hidden="1" x14ac:dyDescent="0.2">
      <c r="A21" s="602"/>
      <c r="B21" s="618"/>
      <c r="C21" s="618"/>
      <c r="D21" s="610"/>
      <c r="E21" s="619"/>
      <c r="F21" s="619"/>
      <c r="G21" s="620"/>
      <c r="H21" s="620"/>
      <c r="I21" s="620"/>
      <c r="J21" s="595"/>
      <c r="K21" s="595"/>
      <c r="R21" s="622"/>
      <c r="S21" s="622"/>
      <c r="T21" s="596"/>
      <c r="U21" s="573"/>
    </row>
    <row r="22" spans="1:25" hidden="1" x14ac:dyDescent="0.2">
      <c r="A22" s="597"/>
      <c r="B22" s="603" t="e">
        <f>#REF!</f>
        <v>#REF!</v>
      </c>
      <c r="C22" s="603"/>
      <c r="D22" s="604"/>
      <c r="E22" s="605"/>
      <c r="F22" s="623"/>
      <c r="G22" s="605"/>
      <c r="H22" s="605"/>
      <c r="I22" s="605"/>
      <c r="J22" s="605"/>
      <c r="K22" s="605"/>
      <c r="L22" s="605"/>
      <c r="M22" s="605"/>
      <c r="N22" s="605"/>
      <c r="O22" s="606"/>
    </row>
    <row r="23" spans="1:25" hidden="1" x14ac:dyDescent="0.2">
      <c r="A23" s="570"/>
      <c r="B23" s="608" t="s">
        <v>1649</v>
      </c>
      <c r="C23" s="608"/>
      <c r="D23" s="624"/>
      <c r="E23" s="592"/>
      <c r="F23" s="625"/>
      <c r="G23" s="592"/>
      <c r="H23" s="592"/>
      <c r="I23" s="592"/>
      <c r="J23" s="592"/>
      <c r="K23" s="592"/>
      <c r="L23" s="592"/>
      <c r="M23" s="592"/>
      <c r="N23" s="592"/>
      <c r="O23" s="592"/>
    </row>
    <row r="24" spans="1:25" hidden="1" x14ac:dyDescent="0.2">
      <c r="A24" s="570"/>
      <c r="B24" s="608" t="s">
        <v>1645</v>
      </c>
      <c r="C24" s="608"/>
      <c r="D24" s="624"/>
      <c r="E24" s="592"/>
      <c r="F24" s="626"/>
      <c r="G24" s="592"/>
      <c r="H24" s="592"/>
      <c r="I24" s="592"/>
      <c r="J24" s="592"/>
      <c r="K24" s="592"/>
      <c r="L24" s="592"/>
      <c r="M24" s="592"/>
      <c r="N24" s="592"/>
      <c r="O24" s="627"/>
    </row>
    <row r="25" spans="1:25" hidden="1" x14ac:dyDescent="0.2">
      <c r="A25" s="597"/>
      <c r="B25" s="603" t="str">
        <f>B10</f>
        <v>Balance as at 01 January 2014</v>
      </c>
      <c r="C25" s="603"/>
      <c r="D25" s="604"/>
      <c r="E25" s="628">
        <v>0</v>
      </c>
      <c r="F25" s="605"/>
      <c r="G25" s="605"/>
      <c r="H25" s="605"/>
      <c r="I25" s="605"/>
      <c r="J25" s="605"/>
      <c r="K25" s="605"/>
      <c r="L25" s="605"/>
      <c r="M25" s="605"/>
      <c r="N25" s="605"/>
      <c r="O25" s="605"/>
      <c r="Q25" s="573"/>
      <c r="R25" s="573"/>
      <c r="S25" s="573"/>
      <c r="T25" s="573"/>
    </row>
    <row r="26" spans="1:25" hidden="1" x14ac:dyDescent="0.2">
      <c r="A26" s="597"/>
      <c r="B26" s="608" t="s">
        <v>1649</v>
      </c>
      <c r="C26" s="603"/>
      <c r="D26" s="604"/>
      <c r="E26" s="15">
        <v>0</v>
      </c>
      <c r="F26" s="592"/>
      <c r="G26" s="24"/>
      <c r="H26" s="592"/>
      <c r="I26" s="592"/>
      <c r="J26" s="592"/>
      <c r="K26" s="592"/>
      <c r="L26" s="592"/>
      <c r="M26" s="592"/>
      <c r="N26" s="592"/>
      <c r="O26" s="592"/>
      <c r="R26" s="573"/>
      <c r="S26" s="573"/>
      <c r="U26" s="573"/>
    </row>
    <row r="27" spans="1:25" x14ac:dyDescent="0.2">
      <c r="A27" s="597"/>
      <c r="B27" s="603" t="str">
        <f>B12</f>
        <v>Balance as at 1st January 2018</v>
      </c>
      <c r="C27" s="603"/>
      <c r="D27" s="604"/>
      <c r="E27" s="628">
        <v>0</v>
      </c>
      <c r="F27" s="605">
        <f>-'BS 1.1.2018'!H129</f>
        <v>17597303.870000001</v>
      </c>
      <c r="G27" s="605">
        <f>-'BS 1.1.2018'!H141-5544006</f>
        <v>11662210.739999998</v>
      </c>
      <c r="H27" s="605">
        <f>-'BS 1.1.2018'!H148</f>
        <v>11534267.09</v>
      </c>
      <c r="I27" s="605">
        <f>-'BS 1.1.2018'!H165</f>
        <v>8656708.0600000005</v>
      </c>
      <c r="J27" s="605">
        <f>-('BS 1.1.2018'!H171+'BS 1.1.2018'!H172)</f>
        <v>4219002.92</v>
      </c>
      <c r="K27" s="605">
        <f>-'BS 1.1.2018'!H153</f>
        <v>6181894.5899999999</v>
      </c>
      <c r="L27" s="605"/>
      <c r="M27" s="605">
        <f>-'BS 1.1.2018'!H158</f>
        <v>3516299.86</v>
      </c>
      <c r="N27" s="610">
        <v>5544005.6099999994</v>
      </c>
      <c r="O27" s="605">
        <f>SUM(E27:N27)</f>
        <v>68911692.74000001</v>
      </c>
      <c r="P27" s="610"/>
      <c r="Q27" s="610"/>
      <c r="R27" s="610"/>
      <c r="U27" s="573"/>
      <c r="Y27" s="629"/>
    </row>
    <row r="28" spans="1:25" x14ac:dyDescent="0.2">
      <c r="A28" s="597"/>
      <c r="B28" s="608" t="s">
        <v>1760</v>
      </c>
      <c r="C28" s="603"/>
      <c r="D28" s="604"/>
      <c r="E28" s="15">
        <v>0</v>
      </c>
      <c r="F28" s="592">
        <f>+'Sheet1 (2)'!O269</f>
        <v>630894.75</v>
      </c>
      <c r="G28" s="592">
        <f>+'Sheet1 (2)'!N269-429167</f>
        <v>308175.21999999997</v>
      </c>
      <c r="H28" s="592">
        <f>+'TB 01.01.2018-03.31.2018'!G480</f>
        <v>182178.48</v>
      </c>
      <c r="I28" s="592">
        <f>+'TB 01.01.2018-03.31.2018'!H480</f>
        <v>169068.48</v>
      </c>
      <c r="J28" s="592">
        <f>+'TB 01.01.2018-03.31.2018'!I480</f>
        <v>189816.93</v>
      </c>
      <c r="K28" s="592">
        <f>+'TB 01.01.2018-03.31.2018'!J480</f>
        <v>439412.31</v>
      </c>
      <c r="L28" s="592"/>
      <c r="M28" s="592">
        <f>+'TB 01.01.2018-03.31.2018'!L480</f>
        <v>150714.15</v>
      </c>
      <c r="N28" s="592">
        <v>429166.75</v>
      </c>
      <c r="O28" s="592">
        <f>SUM(E28:N28)</f>
        <v>2499427.0699999998</v>
      </c>
      <c r="P28" s="592"/>
      <c r="Q28" s="592"/>
      <c r="R28" s="592"/>
      <c r="U28" s="573"/>
    </row>
    <row r="29" spans="1:25" x14ac:dyDescent="0.2">
      <c r="A29" s="597"/>
      <c r="B29" s="608" t="s">
        <v>1650</v>
      </c>
      <c r="C29" s="603"/>
      <c r="D29" s="604"/>
      <c r="E29" s="15"/>
      <c r="F29" s="592"/>
      <c r="G29" s="592"/>
      <c r="H29" s="592"/>
      <c r="I29" s="592"/>
      <c r="J29" s="592"/>
      <c r="K29" s="592"/>
      <c r="L29" s="592"/>
      <c r="M29" s="592"/>
      <c r="N29" s="592"/>
      <c r="O29" s="592">
        <f t="shared" ref="O29:O31" si="0">SUM(E29:N29)</f>
        <v>0</v>
      </c>
      <c r="P29" s="592"/>
      <c r="Q29" s="592"/>
      <c r="R29" s="592"/>
      <c r="U29" s="573"/>
    </row>
    <row r="30" spans="1:25" x14ac:dyDescent="0.2">
      <c r="A30" s="597"/>
      <c r="B30" s="608" t="s">
        <v>1645</v>
      </c>
      <c r="C30" s="603"/>
      <c r="D30" s="604"/>
      <c r="E30" s="15">
        <v>0</v>
      </c>
      <c r="F30" s="592"/>
      <c r="G30" s="592"/>
      <c r="H30" s="592"/>
      <c r="I30" s="592"/>
      <c r="J30" s="592"/>
      <c r="K30" s="24"/>
      <c r="L30" s="630"/>
      <c r="M30" s="592"/>
      <c r="N30" s="592"/>
      <c r="O30" s="592">
        <f t="shared" si="0"/>
        <v>0</v>
      </c>
      <c r="P30" s="592"/>
      <c r="Q30" s="596"/>
      <c r="R30" s="596"/>
      <c r="S30" s="596"/>
      <c r="T30" s="596"/>
      <c r="U30" s="607"/>
      <c r="V30" s="596"/>
      <c r="W30" s="596"/>
      <c r="X30" s="596"/>
    </row>
    <row r="31" spans="1:25" x14ac:dyDescent="0.2">
      <c r="A31" s="597"/>
      <c r="B31" s="608" t="s">
        <v>1648</v>
      </c>
      <c r="C31" s="603"/>
      <c r="D31" s="604"/>
      <c r="E31" s="15">
        <v>0</v>
      </c>
      <c r="F31" s="592"/>
      <c r="G31" s="592"/>
      <c r="H31" s="592"/>
      <c r="I31" s="592"/>
      <c r="J31" s="592"/>
      <c r="K31" s="592"/>
      <c r="L31" s="592"/>
      <c r="M31" s="592"/>
      <c r="N31" s="592"/>
      <c r="O31" s="592">
        <f t="shared" si="0"/>
        <v>0</v>
      </c>
      <c r="P31" s="592"/>
      <c r="Q31" s="596"/>
      <c r="R31" s="596"/>
      <c r="S31" s="596"/>
      <c r="T31" s="596"/>
      <c r="U31" s="607"/>
      <c r="V31" s="596"/>
      <c r="W31" s="596"/>
      <c r="X31" s="596"/>
    </row>
    <row r="32" spans="1:25" x14ac:dyDescent="0.2">
      <c r="A32" s="597"/>
      <c r="B32" s="603" t="s">
        <v>1659</v>
      </c>
      <c r="C32" s="603"/>
      <c r="D32" s="604"/>
      <c r="E32" s="628">
        <f>SUM(E27:E30)</f>
        <v>0</v>
      </c>
      <c r="F32" s="615">
        <f>-'BS MARCH 31 (2)'!H136</f>
        <v>18228198.620000001</v>
      </c>
      <c r="G32" s="615">
        <f>SUM(G27:G31)</f>
        <v>11970385.959999999</v>
      </c>
      <c r="H32" s="615">
        <f>-'BS MARCH 31 (2)'!H155</f>
        <v>11716445.57</v>
      </c>
      <c r="I32" s="615">
        <f>-'BS MARCH 31 (2)'!H172</f>
        <v>8825776.5399999991</v>
      </c>
      <c r="J32" s="615">
        <f>-('BS MARCH 31 (2)'!H178+'BS MARCH 31 (2)'!H179)</f>
        <v>4408819.8499999996</v>
      </c>
      <c r="K32" s="615">
        <f>-'BS MARCH 31 (2)'!H160</f>
        <v>6621306.9000000004</v>
      </c>
      <c r="L32" s="615">
        <f>'[6]TB 2016'!C170</f>
        <v>0</v>
      </c>
      <c r="M32" s="615">
        <f>-'BS MARCH 31 (2)'!H165</f>
        <v>3667014.01</v>
      </c>
      <c r="N32" s="41">
        <f>SUM(N27:N31)</f>
        <v>5973172.3599999994</v>
      </c>
      <c r="O32" s="605">
        <f>SUM(E32:N32)</f>
        <v>71411119.810000002</v>
      </c>
      <c r="P32" s="610"/>
      <c r="Q32" s="596"/>
      <c r="R32" s="631"/>
      <c r="S32" s="631"/>
      <c r="T32" s="631"/>
      <c r="U32" s="607"/>
      <c r="V32" s="596"/>
      <c r="W32" s="596"/>
      <c r="X32" s="596"/>
    </row>
    <row r="33" spans="1:24" x14ac:dyDescent="0.2">
      <c r="A33" s="597"/>
      <c r="B33" s="603"/>
      <c r="C33" s="603"/>
      <c r="D33" s="604"/>
      <c r="E33" s="15"/>
      <c r="F33" s="632"/>
      <c r="G33" s="632"/>
      <c r="H33" s="632"/>
      <c r="I33" s="632"/>
      <c r="J33" s="632"/>
      <c r="K33" s="632"/>
      <c r="L33" s="632"/>
      <c r="M33" s="632"/>
      <c r="N33" s="23"/>
      <c r="O33" s="610"/>
      <c r="P33" s="610"/>
      <c r="Q33" s="596"/>
      <c r="R33" s="631"/>
      <c r="S33" s="631"/>
      <c r="T33" s="631"/>
      <c r="U33" s="607"/>
      <c r="V33" s="596"/>
      <c r="W33" s="596"/>
      <c r="X33" s="596"/>
    </row>
    <row r="34" spans="1:24" x14ac:dyDescent="0.2">
      <c r="A34" s="597"/>
      <c r="B34" s="603"/>
      <c r="C34" s="603"/>
      <c r="D34" s="604"/>
      <c r="E34" s="15"/>
      <c r="F34" s="632"/>
      <c r="G34" s="632"/>
      <c r="H34" s="632"/>
      <c r="I34" s="632"/>
      <c r="J34" s="632"/>
      <c r="K34" s="632"/>
      <c r="L34" s="632"/>
      <c r="M34" s="632"/>
      <c r="N34" s="23"/>
      <c r="O34" s="610"/>
      <c r="P34" s="610"/>
      <c r="Q34" s="596"/>
      <c r="R34" s="631"/>
      <c r="S34" s="631"/>
      <c r="T34" s="631"/>
      <c r="U34" s="607"/>
      <c r="V34" s="596"/>
      <c r="W34" s="596"/>
      <c r="X34" s="596"/>
    </row>
    <row r="35" spans="1:24" x14ac:dyDescent="0.2">
      <c r="A35" s="597"/>
      <c r="B35" s="603"/>
      <c r="C35" s="603"/>
      <c r="D35" s="604"/>
      <c r="E35" s="15"/>
      <c r="F35" s="632"/>
      <c r="G35" s="632"/>
      <c r="H35" s="632"/>
      <c r="I35" s="632"/>
      <c r="J35" s="632"/>
      <c r="K35" s="632"/>
      <c r="L35" s="632"/>
      <c r="M35" s="632"/>
      <c r="N35" s="23"/>
      <c r="O35" s="610"/>
      <c r="P35" s="610"/>
      <c r="Q35" s="596"/>
      <c r="R35" s="631"/>
      <c r="S35" s="631"/>
      <c r="T35" s="631"/>
      <c r="U35" s="607"/>
      <c r="V35" s="596"/>
      <c r="W35" s="596"/>
      <c r="X35" s="596"/>
    </row>
    <row r="36" spans="1:24" s="621" customFormat="1" x14ac:dyDescent="0.2">
      <c r="A36" s="597"/>
      <c r="B36" s="603"/>
      <c r="C36" s="603"/>
      <c r="D36" s="604"/>
      <c r="E36" s="15"/>
      <c r="F36" s="632"/>
      <c r="G36" s="632"/>
      <c r="H36" s="632"/>
      <c r="I36" s="632"/>
      <c r="J36" s="632"/>
      <c r="K36" s="632"/>
      <c r="L36" s="632"/>
      <c r="M36" s="632"/>
      <c r="N36" s="23"/>
      <c r="O36" s="610"/>
      <c r="P36" s="610"/>
      <c r="Q36" s="633"/>
      <c r="R36" s="634"/>
      <c r="S36" s="634"/>
      <c r="T36" s="634"/>
      <c r="U36" s="635"/>
      <c r="V36" s="633"/>
      <c r="W36" s="633"/>
      <c r="X36" s="633"/>
    </row>
    <row r="37" spans="1:24" s="621" customFormat="1" x14ac:dyDescent="0.2">
      <c r="A37" s="597"/>
      <c r="B37" s="603"/>
      <c r="C37" s="603"/>
      <c r="D37" s="604"/>
      <c r="E37" s="15"/>
      <c r="F37" s="632"/>
      <c r="G37" s="632"/>
      <c r="H37" s="632"/>
      <c r="I37" s="632"/>
      <c r="J37" s="632"/>
      <c r="K37" s="632"/>
      <c r="L37" s="632"/>
      <c r="M37" s="632"/>
      <c r="N37" s="23"/>
      <c r="O37" s="610"/>
      <c r="P37" s="610"/>
      <c r="Q37" s="633"/>
      <c r="R37" s="634"/>
      <c r="S37" s="634"/>
      <c r="T37" s="634"/>
      <c r="U37" s="635"/>
      <c r="V37" s="633"/>
      <c r="W37" s="633"/>
      <c r="X37" s="633"/>
    </row>
    <row r="38" spans="1:24" ht="13.5" x14ac:dyDescent="0.25">
      <c r="A38" s="570"/>
      <c r="B38" s="608"/>
      <c r="C38" s="608"/>
      <c r="D38" s="624"/>
      <c r="E38" s="592"/>
      <c r="F38" s="592"/>
      <c r="G38" s="636"/>
      <c r="H38" s="637"/>
      <c r="I38" s="592"/>
      <c r="J38" s="592"/>
      <c r="K38" s="592"/>
      <c r="L38" s="592"/>
      <c r="M38" s="592"/>
      <c r="N38" s="592"/>
      <c r="O38" s="592"/>
      <c r="P38" s="592"/>
      <c r="Q38" s="596"/>
      <c r="R38" s="596"/>
      <c r="S38" s="596"/>
      <c r="T38" s="596"/>
      <c r="U38" s="607"/>
      <c r="V38" s="596"/>
      <c r="W38" s="596"/>
      <c r="X38" s="596"/>
    </row>
    <row r="39" spans="1:24" x14ac:dyDescent="0.2">
      <c r="A39" s="570"/>
      <c r="B39" s="638" t="s">
        <v>1651</v>
      </c>
      <c r="C39" s="638"/>
      <c r="D39" s="639"/>
      <c r="E39" s="640"/>
      <c r="F39" s="640"/>
      <c r="G39" s="641"/>
      <c r="H39" s="641"/>
      <c r="I39" s="642"/>
      <c r="J39" s="642"/>
      <c r="K39" s="642"/>
      <c r="L39" s="643"/>
      <c r="M39" s="644"/>
      <c r="N39" s="644"/>
      <c r="O39" s="644">
        <v>2018</v>
      </c>
      <c r="P39" s="645"/>
      <c r="Q39" s="596"/>
      <c r="R39" s="596"/>
      <c r="S39" s="596"/>
      <c r="T39" s="596"/>
      <c r="U39" s="607"/>
      <c r="V39" s="596"/>
      <c r="W39" s="596"/>
      <c r="X39" s="596"/>
    </row>
    <row r="40" spans="1:24" ht="13.5" customHeight="1" x14ac:dyDescent="0.2">
      <c r="A40" s="570"/>
      <c r="B40" s="646"/>
      <c r="C40" s="646"/>
      <c r="D40" s="647"/>
      <c r="E40" s="648"/>
      <c r="F40" s="648"/>
      <c r="G40" s="649"/>
      <c r="H40" s="648"/>
      <c r="I40" s="650"/>
      <c r="J40" s="578"/>
      <c r="K40" s="578"/>
      <c r="L40" s="650"/>
      <c r="M40" s="578"/>
      <c r="N40" s="650"/>
      <c r="O40" s="578"/>
      <c r="P40" s="609"/>
      <c r="Q40" s="609"/>
      <c r="R40" s="596"/>
      <c r="S40" s="596"/>
      <c r="T40" s="596"/>
      <c r="U40" s="607"/>
      <c r="V40" s="596"/>
      <c r="W40" s="596"/>
      <c r="X40" s="596"/>
    </row>
    <row r="41" spans="1:24" x14ac:dyDescent="0.2">
      <c r="A41" s="651"/>
      <c r="B41" s="624"/>
      <c r="F41" s="627"/>
      <c r="G41" s="627"/>
      <c r="H41" s="627"/>
      <c r="I41" s="627"/>
      <c r="J41" s="627"/>
      <c r="K41" s="627"/>
      <c r="L41" s="627"/>
      <c r="M41" s="627"/>
      <c r="N41" s="595"/>
      <c r="O41" s="627"/>
      <c r="P41" s="573"/>
      <c r="Q41" s="573"/>
      <c r="R41" s="596"/>
      <c r="S41" s="596"/>
      <c r="T41" s="596"/>
      <c r="U41" s="573"/>
      <c r="V41" s="596"/>
      <c r="W41" s="596"/>
      <c r="X41" s="596"/>
    </row>
    <row r="42" spans="1:24" x14ac:dyDescent="0.2">
      <c r="A42" s="651"/>
      <c r="B42" s="652" t="s">
        <v>1633</v>
      </c>
      <c r="G42" s="627"/>
      <c r="H42" s="633"/>
      <c r="J42" s="653"/>
      <c r="K42" s="627"/>
      <c r="L42" s="633"/>
      <c r="M42" s="627"/>
      <c r="N42" s="24"/>
      <c r="O42" s="627">
        <f>E18</f>
        <v>110130176</v>
      </c>
      <c r="R42" s="596"/>
      <c r="S42" s="596"/>
      <c r="T42" s="596"/>
      <c r="U42" s="573"/>
      <c r="V42" s="596"/>
      <c r="W42" s="596"/>
      <c r="X42" s="596"/>
    </row>
    <row r="43" spans="1:24" x14ac:dyDescent="0.2">
      <c r="A43" s="651"/>
      <c r="B43" s="652" t="s">
        <v>1634</v>
      </c>
      <c r="G43" s="29"/>
      <c r="J43" s="653"/>
      <c r="K43" s="627"/>
      <c r="L43" s="633"/>
      <c r="M43" s="627"/>
      <c r="N43" s="24"/>
      <c r="O43" s="627">
        <f>F18-F32</f>
        <v>20479201.02</v>
      </c>
      <c r="R43" s="596"/>
      <c r="S43" s="596"/>
      <c r="T43" s="596"/>
      <c r="U43" s="607"/>
      <c r="V43" s="596"/>
      <c r="W43" s="596"/>
      <c r="X43" s="596"/>
    </row>
    <row r="44" spans="1:24" x14ac:dyDescent="0.2">
      <c r="A44" s="651"/>
      <c r="B44" s="652" t="s">
        <v>1635</v>
      </c>
      <c r="J44" s="653"/>
      <c r="M44" s="627"/>
      <c r="N44" s="24"/>
      <c r="O44" s="627">
        <f>G18-G32</f>
        <v>4002669.040000001</v>
      </c>
      <c r="P44" s="573"/>
      <c r="R44" s="596"/>
      <c r="S44" s="596"/>
      <c r="T44" s="596"/>
      <c r="U44" s="607"/>
      <c r="V44" s="596"/>
      <c r="W44" s="596"/>
      <c r="X44" s="596"/>
    </row>
    <row r="45" spans="1:24" x14ac:dyDescent="0.2">
      <c r="A45" s="651"/>
      <c r="B45" s="373" t="s">
        <v>1636</v>
      </c>
      <c r="H45" s="627"/>
      <c r="J45" s="653"/>
      <c r="M45" s="627"/>
      <c r="N45" s="24"/>
      <c r="O45" s="627">
        <f>H18-H32</f>
        <v>3625866.0599999987</v>
      </c>
      <c r="P45" s="573"/>
      <c r="R45" s="596"/>
      <c r="S45" s="596"/>
      <c r="T45" s="596"/>
      <c r="U45" s="607"/>
      <c r="V45" s="596"/>
      <c r="W45" s="596"/>
      <c r="X45" s="596"/>
    </row>
    <row r="46" spans="1:24" x14ac:dyDescent="0.2">
      <c r="A46" s="651"/>
      <c r="B46" s="373" t="s">
        <v>1637</v>
      </c>
      <c r="H46" s="627"/>
      <c r="J46" s="653"/>
      <c r="K46" s="654"/>
      <c r="M46" s="627"/>
      <c r="N46" s="24"/>
      <c r="O46" s="627">
        <f>I18-I32</f>
        <v>538806.55000000075</v>
      </c>
      <c r="R46" s="596"/>
      <c r="S46" s="596"/>
      <c r="T46" s="596"/>
      <c r="U46" s="607"/>
      <c r="V46" s="596"/>
      <c r="W46" s="596"/>
      <c r="X46" s="596"/>
    </row>
    <row r="47" spans="1:24" x14ac:dyDescent="0.2">
      <c r="A47" s="651"/>
      <c r="B47" s="373" t="s">
        <v>1638</v>
      </c>
      <c r="H47" s="627"/>
      <c r="J47" s="653"/>
      <c r="M47" s="627"/>
      <c r="N47" s="24"/>
      <c r="O47" s="627">
        <f>J18-J32</f>
        <v>10192227.75</v>
      </c>
      <c r="U47" s="622"/>
      <c r="V47" s="573"/>
    </row>
    <row r="48" spans="1:24" x14ac:dyDescent="0.2">
      <c r="A48" s="651"/>
      <c r="B48" s="373" t="s">
        <v>1639</v>
      </c>
      <c r="H48" s="627"/>
      <c r="I48" s="627"/>
      <c r="M48" s="627"/>
      <c r="N48" s="24"/>
      <c r="O48" s="627">
        <f>K18-K32</f>
        <v>2222200.92</v>
      </c>
      <c r="U48" s="573"/>
    </row>
    <row r="49" spans="1:16" x14ac:dyDescent="0.2">
      <c r="B49" s="373" t="s">
        <v>1652</v>
      </c>
      <c r="I49" s="627"/>
      <c r="J49" s="627"/>
      <c r="M49" s="595"/>
      <c r="N49" s="24"/>
      <c r="O49" s="595">
        <f>L18-L32</f>
        <v>0</v>
      </c>
    </row>
    <row r="50" spans="1:16" x14ac:dyDescent="0.2">
      <c r="B50" s="373" t="s">
        <v>1641</v>
      </c>
      <c r="N50" s="24"/>
      <c r="O50" s="627">
        <f>M18-M32</f>
        <v>333408.44000000041</v>
      </c>
    </row>
    <row r="51" spans="1:16" x14ac:dyDescent="0.2">
      <c r="B51" s="373" t="s">
        <v>1642</v>
      </c>
      <c r="M51" s="656"/>
      <c r="N51" s="24"/>
      <c r="O51" s="627">
        <f>N18-N32</f>
        <v>183666.6400000006</v>
      </c>
      <c r="P51" s="657"/>
    </row>
    <row r="52" spans="1:16" x14ac:dyDescent="0.2">
      <c r="B52" s="373" t="s">
        <v>1653</v>
      </c>
      <c r="J52" s="627"/>
      <c r="M52" s="656" t="s">
        <v>1761</v>
      </c>
      <c r="N52" s="24"/>
      <c r="O52" s="627">
        <f>'[6]12 19'!J21</f>
        <v>19991227.890000001</v>
      </c>
    </row>
    <row r="53" spans="1:16" ht="13.5" thickBot="1" x14ac:dyDescent="0.25">
      <c r="B53" s="373"/>
      <c r="L53" s="10"/>
      <c r="M53" s="656"/>
      <c r="N53" s="656">
        <f>SUM(N42:N52)</f>
        <v>0</v>
      </c>
      <c r="O53" s="658">
        <f>SUM(O42:O52)</f>
        <v>171699450.31</v>
      </c>
      <c r="P53" s="573"/>
    </row>
    <row r="54" spans="1:16" ht="13.5" thickTop="1" x14ac:dyDescent="0.2">
      <c r="B54" s="373"/>
      <c r="M54" s="656"/>
      <c r="N54" s="656"/>
      <c r="O54" s="656"/>
      <c r="P54" s="573"/>
    </row>
    <row r="55" spans="1:16" x14ac:dyDescent="0.2">
      <c r="A55" s="659" t="s">
        <v>1654</v>
      </c>
      <c r="L55" s="660"/>
      <c r="M55" s="660"/>
      <c r="N55" s="660"/>
      <c r="O55" s="660"/>
      <c r="P55" s="573"/>
    </row>
    <row r="56" spans="1:16" x14ac:dyDescent="0.2">
      <c r="A56" s="661" t="s">
        <v>1655</v>
      </c>
      <c r="N56" s="571"/>
      <c r="P56" s="573"/>
    </row>
    <row r="57" spans="1:16" x14ac:dyDescent="0.2">
      <c r="P57" s="573"/>
    </row>
    <row r="58" spans="1:16" ht="9" customHeight="1" x14ac:dyDescent="0.2">
      <c r="O58" s="627"/>
    </row>
    <row r="59" spans="1:16" hidden="1" x14ac:dyDescent="0.2">
      <c r="I59" s="633" t="e">
        <f>#REF!-#REF!</f>
        <v>#REF!</v>
      </c>
    </row>
    <row r="60" spans="1:16" hidden="1" x14ac:dyDescent="0.2">
      <c r="I60" s="627" t="e">
        <f>#REF!</f>
        <v>#REF!</v>
      </c>
    </row>
    <row r="61" spans="1:16" x14ac:dyDescent="0.2">
      <c r="O61" s="627"/>
    </row>
    <row r="62" spans="1:16" x14ac:dyDescent="0.2">
      <c r="O62" s="633"/>
    </row>
    <row r="64" spans="1:16" x14ac:dyDescent="0.2">
      <c r="O64" s="627"/>
    </row>
    <row r="65" spans="15:15" x14ac:dyDescent="0.2">
      <c r="O65" s="633"/>
    </row>
    <row r="404" spans="11:11" x14ac:dyDescent="0.2">
      <c r="K404" s="10"/>
    </row>
    <row r="406" spans="11:11" x14ac:dyDescent="0.2">
      <c r="K406" s="633"/>
    </row>
  </sheetData>
  <mergeCells count="3">
    <mergeCell ref="B9:C9"/>
    <mergeCell ref="B20:C20"/>
    <mergeCell ref="B39:C40"/>
  </mergeCells>
  <printOptions horizontalCentered="1"/>
  <pageMargins left="0.75" right="0.25" top="0.64" bottom="0.25" header="0.3" footer="0.3"/>
  <pageSetup paperSize="9" scale="81" orientation="landscape" horizontalDpi="1200" verticalDpi="1200" r:id="rId1"/>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486A1C-F069-4272-A57A-EBB61843CC93}">
  <sheetPr codeName="Sheet7" filterMode="1"/>
  <dimension ref="A1:AJ306"/>
  <sheetViews>
    <sheetView workbookViewId="0">
      <pane xSplit="7" ySplit="1" topLeftCell="H131" activePane="bottomRight" state="frozenSplit"/>
      <selection pane="topRight" activeCell="H1" sqref="H1"/>
      <selection pane="bottomLeft" activeCell="A2" sqref="A2"/>
      <selection pane="bottomRight" activeCell="AF140" sqref="AF140"/>
    </sheetView>
  </sheetViews>
  <sheetFormatPr defaultRowHeight="15" x14ac:dyDescent="0.25"/>
  <cols>
    <col min="1" max="6" width="3" style="521" customWidth="1"/>
    <col min="7" max="7" width="36.85546875" style="521" customWidth="1"/>
    <col min="8" max="8" width="11.7109375" style="522" bestFit="1" customWidth="1"/>
    <col min="9" max="9" width="22.140625" style="514" hidden="1" customWidth="1"/>
    <col min="10" max="10" width="12.42578125" style="514" hidden="1" customWidth="1"/>
    <col min="11" max="11" width="24.5703125" style="514" hidden="1" customWidth="1"/>
    <col min="12" max="12" width="14.7109375" style="514" hidden="1" customWidth="1"/>
    <col min="13" max="13" width="22" style="514" hidden="1" customWidth="1"/>
    <col min="14" max="14" width="9.5703125" style="514" hidden="1" customWidth="1"/>
    <col min="15" max="15" width="12.42578125" style="514" hidden="1" customWidth="1"/>
    <col min="16" max="16" width="23.42578125" style="514" hidden="1" customWidth="1"/>
    <col min="17" max="17" width="27.85546875" style="514" hidden="1" customWidth="1"/>
    <col min="18" max="18" width="11.5703125" style="514" hidden="1" customWidth="1"/>
    <col min="19" max="19" width="16.85546875" style="514" hidden="1" customWidth="1"/>
    <col min="20" max="20" width="15.42578125" style="514" hidden="1" customWidth="1"/>
    <col min="21" max="21" width="24.7109375" style="514" hidden="1" customWidth="1"/>
    <col min="22" max="22" width="49.28515625" style="514" hidden="1" customWidth="1"/>
    <col min="23" max="23" width="49" style="514" hidden="1" customWidth="1"/>
    <col min="24" max="24" width="19" style="514" hidden="1" customWidth="1"/>
    <col min="25" max="25" width="21" style="514" hidden="1" customWidth="1"/>
    <col min="26" max="26" width="26" style="514" hidden="1" customWidth="1"/>
    <col min="27" max="27" width="12.5703125" style="514" customWidth="1"/>
    <col min="28" max="28" width="13.42578125" style="514" customWidth="1"/>
    <col min="29" max="29" width="11.7109375" style="514" bestFit="1" customWidth="1"/>
    <col min="30" max="30" width="12.7109375" style="514" bestFit="1" customWidth="1"/>
    <col min="31" max="33" width="11.7109375" style="514" bestFit="1" customWidth="1"/>
    <col min="34" max="34" width="9.140625" style="514"/>
    <col min="35" max="36" width="11.7109375" style="514" bestFit="1" customWidth="1"/>
    <col min="37" max="16384" width="9.140625" style="514"/>
  </cols>
  <sheetData>
    <row r="1" spans="1:36" s="511" customFormat="1" ht="51.75" thickBot="1" x14ac:dyDescent="0.3">
      <c r="A1" s="509"/>
      <c r="B1" s="509"/>
      <c r="C1" s="509"/>
      <c r="D1" s="509"/>
      <c r="E1" s="509"/>
      <c r="F1" s="509"/>
      <c r="G1" s="509"/>
      <c r="H1" s="510" t="s">
        <v>1514</v>
      </c>
      <c r="I1" s="3" t="s">
        <v>71</v>
      </c>
      <c r="J1" s="511" t="s">
        <v>1579</v>
      </c>
      <c r="K1" s="3" t="s">
        <v>64</v>
      </c>
      <c r="L1" s="3" t="s">
        <v>265</v>
      </c>
      <c r="M1" s="3" t="s">
        <v>263</v>
      </c>
      <c r="N1" s="3" t="s">
        <v>855</v>
      </c>
      <c r="O1" s="3" t="s">
        <v>29</v>
      </c>
      <c r="P1" s="3" t="s">
        <v>17</v>
      </c>
      <c r="Q1" s="3" t="s">
        <v>0</v>
      </c>
      <c r="R1" s="3" t="s">
        <v>73</v>
      </c>
      <c r="S1" s="3" t="s">
        <v>30</v>
      </c>
      <c r="T1" s="3" t="s">
        <v>44</v>
      </c>
      <c r="U1" s="3" t="s">
        <v>311</v>
      </c>
      <c r="V1" s="100" t="s">
        <v>301</v>
      </c>
      <c r="W1" s="3" t="s">
        <v>86</v>
      </c>
      <c r="X1" s="100" t="s">
        <v>9</v>
      </c>
      <c r="Y1" s="1" t="s">
        <v>62</v>
      </c>
      <c r="Z1" s="3" t="s">
        <v>79</v>
      </c>
      <c r="AA1" s="600" t="s">
        <v>1633</v>
      </c>
      <c r="AB1" s="600" t="s">
        <v>1634</v>
      </c>
      <c r="AC1" s="600" t="s">
        <v>1635</v>
      </c>
      <c r="AD1" s="600" t="s">
        <v>1636</v>
      </c>
      <c r="AE1" s="600" t="s">
        <v>1637</v>
      </c>
      <c r="AF1" s="600" t="s">
        <v>1638</v>
      </c>
      <c r="AG1" s="600" t="s">
        <v>1639</v>
      </c>
      <c r="AH1" s="600" t="s">
        <v>1640</v>
      </c>
      <c r="AI1" s="600" t="s">
        <v>1641</v>
      </c>
      <c r="AJ1" s="600" t="s">
        <v>1642</v>
      </c>
    </row>
    <row r="2" spans="1:36" ht="15.75" hidden="1" thickTop="1" x14ac:dyDescent="0.25">
      <c r="A2" s="512" t="s">
        <v>60</v>
      </c>
      <c r="B2" s="512"/>
      <c r="C2" s="512"/>
      <c r="D2" s="512"/>
      <c r="E2" s="512"/>
      <c r="F2" s="512"/>
      <c r="G2" s="512"/>
      <c r="H2" s="513"/>
    </row>
    <row r="3" spans="1:36" ht="15.75" hidden="1" thickTop="1" x14ac:dyDescent="0.25">
      <c r="A3" s="512"/>
      <c r="B3" s="512" t="s">
        <v>50</v>
      </c>
      <c r="C3" s="512"/>
      <c r="D3" s="512"/>
      <c r="E3" s="512"/>
      <c r="F3" s="512"/>
      <c r="G3" s="512"/>
      <c r="H3" s="513"/>
    </row>
    <row r="4" spans="1:36" ht="15.75" hidden="1" thickTop="1" x14ac:dyDescent="0.25">
      <c r="A4" s="512"/>
      <c r="B4" s="512"/>
      <c r="C4" s="512" t="s">
        <v>857</v>
      </c>
      <c r="D4" s="512"/>
      <c r="E4" s="512"/>
      <c r="F4" s="512"/>
      <c r="G4" s="512"/>
      <c r="H4" s="513"/>
    </row>
    <row r="5" spans="1:36" ht="15.75" hidden="1" thickTop="1" x14ac:dyDescent="0.25">
      <c r="A5" s="512"/>
      <c r="B5" s="512"/>
      <c r="C5" s="512"/>
      <c r="D5" s="512" t="s">
        <v>651</v>
      </c>
      <c r="E5" s="512"/>
      <c r="F5" s="512"/>
      <c r="G5" s="512"/>
      <c r="H5" s="513"/>
    </row>
    <row r="6" spans="1:36" ht="15.75" hidden="1" thickTop="1" x14ac:dyDescent="0.25">
      <c r="A6" s="512"/>
      <c r="B6" s="512"/>
      <c r="C6" s="512"/>
      <c r="D6" s="512"/>
      <c r="E6" s="512" t="s">
        <v>858</v>
      </c>
      <c r="F6" s="512"/>
      <c r="G6" s="512"/>
      <c r="H6" s="513">
        <v>24945.66</v>
      </c>
      <c r="I6" s="524">
        <f>+H6</f>
        <v>24945.66</v>
      </c>
    </row>
    <row r="7" spans="1:36" ht="15.75" hidden="1" thickTop="1" x14ac:dyDescent="0.25">
      <c r="A7" s="512"/>
      <c r="B7" s="512"/>
      <c r="C7" s="512"/>
      <c r="D7" s="512"/>
      <c r="E7" s="512" t="s">
        <v>859</v>
      </c>
      <c r="F7" s="512"/>
      <c r="G7" s="512"/>
      <c r="H7" s="513">
        <v>59068.52</v>
      </c>
      <c r="I7" s="524">
        <f t="shared" ref="I7:I8" si="0">+H7</f>
        <v>59068.52</v>
      </c>
    </row>
    <row r="8" spans="1:36" ht="15.75" hidden="1" thickTop="1" x14ac:dyDescent="0.25">
      <c r="A8" s="512"/>
      <c r="B8" s="512"/>
      <c r="C8" s="512"/>
      <c r="D8" s="512"/>
      <c r="E8" s="512" t="s">
        <v>860</v>
      </c>
      <c r="F8" s="512"/>
      <c r="G8" s="512"/>
      <c r="H8" s="513">
        <v>57684.34</v>
      </c>
      <c r="I8" s="524">
        <f t="shared" si="0"/>
        <v>57684.34</v>
      </c>
    </row>
    <row r="9" spans="1:36" ht="15.75" hidden="1" thickTop="1" x14ac:dyDescent="0.25">
      <c r="A9" s="512"/>
      <c r="B9" s="512"/>
      <c r="C9" s="512"/>
      <c r="D9" s="512"/>
      <c r="E9" s="512" t="s">
        <v>861</v>
      </c>
      <c r="F9" s="512"/>
      <c r="G9" s="512"/>
      <c r="H9" s="513">
        <v>-2267847.2200000002</v>
      </c>
      <c r="J9" s="524">
        <f>+H9</f>
        <v>-2267847.2200000002</v>
      </c>
    </row>
    <row r="10" spans="1:36" ht="15.75" hidden="1" thickTop="1" x14ac:dyDescent="0.25">
      <c r="A10" s="512"/>
      <c r="B10" s="512"/>
      <c r="C10" s="512"/>
      <c r="D10" s="512"/>
      <c r="E10" s="512" t="s">
        <v>862</v>
      </c>
      <c r="F10" s="512"/>
      <c r="G10" s="512"/>
      <c r="H10" s="513">
        <v>7530958.7000000002</v>
      </c>
      <c r="I10" s="524">
        <f>+H10</f>
        <v>7530958.7000000002</v>
      </c>
    </row>
    <row r="11" spans="1:36" ht="15.75" hidden="1" thickTop="1" x14ac:dyDescent="0.25">
      <c r="A11" s="512"/>
      <c r="B11" s="512"/>
      <c r="C11" s="512"/>
      <c r="D11" s="512"/>
      <c r="E11" s="512" t="s">
        <v>865</v>
      </c>
      <c r="F11" s="512"/>
      <c r="G11" s="512"/>
      <c r="H11" s="513">
        <v>-331273.27</v>
      </c>
      <c r="J11" s="524">
        <f>+H11</f>
        <v>-331273.27</v>
      </c>
    </row>
    <row r="12" spans="1:36" ht="15.75" hidden="1" thickTop="1" x14ac:dyDescent="0.25">
      <c r="A12" s="512"/>
      <c r="B12" s="512"/>
      <c r="C12" s="512"/>
      <c r="D12" s="512"/>
      <c r="E12" s="512" t="s">
        <v>866</v>
      </c>
      <c r="F12" s="512"/>
      <c r="G12" s="512"/>
      <c r="H12" s="513">
        <v>8878.65</v>
      </c>
      <c r="I12" s="524">
        <f>+H12</f>
        <v>8878.65</v>
      </c>
    </row>
    <row r="13" spans="1:36" ht="15.75" hidden="1" thickTop="1" x14ac:dyDescent="0.25">
      <c r="A13" s="512"/>
      <c r="B13" s="512"/>
      <c r="C13" s="512"/>
      <c r="D13" s="512"/>
      <c r="E13" s="512" t="s">
        <v>867</v>
      </c>
      <c r="F13" s="512"/>
      <c r="G13" s="512"/>
      <c r="H13" s="513">
        <v>509350</v>
      </c>
      <c r="I13" s="524">
        <f t="shared" ref="I13:I15" si="1">+H13</f>
        <v>509350</v>
      </c>
    </row>
    <row r="14" spans="1:36" ht="15.75" hidden="1" thickTop="1" x14ac:dyDescent="0.25">
      <c r="A14" s="512"/>
      <c r="B14" s="512"/>
      <c r="C14" s="512"/>
      <c r="D14" s="512"/>
      <c r="E14" s="512" t="s">
        <v>868</v>
      </c>
      <c r="F14" s="512"/>
      <c r="G14" s="512"/>
      <c r="H14" s="513">
        <v>288900</v>
      </c>
      <c r="I14" s="524">
        <f t="shared" si="1"/>
        <v>288900</v>
      </c>
    </row>
    <row r="15" spans="1:36" ht="15.75" hidden="1" thickTop="1" x14ac:dyDescent="0.25">
      <c r="A15" s="512"/>
      <c r="B15" s="512"/>
      <c r="C15" s="512"/>
      <c r="D15" s="512"/>
      <c r="E15" s="512" t="s">
        <v>869</v>
      </c>
      <c r="F15" s="512"/>
      <c r="G15" s="512"/>
      <c r="H15" s="513">
        <v>218535.33</v>
      </c>
      <c r="I15" s="524">
        <f t="shared" si="1"/>
        <v>218535.33</v>
      </c>
    </row>
    <row r="16" spans="1:36" ht="15.75" hidden="1" thickTop="1" x14ac:dyDescent="0.25">
      <c r="A16" s="512"/>
      <c r="B16" s="512"/>
      <c r="C16" s="512"/>
      <c r="D16" s="512"/>
      <c r="E16" s="512" t="s">
        <v>870</v>
      </c>
      <c r="F16" s="512"/>
      <c r="G16" s="512"/>
      <c r="H16" s="513">
        <v>-1454300.01</v>
      </c>
      <c r="J16" s="524">
        <f>+H16</f>
        <v>-1454300.01</v>
      </c>
    </row>
    <row r="17" spans="1:10" ht="15.75" hidden="1" thickTop="1" x14ac:dyDescent="0.25">
      <c r="A17" s="512"/>
      <c r="B17" s="512"/>
      <c r="C17" s="512"/>
      <c r="D17" s="512"/>
      <c r="E17" s="512" t="s">
        <v>871</v>
      </c>
      <c r="F17" s="512"/>
      <c r="G17" s="512"/>
      <c r="H17" s="513">
        <v>-679648.82</v>
      </c>
      <c r="J17" s="524">
        <f>+H17</f>
        <v>-679648.82</v>
      </c>
    </row>
    <row r="18" spans="1:10" ht="15.75" hidden="1" thickTop="1" x14ac:dyDescent="0.25">
      <c r="A18" s="512"/>
      <c r="B18" s="512"/>
      <c r="C18" s="512"/>
      <c r="D18" s="512"/>
      <c r="E18" s="512" t="s">
        <v>872</v>
      </c>
      <c r="F18" s="512"/>
      <c r="G18" s="512"/>
      <c r="H18" s="513">
        <v>528036.18999999994</v>
      </c>
      <c r="I18" s="524">
        <f>+H18</f>
        <v>528036.18999999994</v>
      </c>
    </row>
    <row r="19" spans="1:10" ht="15.75" hidden="1" thickTop="1" x14ac:dyDescent="0.25">
      <c r="A19" s="512"/>
      <c r="B19" s="512"/>
      <c r="C19" s="512"/>
      <c r="D19" s="512"/>
      <c r="E19" s="512" t="s">
        <v>874</v>
      </c>
      <c r="F19" s="512"/>
      <c r="G19" s="512"/>
      <c r="H19" s="513">
        <v>-4766224.3899999997</v>
      </c>
      <c r="J19" s="524">
        <f>+H19</f>
        <v>-4766224.3899999997</v>
      </c>
    </row>
    <row r="20" spans="1:10" ht="15.75" hidden="1" thickTop="1" x14ac:dyDescent="0.25">
      <c r="A20" s="512"/>
      <c r="B20" s="512"/>
      <c r="C20" s="512"/>
      <c r="D20" s="512"/>
      <c r="E20" s="512" t="s">
        <v>1515</v>
      </c>
      <c r="F20" s="512"/>
      <c r="G20" s="512"/>
      <c r="H20" s="513">
        <v>50000</v>
      </c>
      <c r="I20" s="524">
        <f>+H20</f>
        <v>50000</v>
      </c>
    </row>
    <row r="21" spans="1:10" ht="15.75" hidden="1" thickTop="1" x14ac:dyDescent="0.25">
      <c r="A21" s="512"/>
      <c r="B21" s="512"/>
      <c r="C21" s="512"/>
      <c r="D21" s="512"/>
      <c r="E21" s="512" t="s">
        <v>876</v>
      </c>
      <c r="F21" s="512"/>
      <c r="G21" s="512"/>
      <c r="H21" s="513">
        <v>689783.99</v>
      </c>
      <c r="I21" s="524">
        <f>+H21</f>
        <v>689783.99</v>
      </c>
    </row>
    <row r="22" spans="1:10" ht="15.75" hidden="1" thickTop="1" x14ac:dyDescent="0.25">
      <c r="A22" s="512"/>
      <c r="B22" s="512"/>
      <c r="C22" s="512"/>
      <c r="D22" s="512"/>
      <c r="E22" s="512" t="s">
        <v>877</v>
      </c>
      <c r="F22" s="512"/>
      <c r="G22" s="512"/>
      <c r="H22" s="513"/>
    </row>
    <row r="23" spans="1:10" ht="15.75" hidden="1" thickTop="1" x14ac:dyDescent="0.25">
      <c r="A23" s="512"/>
      <c r="B23" s="512"/>
      <c r="C23" s="512"/>
      <c r="D23" s="512"/>
      <c r="E23" s="512"/>
      <c r="F23" s="512" t="s">
        <v>878</v>
      </c>
      <c r="G23" s="512"/>
      <c r="H23" s="513">
        <v>13108.85</v>
      </c>
      <c r="I23" s="524">
        <f>+H23</f>
        <v>13108.85</v>
      </c>
    </row>
    <row r="24" spans="1:10" ht="15.75" hidden="1" thickTop="1" x14ac:dyDescent="0.25">
      <c r="A24" s="512"/>
      <c r="B24" s="512"/>
      <c r="C24" s="512"/>
      <c r="D24" s="512"/>
      <c r="E24" s="512"/>
      <c r="F24" s="512" t="s">
        <v>881</v>
      </c>
      <c r="G24" s="512"/>
      <c r="H24" s="513">
        <v>-4814.58</v>
      </c>
      <c r="I24" s="524">
        <f>+H24</f>
        <v>-4814.58</v>
      </c>
      <c r="J24" s="524"/>
    </row>
    <row r="25" spans="1:10" ht="15.75" hidden="1" thickTop="1" x14ac:dyDescent="0.25">
      <c r="A25" s="512"/>
      <c r="B25" s="512"/>
      <c r="C25" s="512"/>
      <c r="D25" s="512"/>
      <c r="E25" s="512"/>
      <c r="F25" s="512" t="s">
        <v>882</v>
      </c>
      <c r="G25" s="512"/>
      <c r="H25" s="513">
        <v>1522817.92</v>
      </c>
      <c r="I25" s="524">
        <f>+H25</f>
        <v>1522817.92</v>
      </c>
    </row>
    <row r="26" spans="1:10" ht="15.75" hidden="1" thickTop="1" x14ac:dyDescent="0.25">
      <c r="A26" s="512"/>
      <c r="B26" s="512"/>
      <c r="C26" s="512"/>
      <c r="D26" s="512"/>
      <c r="E26" s="512"/>
      <c r="F26" s="512" t="s">
        <v>883</v>
      </c>
      <c r="G26" s="512"/>
      <c r="H26" s="513">
        <v>39170</v>
      </c>
      <c r="I26" s="524">
        <f t="shared" ref="I26:I27" si="2">+H26</f>
        <v>39170</v>
      </c>
    </row>
    <row r="27" spans="1:10" ht="15.75" hidden="1" thickTop="1" x14ac:dyDescent="0.25">
      <c r="A27" s="512"/>
      <c r="B27" s="512"/>
      <c r="C27" s="512"/>
      <c r="D27" s="512"/>
      <c r="E27" s="512"/>
      <c r="F27" s="512" t="s">
        <v>884</v>
      </c>
      <c r="G27" s="512"/>
      <c r="H27" s="513">
        <v>6168.68</v>
      </c>
      <c r="I27" s="524">
        <f t="shared" si="2"/>
        <v>6168.68</v>
      </c>
    </row>
    <row r="28" spans="1:10" ht="15.75" hidden="1" thickTop="1" x14ac:dyDescent="0.25">
      <c r="A28" s="512"/>
      <c r="B28" s="512"/>
      <c r="C28" s="512"/>
      <c r="D28" s="512"/>
      <c r="E28" s="512"/>
      <c r="F28" s="512" t="s">
        <v>888</v>
      </c>
      <c r="G28" s="512"/>
      <c r="H28" s="513">
        <v>-33201</v>
      </c>
      <c r="I28" s="524">
        <f>+H28</f>
        <v>-33201</v>
      </c>
      <c r="J28" s="524"/>
    </row>
    <row r="29" spans="1:10" ht="15.75" hidden="1" thickTop="1" x14ac:dyDescent="0.25">
      <c r="A29" s="512"/>
      <c r="B29" s="512"/>
      <c r="C29" s="512"/>
      <c r="D29" s="512"/>
      <c r="E29" s="512"/>
      <c r="F29" s="512" t="s">
        <v>891</v>
      </c>
      <c r="G29" s="512"/>
      <c r="H29" s="513">
        <v>1155649.26</v>
      </c>
      <c r="I29" s="524">
        <f>+H29</f>
        <v>1155649.26</v>
      </c>
    </row>
    <row r="30" spans="1:10" ht="15.75" hidden="1" thickTop="1" x14ac:dyDescent="0.25">
      <c r="A30" s="512"/>
      <c r="B30" s="512"/>
      <c r="C30" s="512"/>
      <c r="D30" s="512"/>
      <c r="E30" s="512"/>
      <c r="F30" s="512" t="s">
        <v>892</v>
      </c>
      <c r="G30" s="512"/>
      <c r="H30" s="513">
        <v>363779.5</v>
      </c>
      <c r="I30" s="524">
        <f t="shared" ref="I30:I31" si="3">+H30</f>
        <v>363779.5</v>
      </c>
    </row>
    <row r="31" spans="1:10" ht="16.5" hidden="1" thickTop="1" thickBot="1" x14ac:dyDescent="0.3">
      <c r="A31" s="512"/>
      <c r="B31" s="512"/>
      <c r="C31" s="512"/>
      <c r="D31" s="512"/>
      <c r="E31" s="512"/>
      <c r="F31" s="512" t="s">
        <v>895</v>
      </c>
      <c r="G31" s="512"/>
      <c r="H31" s="515">
        <v>19014</v>
      </c>
      <c r="I31" s="524">
        <f t="shared" si="3"/>
        <v>19014</v>
      </c>
    </row>
    <row r="32" spans="1:10" ht="15.75" hidden="1" thickTop="1" x14ac:dyDescent="0.25">
      <c r="A32" s="512"/>
      <c r="B32" s="512"/>
      <c r="C32" s="512"/>
      <c r="D32" s="512"/>
      <c r="E32" s="512" t="s">
        <v>896</v>
      </c>
      <c r="F32" s="512"/>
      <c r="G32" s="512"/>
      <c r="H32" s="513">
        <f>ROUND(SUM(H22:H31),5)</f>
        <v>3081692.63</v>
      </c>
    </row>
    <row r="33" spans="1:16" ht="15.75" hidden="1" thickTop="1" x14ac:dyDescent="0.25">
      <c r="A33" s="512"/>
      <c r="B33" s="512"/>
      <c r="C33" s="512"/>
      <c r="D33" s="512"/>
      <c r="E33" s="512" t="s">
        <v>1516</v>
      </c>
      <c r="F33" s="512"/>
      <c r="G33" s="512"/>
      <c r="H33" s="513"/>
    </row>
    <row r="34" spans="1:16" ht="15.75" hidden="1" thickTop="1" x14ac:dyDescent="0.25">
      <c r="A34" s="512"/>
      <c r="B34" s="512"/>
      <c r="C34" s="512"/>
      <c r="D34" s="512"/>
      <c r="E34" s="512"/>
      <c r="F34" s="512" t="s">
        <v>1517</v>
      </c>
      <c r="G34" s="512"/>
      <c r="H34" s="513">
        <v>20257.5</v>
      </c>
      <c r="I34" s="524">
        <f>+H34</f>
        <v>20257.5</v>
      </c>
    </row>
    <row r="35" spans="1:16" ht="15.75" hidden="1" thickTop="1" x14ac:dyDescent="0.25">
      <c r="A35" s="512"/>
      <c r="B35" s="512"/>
      <c r="C35" s="512"/>
      <c r="D35" s="512"/>
      <c r="E35" s="512"/>
      <c r="F35" s="512" t="s">
        <v>1518</v>
      </c>
      <c r="G35" s="512"/>
      <c r="H35" s="513">
        <v>2457.5</v>
      </c>
      <c r="I35" s="524">
        <f t="shared" ref="I35:I38" si="4">+H35</f>
        <v>2457.5</v>
      </c>
    </row>
    <row r="36" spans="1:16" ht="15.75" hidden="1" thickTop="1" x14ac:dyDescent="0.25">
      <c r="A36" s="512"/>
      <c r="B36" s="512"/>
      <c r="C36" s="512"/>
      <c r="D36" s="512"/>
      <c r="E36" s="512"/>
      <c r="F36" s="512" t="s">
        <v>1519</v>
      </c>
      <c r="G36" s="512"/>
      <c r="H36" s="513">
        <v>13348</v>
      </c>
      <c r="I36" s="524">
        <f t="shared" si="4"/>
        <v>13348</v>
      </c>
    </row>
    <row r="37" spans="1:16" ht="15.75" hidden="1" thickTop="1" x14ac:dyDescent="0.25">
      <c r="A37" s="512"/>
      <c r="B37" s="512"/>
      <c r="C37" s="512"/>
      <c r="D37" s="512"/>
      <c r="E37" s="512"/>
      <c r="F37" s="512" t="s">
        <v>1520</v>
      </c>
      <c r="G37" s="512"/>
      <c r="H37" s="513">
        <v>55211</v>
      </c>
      <c r="I37" s="524">
        <f t="shared" si="4"/>
        <v>55211</v>
      </c>
    </row>
    <row r="38" spans="1:16" ht="15.75" hidden="1" thickTop="1" x14ac:dyDescent="0.25">
      <c r="A38" s="512"/>
      <c r="B38" s="512"/>
      <c r="C38" s="512"/>
      <c r="D38" s="512"/>
      <c r="E38" s="512"/>
      <c r="F38" s="512" t="s">
        <v>1521</v>
      </c>
      <c r="G38" s="512"/>
      <c r="H38" s="513">
        <v>12235</v>
      </c>
      <c r="I38" s="524">
        <f t="shared" si="4"/>
        <v>12235</v>
      </c>
    </row>
    <row r="39" spans="1:16" ht="16.5" hidden="1" thickTop="1" thickBot="1" x14ac:dyDescent="0.3">
      <c r="A39" s="512"/>
      <c r="B39" s="512"/>
      <c r="C39" s="512"/>
      <c r="D39" s="512"/>
      <c r="E39" s="512"/>
      <c r="F39" s="512" t="s">
        <v>1522</v>
      </c>
      <c r="G39" s="512"/>
      <c r="H39" s="515">
        <v>-15380</v>
      </c>
      <c r="I39" s="524">
        <f>+H39</f>
        <v>-15380</v>
      </c>
      <c r="J39" s="524"/>
    </row>
    <row r="40" spans="1:16" ht="15.75" hidden="1" thickTop="1" x14ac:dyDescent="0.25">
      <c r="A40" s="512"/>
      <c r="B40" s="512"/>
      <c r="C40" s="512"/>
      <c r="D40" s="512"/>
      <c r="E40" s="512" t="s">
        <v>1523</v>
      </c>
      <c r="F40" s="512"/>
      <c r="G40" s="512"/>
      <c r="H40" s="513">
        <f>ROUND(SUM(H33:H39),5)</f>
        <v>88129</v>
      </c>
    </row>
    <row r="41" spans="1:16" ht="15.75" hidden="1" thickTop="1" x14ac:dyDescent="0.25">
      <c r="A41" s="512"/>
      <c r="B41" s="512"/>
      <c r="C41" s="512"/>
      <c r="D41" s="512"/>
      <c r="E41" s="512" t="s">
        <v>897</v>
      </c>
      <c r="F41" s="512"/>
      <c r="G41" s="512"/>
      <c r="H41" s="516">
        <v>-28120</v>
      </c>
      <c r="I41" s="539">
        <f>+H41</f>
        <v>-28120</v>
      </c>
      <c r="J41" s="525"/>
    </row>
    <row r="42" spans="1:16" ht="16.5" hidden="1" thickTop="1" thickBot="1" x14ac:dyDescent="0.3">
      <c r="A42" s="512"/>
      <c r="B42" s="512"/>
      <c r="C42" s="512"/>
      <c r="D42" s="512" t="s">
        <v>898</v>
      </c>
      <c r="E42" s="512"/>
      <c r="F42" s="512"/>
      <c r="G42" s="512"/>
      <c r="H42" s="517">
        <f>ROUND(SUM(H5:H21)+H32+SUM(H40:H41),5)</f>
        <v>3608549.3</v>
      </c>
    </row>
    <row r="43" spans="1:16" ht="15.75" hidden="1" thickTop="1" x14ac:dyDescent="0.25">
      <c r="A43" s="512"/>
      <c r="B43" s="512"/>
      <c r="C43" s="512" t="s">
        <v>899</v>
      </c>
      <c r="D43" s="512"/>
      <c r="E43" s="512"/>
      <c r="F43" s="512"/>
      <c r="G43" s="512"/>
      <c r="H43" s="513">
        <f>ROUND(H4+H42,5)</f>
        <v>3608549.3</v>
      </c>
    </row>
    <row r="44" spans="1:16" ht="15.75" hidden="1" thickTop="1" x14ac:dyDescent="0.25">
      <c r="A44" s="512"/>
      <c r="B44" s="512"/>
      <c r="C44" s="512" t="s">
        <v>900</v>
      </c>
      <c r="D44" s="512"/>
      <c r="E44" s="512"/>
      <c r="F44" s="512"/>
      <c r="G44" s="512"/>
      <c r="H44" s="513"/>
    </row>
    <row r="45" spans="1:16" s="537" customFormat="1" ht="16.5" hidden="1" thickTop="1" thickBot="1" x14ac:dyDescent="0.3">
      <c r="A45" s="536"/>
      <c r="B45" s="536"/>
      <c r="C45" s="536"/>
      <c r="D45" s="536" t="s">
        <v>97</v>
      </c>
      <c r="E45" s="536"/>
      <c r="F45" s="536"/>
      <c r="G45" s="536"/>
      <c r="H45" s="535">
        <v>43578227.369999997</v>
      </c>
      <c r="P45" s="538">
        <f>+H45</f>
        <v>43578227.369999997</v>
      </c>
    </row>
    <row r="46" spans="1:16" ht="15.75" hidden="1" thickTop="1" x14ac:dyDescent="0.25">
      <c r="A46" s="512"/>
      <c r="B46" s="512"/>
      <c r="C46" s="512" t="s">
        <v>901</v>
      </c>
      <c r="D46" s="512"/>
      <c r="E46" s="512"/>
      <c r="F46" s="512"/>
      <c r="G46" s="512"/>
      <c r="H46" s="513">
        <f>ROUND(SUM(H44:H45),5)</f>
        <v>43578227.369999997</v>
      </c>
    </row>
    <row r="47" spans="1:16" ht="15.75" hidden="1" thickTop="1" x14ac:dyDescent="0.25">
      <c r="A47" s="512"/>
      <c r="B47" s="512"/>
      <c r="C47" s="512" t="s">
        <v>902</v>
      </c>
      <c r="D47" s="512"/>
      <c r="E47" s="512"/>
      <c r="F47" s="512"/>
      <c r="G47" s="512"/>
      <c r="H47" s="513"/>
    </row>
    <row r="48" spans="1:16" s="537" customFormat="1" ht="15.75" hidden="1" thickTop="1" x14ac:dyDescent="0.25">
      <c r="A48" s="536"/>
      <c r="B48" s="536"/>
      <c r="C48" s="536"/>
      <c r="D48" s="536" t="s">
        <v>1524</v>
      </c>
      <c r="E48" s="536"/>
      <c r="F48" s="536"/>
      <c r="G48" s="536"/>
      <c r="H48" s="533">
        <v>11200</v>
      </c>
      <c r="I48" s="538"/>
      <c r="P48" s="538">
        <f>+H48</f>
        <v>11200</v>
      </c>
    </row>
    <row r="49" spans="1:16" ht="15.75" hidden="1" thickTop="1" x14ac:dyDescent="0.25">
      <c r="A49" s="512"/>
      <c r="B49" s="512"/>
      <c r="C49" s="512"/>
      <c r="D49" s="512" t="s">
        <v>345</v>
      </c>
      <c r="E49" s="512"/>
      <c r="F49" s="512"/>
      <c r="G49" s="512"/>
      <c r="H49" s="513">
        <v>4284168.58</v>
      </c>
      <c r="O49" s="524">
        <f>+H49</f>
        <v>4284168.58</v>
      </c>
    </row>
    <row r="50" spans="1:16" ht="15.75" hidden="1" thickTop="1" x14ac:dyDescent="0.25">
      <c r="A50" s="512"/>
      <c r="B50" s="512"/>
      <c r="C50" s="512"/>
      <c r="D50" s="512" t="s">
        <v>903</v>
      </c>
      <c r="E50" s="512"/>
      <c r="F50" s="512"/>
      <c r="G50" s="512"/>
      <c r="H50" s="513"/>
    </row>
    <row r="51" spans="1:16" ht="15.75" hidden="1" thickTop="1" x14ac:dyDescent="0.25">
      <c r="A51" s="512"/>
      <c r="B51" s="512"/>
      <c r="C51" s="512"/>
      <c r="D51" s="512"/>
      <c r="E51" s="512" t="s">
        <v>904</v>
      </c>
      <c r="F51" s="512"/>
      <c r="G51" s="512"/>
      <c r="H51" s="513">
        <v>-3771595.65</v>
      </c>
      <c r="O51" s="524">
        <f t="shared" ref="O51:O56" si="5">+H51</f>
        <v>-3771595.65</v>
      </c>
    </row>
    <row r="52" spans="1:16" ht="15.75" hidden="1" thickTop="1" x14ac:dyDescent="0.25">
      <c r="A52" s="512"/>
      <c r="B52" s="512"/>
      <c r="C52" s="512"/>
      <c r="D52" s="512"/>
      <c r="E52" s="512" t="s">
        <v>905</v>
      </c>
      <c r="F52" s="512"/>
      <c r="G52" s="512"/>
      <c r="H52" s="513">
        <v>-1162926.6599999999</v>
      </c>
      <c r="O52" s="524">
        <f t="shared" si="5"/>
        <v>-1162926.6599999999</v>
      </c>
    </row>
    <row r="53" spans="1:16" ht="15.75" hidden="1" thickTop="1" x14ac:dyDescent="0.25">
      <c r="A53" s="512"/>
      <c r="B53" s="512"/>
      <c r="C53" s="512"/>
      <c r="D53" s="512"/>
      <c r="E53" s="512" t="s">
        <v>906</v>
      </c>
      <c r="F53" s="512"/>
      <c r="G53" s="512"/>
      <c r="H53" s="513">
        <v>3645959.18</v>
      </c>
      <c r="O53" s="524">
        <f t="shared" si="5"/>
        <v>3645959.18</v>
      </c>
    </row>
    <row r="54" spans="1:16" ht="15.75" hidden="1" thickTop="1" x14ac:dyDescent="0.25">
      <c r="A54" s="512"/>
      <c r="B54" s="512"/>
      <c r="C54" s="512"/>
      <c r="D54" s="512"/>
      <c r="E54" s="512" t="s">
        <v>907</v>
      </c>
      <c r="F54" s="512"/>
      <c r="G54" s="512"/>
      <c r="H54" s="513">
        <v>1563295.6</v>
      </c>
      <c r="O54" s="524">
        <f t="shared" si="5"/>
        <v>1563295.6</v>
      </c>
    </row>
    <row r="55" spans="1:16" ht="15.75" hidden="1" thickTop="1" x14ac:dyDescent="0.25">
      <c r="A55" s="512"/>
      <c r="B55" s="512"/>
      <c r="C55" s="512"/>
      <c r="D55" s="512"/>
      <c r="E55" s="512" t="s">
        <v>1525</v>
      </c>
      <c r="F55" s="512"/>
      <c r="G55" s="512"/>
      <c r="H55" s="513">
        <v>2200</v>
      </c>
      <c r="O55" s="524">
        <f t="shared" si="5"/>
        <v>2200</v>
      </c>
    </row>
    <row r="56" spans="1:16" ht="15.75" hidden="1" thickTop="1" x14ac:dyDescent="0.25">
      <c r="A56" s="512"/>
      <c r="B56" s="512"/>
      <c r="C56" s="512"/>
      <c r="D56" s="512"/>
      <c r="E56" s="512" t="s">
        <v>908</v>
      </c>
      <c r="F56" s="512"/>
      <c r="G56" s="512"/>
      <c r="H56" s="513">
        <v>3560155.11</v>
      </c>
      <c r="O56" s="524">
        <f t="shared" si="5"/>
        <v>3560155.11</v>
      </c>
    </row>
    <row r="57" spans="1:16" ht="15.75" hidden="1" thickTop="1" x14ac:dyDescent="0.25">
      <c r="A57" s="512"/>
      <c r="B57" s="512"/>
      <c r="C57" s="512"/>
      <c r="D57" s="512"/>
      <c r="E57" s="512" t="s">
        <v>909</v>
      </c>
      <c r="F57" s="512"/>
      <c r="G57" s="512"/>
      <c r="H57" s="513"/>
    </row>
    <row r="58" spans="1:16" ht="15.75" hidden="1" thickTop="1" x14ac:dyDescent="0.25">
      <c r="A58" s="512"/>
      <c r="B58" s="512"/>
      <c r="C58" s="512"/>
      <c r="D58" s="512"/>
      <c r="E58" s="512"/>
      <c r="F58" s="512" t="s">
        <v>910</v>
      </c>
      <c r="G58" s="512"/>
      <c r="H58" s="513">
        <v>472769.8</v>
      </c>
      <c r="P58" s="538">
        <f t="shared" ref="P58:P65" si="6">+H58</f>
        <v>472769.8</v>
      </c>
    </row>
    <row r="59" spans="1:16" ht="15.75" hidden="1" thickTop="1" x14ac:dyDescent="0.25">
      <c r="A59" s="512"/>
      <c r="B59" s="512"/>
      <c r="C59" s="512"/>
      <c r="D59" s="512"/>
      <c r="E59" s="512"/>
      <c r="F59" s="512" t="s">
        <v>911</v>
      </c>
      <c r="G59" s="512"/>
      <c r="H59" s="513">
        <v>569500</v>
      </c>
      <c r="P59" s="538">
        <f t="shared" si="6"/>
        <v>569500</v>
      </c>
    </row>
    <row r="60" spans="1:16" ht="15.75" hidden="1" thickTop="1" x14ac:dyDescent="0.25">
      <c r="A60" s="512"/>
      <c r="B60" s="512"/>
      <c r="C60" s="512"/>
      <c r="D60" s="512"/>
      <c r="E60" s="512"/>
      <c r="F60" s="512" t="s">
        <v>912</v>
      </c>
      <c r="G60" s="512"/>
      <c r="H60" s="513"/>
      <c r="P60" s="538">
        <f t="shared" si="6"/>
        <v>0</v>
      </c>
    </row>
    <row r="61" spans="1:16" ht="15.75" hidden="1" thickTop="1" x14ac:dyDescent="0.25">
      <c r="A61" s="512"/>
      <c r="B61" s="512"/>
      <c r="C61" s="512"/>
      <c r="D61" s="512"/>
      <c r="E61" s="512"/>
      <c r="F61" s="512"/>
      <c r="G61" s="512" t="s">
        <v>913</v>
      </c>
      <c r="H61" s="513">
        <v>64258</v>
      </c>
      <c r="P61" s="538">
        <f t="shared" si="6"/>
        <v>64258</v>
      </c>
    </row>
    <row r="62" spans="1:16" ht="15.75" hidden="1" thickTop="1" x14ac:dyDescent="0.25">
      <c r="A62" s="512"/>
      <c r="B62" s="512"/>
      <c r="C62" s="512"/>
      <c r="D62" s="512"/>
      <c r="E62" s="512"/>
      <c r="F62" s="512"/>
      <c r="G62" s="512" t="s">
        <v>914</v>
      </c>
      <c r="H62" s="513">
        <v>104981</v>
      </c>
      <c r="P62" s="538">
        <f t="shared" si="6"/>
        <v>104981</v>
      </c>
    </row>
    <row r="63" spans="1:16" ht="15.75" hidden="1" thickTop="1" x14ac:dyDescent="0.25">
      <c r="A63" s="512"/>
      <c r="B63" s="512"/>
      <c r="C63" s="512"/>
      <c r="D63" s="512"/>
      <c r="E63" s="512"/>
      <c r="F63" s="512"/>
      <c r="G63" s="512" t="s">
        <v>915</v>
      </c>
      <c r="H63" s="513">
        <v>1145559.97</v>
      </c>
      <c r="P63" s="538">
        <f t="shared" si="6"/>
        <v>1145559.97</v>
      </c>
    </row>
    <row r="64" spans="1:16" ht="15.75" hidden="1" thickTop="1" x14ac:dyDescent="0.25">
      <c r="A64" s="512"/>
      <c r="B64" s="512"/>
      <c r="C64" s="512"/>
      <c r="D64" s="512"/>
      <c r="E64" s="512"/>
      <c r="F64" s="512"/>
      <c r="G64" s="512" t="s">
        <v>1526</v>
      </c>
      <c r="H64" s="513">
        <v>6050</v>
      </c>
      <c r="P64" s="538">
        <f t="shared" si="6"/>
        <v>6050</v>
      </c>
    </row>
    <row r="65" spans="1:16" ht="16.5" hidden="1" thickTop="1" thickBot="1" x14ac:dyDescent="0.3">
      <c r="A65" s="512"/>
      <c r="B65" s="512"/>
      <c r="C65" s="512"/>
      <c r="D65" s="512"/>
      <c r="E65" s="512"/>
      <c r="F65" s="512"/>
      <c r="G65" s="512" t="s">
        <v>916</v>
      </c>
      <c r="H65" s="515">
        <v>1484322.02</v>
      </c>
      <c r="P65" s="538">
        <f t="shared" si="6"/>
        <v>1484322.02</v>
      </c>
    </row>
    <row r="66" spans="1:16" ht="15.75" hidden="1" thickTop="1" x14ac:dyDescent="0.25">
      <c r="A66" s="512"/>
      <c r="B66" s="512"/>
      <c r="C66" s="512"/>
      <c r="D66" s="512"/>
      <c r="E66" s="512"/>
      <c r="F66" s="512" t="s">
        <v>917</v>
      </c>
      <c r="G66" s="512"/>
      <c r="H66" s="513">
        <f>ROUND(SUM(H60:H65),5)</f>
        <v>2805170.99</v>
      </c>
      <c r="P66" s="537"/>
    </row>
    <row r="67" spans="1:16" ht="15.75" thickTop="1" x14ac:dyDescent="0.25">
      <c r="A67" s="512"/>
      <c r="B67" s="512"/>
      <c r="C67" s="512"/>
      <c r="D67" s="512"/>
      <c r="E67" s="512"/>
      <c r="F67" s="512" t="s">
        <v>918</v>
      </c>
      <c r="G67" s="512"/>
      <c r="H67" s="513">
        <v>1068716.8999999999</v>
      </c>
      <c r="K67" s="524">
        <f>+H67</f>
        <v>1068716.8999999999</v>
      </c>
    </row>
    <row r="68" spans="1:16" hidden="1" x14ac:dyDescent="0.25">
      <c r="A68" s="512"/>
      <c r="B68" s="512"/>
      <c r="C68" s="512"/>
      <c r="D68" s="512"/>
      <c r="E68" s="512"/>
      <c r="F68" s="512" t="s">
        <v>919</v>
      </c>
      <c r="G68" s="512"/>
      <c r="H68" s="513"/>
    </row>
    <row r="69" spans="1:16" hidden="1" x14ac:dyDescent="0.25">
      <c r="A69" s="512"/>
      <c r="B69" s="512"/>
      <c r="C69" s="512"/>
      <c r="D69" s="512"/>
      <c r="E69" s="512"/>
      <c r="F69" s="512"/>
      <c r="G69" s="512" t="s">
        <v>920</v>
      </c>
      <c r="H69" s="513">
        <v>1039925</v>
      </c>
      <c r="P69" s="538">
        <f>+H69</f>
        <v>1039925</v>
      </c>
    </row>
    <row r="70" spans="1:16" ht="15.75" hidden="1" thickBot="1" x14ac:dyDescent="0.3">
      <c r="A70" s="512"/>
      <c r="B70" s="512"/>
      <c r="C70" s="512"/>
      <c r="D70" s="512"/>
      <c r="E70" s="512"/>
      <c r="F70" s="512"/>
      <c r="G70" s="512" t="s">
        <v>921</v>
      </c>
      <c r="H70" s="515">
        <v>800</v>
      </c>
      <c r="P70" s="538">
        <f>+H70</f>
        <v>800</v>
      </c>
    </row>
    <row r="71" spans="1:16" hidden="1" x14ac:dyDescent="0.25">
      <c r="A71" s="512"/>
      <c r="B71" s="512"/>
      <c r="C71" s="512"/>
      <c r="D71" s="512"/>
      <c r="E71" s="512"/>
      <c r="F71" s="512" t="s">
        <v>922</v>
      </c>
      <c r="G71" s="512"/>
      <c r="H71" s="513">
        <f>ROUND(SUM(H68:H70),5)</f>
        <v>1040725</v>
      </c>
    </row>
    <row r="72" spans="1:16" hidden="1" x14ac:dyDescent="0.25">
      <c r="A72" s="512"/>
      <c r="B72" s="512"/>
      <c r="C72" s="512"/>
      <c r="D72" s="512"/>
      <c r="E72" s="512"/>
      <c r="F72" s="512" t="s">
        <v>923</v>
      </c>
      <c r="G72" s="512"/>
      <c r="H72" s="513">
        <v>2000</v>
      </c>
      <c r="P72" s="538">
        <f>+H72</f>
        <v>2000</v>
      </c>
    </row>
    <row r="73" spans="1:16" ht="15.75" hidden="1" thickBot="1" x14ac:dyDescent="0.3">
      <c r="A73" s="512"/>
      <c r="B73" s="512"/>
      <c r="C73" s="512"/>
      <c r="D73" s="512"/>
      <c r="E73" s="512"/>
      <c r="F73" s="512" t="s">
        <v>924</v>
      </c>
      <c r="G73" s="512"/>
      <c r="H73" s="515">
        <v>370888</v>
      </c>
      <c r="P73" s="538">
        <f>+H73</f>
        <v>370888</v>
      </c>
    </row>
    <row r="74" spans="1:16" hidden="1" x14ac:dyDescent="0.25">
      <c r="A74" s="512"/>
      <c r="B74" s="512"/>
      <c r="C74" s="512"/>
      <c r="D74" s="512"/>
      <c r="E74" s="512" t="s">
        <v>925</v>
      </c>
      <c r="F74" s="512"/>
      <c r="G74" s="512"/>
      <c r="H74" s="513">
        <f>ROUND(SUM(H57:H59)+SUM(H66:H67)+SUM(H71:H73),5)</f>
        <v>6329770.6900000004</v>
      </c>
      <c r="P74" s="537"/>
    </row>
    <row r="75" spans="1:16" hidden="1" x14ac:dyDescent="0.25">
      <c r="A75" s="512"/>
      <c r="B75" s="512"/>
      <c r="C75" s="512"/>
      <c r="D75" s="512"/>
      <c r="E75" s="512" t="s">
        <v>926</v>
      </c>
      <c r="F75" s="512"/>
      <c r="G75" s="512"/>
      <c r="H75" s="513">
        <v>198349.51</v>
      </c>
      <c r="P75" s="538">
        <f>+H75</f>
        <v>198349.51</v>
      </c>
    </row>
    <row r="76" spans="1:16" hidden="1" x14ac:dyDescent="0.25">
      <c r="A76" s="512"/>
      <c r="B76" s="512"/>
      <c r="C76" s="512"/>
      <c r="D76" s="512"/>
      <c r="E76" s="512" t="s">
        <v>927</v>
      </c>
      <c r="F76" s="512"/>
      <c r="G76" s="512"/>
      <c r="H76" s="513">
        <v>78587.89</v>
      </c>
      <c r="P76" s="538">
        <f>+H76</f>
        <v>78587.89</v>
      </c>
    </row>
    <row r="77" spans="1:16" hidden="1" x14ac:dyDescent="0.25">
      <c r="A77" s="512"/>
      <c r="B77" s="512"/>
      <c r="C77" s="512"/>
      <c r="D77" s="512"/>
      <c r="E77" s="512" t="s">
        <v>928</v>
      </c>
      <c r="F77" s="512"/>
      <c r="G77" s="512"/>
      <c r="H77" s="513">
        <v>3567.5</v>
      </c>
      <c r="P77" s="538">
        <f>+H77</f>
        <v>3567.5</v>
      </c>
    </row>
    <row r="78" spans="1:16" hidden="1" x14ac:dyDescent="0.25">
      <c r="A78" s="512"/>
      <c r="B78" s="512"/>
      <c r="C78" s="512"/>
      <c r="D78" s="512"/>
      <c r="E78" s="512" t="s">
        <v>929</v>
      </c>
      <c r="F78" s="512"/>
      <c r="G78" s="512"/>
      <c r="H78" s="513"/>
    </row>
    <row r="79" spans="1:16" hidden="1" x14ac:dyDescent="0.25">
      <c r="A79" s="512"/>
      <c r="B79" s="512"/>
      <c r="C79" s="512"/>
      <c r="D79" s="512"/>
      <c r="E79" s="512"/>
      <c r="F79" s="512" t="s">
        <v>930</v>
      </c>
      <c r="G79" s="512"/>
      <c r="H79" s="513">
        <v>1230000</v>
      </c>
      <c r="P79" s="538">
        <f t="shared" ref="P79:P87" si="7">+H79</f>
        <v>1230000</v>
      </c>
    </row>
    <row r="80" spans="1:16" hidden="1" x14ac:dyDescent="0.25">
      <c r="A80" s="512"/>
      <c r="B80" s="512"/>
      <c r="C80" s="512"/>
      <c r="D80" s="512"/>
      <c r="E80" s="512"/>
      <c r="F80" s="512" t="s">
        <v>931</v>
      </c>
      <c r="G80" s="512"/>
      <c r="H80" s="513">
        <v>14500</v>
      </c>
      <c r="P80" s="538">
        <f t="shared" si="7"/>
        <v>14500</v>
      </c>
    </row>
    <row r="81" spans="1:16" hidden="1" x14ac:dyDescent="0.25">
      <c r="A81" s="512"/>
      <c r="B81" s="512"/>
      <c r="C81" s="512"/>
      <c r="D81" s="512"/>
      <c r="E81" s="512"/>
      <c r="F81" s="512" t="s">
        <v>932</v>
      </c>
      <c r="G81" s="512"/>
      <c r="H81" s="513">
        <v>64167</v>
      </c>
      <c r="P81" s="538">
        <f t="shared" si="7"/>
        <v>64167</v>
      </c>
    </row>
    <row r="82" spans="1:16" hidden="1" x14ac:dyDescent="0.25">
      <c r="A82" s="512"/>
      <c r="B82" s="512"/>
      <c r="C82" s="512"/>
      <c r="D82" s="512"/>
      <c r="E82" s="512"/>
      <c r="F82" s="512" t="s">
        <v>933</v>
      </c>
      <c r="G82" s="512"/>
      <c r="H82" s="513">
        <v>15000</v>
      </c>
      <c r="P82" s="538">
        <f t="shared" si="7"/>
        <v>15000</v>
      </c>
    </row>
    <row r="83" spans="1:16" hidden="1" x14ac:dyDescent="0.25">
      <c r="A83" s="512"/>
      <c r="B83" s="512"/>
      <c r="C83" s="512"/>
      <c r="D83" s="512"/>
      <c r="E83" s="512"/>
      <c r="F83" s="512" t="s">
        <v>934</v>
      </c>
      <c r="G83" s="512"/>
      <c r="H83" s="513">
        <v>72000</v>
      </c>
      <c r="P83" s="538">
        <f t="shared" si="7"/>
        <v>72000</v>
      </c>
    </row>
    <row r="84" spans="1:16" hidden="1" x14ac:dyDescent="0.25">
      <c r="A84" s="512"/>
      <c r="B84" s="512"/>
      <c r="C84" s="512"/>
      <c r="D84" s="512"/>
      <c r="E84" s="512"/>
      <c r="F84" s="512" t="s">
        <v>935</v>
      </c>
      <c r="G84" s="512"/>
      <c r="H84" s="513">
        <v>64000</v>
      </c>
      <c r="P84" s="538">
        <f t="shared" si="7"/>
        <v>64000</v>
      </c>
    </row>
    <row r="85" spans="1:16" hidden="1" x14ac:dyDescent="0.25">
      <c r="A85" s="512"/>
      <c r="B85" s="512"/>
      <c r="C85" s="512"/>
      <c r="D85" s="512"/>
      <c r="E85" s="512"/>
      <c r="F85" s="512" t="s">
        <v>1527</v>
      </c>
      <c r="G85" s="512"/>
      <c r="H85" s="513">
        <v>1000000</v>
      </c>
      <c r="P85" s="538">
        <f t="shared" si="7"/>
        <v>1000000</v>
      </c>
    </row>
    <row r="86" spans="1:16" hidden="1" x14ac:dyDescent="0.25">
      <c r="A86" s="512"/>
      <c r="B86" s="512"/>
      <c r="C86" s="512"/>
      <c r="D86" s="512"/>
      <c r="E86" s="512"/>
      <c r="F86" s="512" t="s">
        <v>936</v>
      </c>
      <c r="G86" s="512"/>
      <c r="H86" s="513">
        <v>82300</v>
      </c>
      <c r="P86" s="538">
        <f t="shared" si="7"/>
        <v>82300</v>
      </c>
    </row>
    <row r="87" spans="1:16" ht="15.75" hidden="1" thickBot="1" x14ac:dyDescent="0.3">
      <c r="A87" s="512"/>
      <c r="B87" s="512"/>
      <c r="C87" s="512"/>
      <c r="D87" s="512"/>
      <c r="E87" s="512"/>
      <c r="F87" s="512" t="s">
        <v>937</v>
      </c>
      <c r="G87" s="512"/>
      <c r="H87" s="515">
        <v>108080</v>
      </c>
      <c r="P87" s="538">
        <f t="shared" si="7"/>
        <v>108080</v>
      </c>
    </row>
    <row r="88" spans="1:16" hidden="1" x14ac:dyDescent="0.25">
      <c r="A88" s="512"/>
      <c r="B88" s="512"/>
      <c r="C88" s="512"/>
      <c r="D88" s="512"/>
      <c r="E88" s="512" t="s">
        <v>938</v>
      </c>
      <c r="F88" s="512"/>
      <c r="G88" s="512"/>
      <c r="H88" s="513">
        <f>ROUND(SUM(H78:H87),5)</f>
        <v>2650047</v>
      </c>
      <c r="P88" s="537"/>
    </row>
    <row r="89" spans="1:16" hidden="1" x14ac:dyDescent="0.25">
      <c r="A89" s="512"/>
      <c r="B89" s="512"/>
      <c r="C89" s="512"/>
      <c r="D89" s="512"/>
      <c r="E89" s="512" t="s">
        <v>939</v>
      </c>
      <c r="F89" s="512"/>
      <c r="G89" s="512"/>
      <c r="H89" s="513">
        <v>2169580.9900000002</v>
      </c>
      <c r="P89" s="538">
        <f t="shared" ref="P89:P95" si="8">+H89</f>
        <v>2169580.9900000002</v>
      </c>
    </row>
    <row r="90" spans="1:16" hidden="1" x14ac:dyDescent="0.25">
      <c r="A90" s="512"/>
      <c r="B90" s="512"/>
      <c r="C90" s="512"/>
      <c r="D90" s="512"/>
      <c r="E90" s="512" t="s">
        <v>940</v>
      </c>
      <c r="F90" s="512"/>
      <c r="G90" s="512"/>
      <c r="H90" s="513">
        <v>237808</v>
      </c>
      <c r="P90" s="538">
        <f t="shared" si="8"/>
        <v>237808</v>
      </c>
    </row>
    <row r="91" spans="1:16" hidden="1" x14ac:dyDescent="0.25">
      <c r="A91" s="512"/>
      <c r="B91" s="512"/>
      <c r="C91" s="512"/>
      <c r="D91" s="512"/>
      <c r="E91" s="512" t="s">
        <v>941</v>
      </c>
      <c r="F91" s="512"/>
      <c r="G91" s="512"/>
      <c r="H91" s="513"/>
      <c r="P91" s="538">
        <f t="shared" si="8"/>
        <v>0</v>
      </c>
    </row>
    <row r="92" spans="1:16" hidden="1" x14ac:dyDescent="0.25">
      <c r="A92" s="512"/>
      <c r="B92" s="512"/>
      <c r="C92" s="512"/>
      <c r="D92" s="512"/>
      <c r="E92" s="512"/>
      <c r="F92" s="512" t="s">
        <v>942</v>
      </c>
      <c r="G92" s="512"/>
      <c r="H92" s="513">
        <v>565742.34</v>
      </c>
      <c r="P92" s="538">
        <f t="shared" si="8"/>
        <v>565742.34</v>
      </c>
    </row>
    <row r="93" spans="1:16" hidden="1" x14ac:dyDescent="0.25">
      <c r="A93" s="512"/>
      <c r="B93" s="512"/>
      <c r="C93" s="512"/>
      <c r="D93" s="512"/>
      <c r="E93" s="512"/>
      <c r="F93" s="512" t="s">
        <v>943</v>
      </c>
      <c r="G93" s="512"/>
      <c r="H93" s="513">
        <v>202397.09</v>
      </c>
      <c r="P93" s="538">
        <f t="shared" si="8"/>
        <v>202397.09</v>
      </c>
    </row>
    <row r="94" spans="1:16" hidden="1" x14ac:dyDescent="0.25">
      <c r="A94" s="512"/>
      <c r="B94" s="512"/>
      <c r="C94" s="512"/>
      <c r="D94" s="512"/>
      <c r="E94" s="512"/>
      <c r="F94" s="512" t="s">
        <v>944</v>
      </c>
      <c r="G94" s="512"/>
      <c r="H94" s="513">
        <v>373561.88</v>
      </c>
      <c r="P94" s="538">
        <f t="shared" si="8"/>
        <v>373561.88</v>
      </c>
    </row>
    <row r="95" spans="1:16" ht="15.75" hidden="1" thickBot="1" x14ac:dyDescent="0.3">
      <c r="A95" s="512"/>
      <c r="B95" s="512"/>
      <c r="C95" s="512"/>
      <c r="D95" s="512"/>
      <c r="E95" s="512"/>
      <c r="F95" s="512" t="s">
        <v>1528</v>
      </c>
      <c r="G95" s="512"/>
      <c r="H95" s="515">
        <v>982059.49</v>
      </c>
      <c r="P95" s="538">
        <f t="shared" si="8"/>
        <v>982059.49</v>
      </c>
    </row>
    <row r="96" spans="1:16" hidden="1" x14ac:dyDescent="0.25">
      <c r="A96" s="512"/>
      <c r="B96" s="512"/>
      <c r="C96" s="512"/>
      <c r="D96" s="512"/>
      <c r="E96" s="512" t="s">
        <v>945</v>
      </c>
      <c r="F96" s="512"/>
      <c r="G96" s="512"/>
      <c r="H96" s="513">
        <f>ROUND(SUM(H91:H95),5)</f>
        <v>2123760.7999999998</v>
      </c>
    </row>
    <row r="97" spans="1:17" hidden="1" x14ac:dyDescent="0.25">
      <c r="A97" s="512"/>
      <c r="B97" s="512"/>
      <c r="C97" s="512"/>
      <c r="D97" s="512"/>
      <c r="E97" s="512" t="s">
        <v>946</v>
      </c>
      <c r="F97" s="512"/>
      <c r="G97" s="512"/>
      <c r="H97" s="513">
        <v>40034921.460000001</v>
      </c>
      <c r="Q97" s="524">
        <f t="shared" ref="Q97:Q105" si="9">+H97</f>
        <v>40034921.460000001</v>
      </c>
    </row>
    <row r="98" spans="1:17" hidden="1" x14ac:dyDescent="0.25">
      <c r="A98" s="512"/>
      <c r="B98" s="512"/>
      <c r="C98" s="512"/>
      <c r="D98" s="512"/>
      <c r="E98" s="512" t="s">
        <v>947</v>
      </c>
      <c r="F98" s="512"/>
      <c r="G98" s="512"/>
      <c r="H98" s="513">
        <v>194929154.75</v>
      </c>
      <c r="Q98" s="524">
        <f t="shared" si="9"/>
        <v>194929154.75</v>
      </c>
    </row>
    <row r="99" spans="1:17" hidden="1" x14ac:dyDescent="0.25">
      <c r="A99" s="512"/>
      <c r="B99" s="512"/>
      <c r="C99" s="512"/>
      <c r="D99" s="512"/>
      <c r="E99" s="512" t="s">
        <v>948</v>
      </c>
      <c r="F99" s="512"/>
      <c r="G99" s="512"/>
      <c r="H99" s="513">
        <v>23238457.329999998</v>
      </c>
      <c r="Q99" s="524">
        <f t="shared" si="9"/>
        <v>23238457.329999998</v>
      </c>
    </row>
    <row r="100" spans="1:17" hidden="1" x14ac:dyDescent="0.25">
      <c r="A100" s="512"/>
      <c r="B100" s="512"/>
      <c r="C100" s="512"/>
      <c r="D100" s="512"/>
      <c r="E100" s="512" t="s">
        <v>1529</v>
      </c>
      <c r="F100" s="512"/>
      <c r="G100" s="512"/>
      <c r="H100" s="513">
        <v>31632</v>
      </c>
      <c r="Q100" s="524">
        <f t="shared" si="9"/>
        <v>31632</v>
      </c>
    </row>
    <row r="101" spans="1:17" hidden="1" x14ac:dyDescent="0.25">
      <c r="A101" s="512"/>
      <c r="B101" s="512"/>
      <c r="C101" s="512"/>
      <c r="D101" s="512"/>
      <c r="E101" s="512" t="s">
        <v>949</v>
      </c>
      <c r="F101" s="512"/>
      <c r="G101" s="512"/>
      <c r="H101" s="513">
        <v>10702787.550000001</v>
      </c>
      <c r="Q101" s="524">
        <f t="shared" si="9"/>
        <v>10702787.550000001</v>
      </c>
    </row>
    <row r="102" spans="1:17" hidden="1" x14ac:dyDescent="0.25">
      <c r="A102" s="512"/>
      <c r="B102" s="512"/>
      <c r="C102" s="512"/>
      <c r="D102" s="512"/>
      <c r="E102" s="512" t="s">
        <v>950</v>
      </c>
      <c r="F102" s="512"/>
      <c r="G102" s="512"/>
      <c r="H102" s="513">
        <v>136501</v>
      </c>
      <c r="Q102" s="524">
        <f t="shared" si="9"/>
        <v>136501</v>
      </c>
    </row>
    <row r="103" spans="1:17" hidden="1" x14ac:dyDescent="0.25">
      <c r="A103" s="512"/>
      <c r="B103" s="512"/>
      <c r="C103" s="512"/>
      <c r="D103" s="512"/>
      <c r="E103" s="512" t="s">
        <v>951</v>
      </c>
      <c r="F103" s="512"/>
      <c r="G103" s="512"/>
      <c r="H103" s="513">
        <v>10902230.76</v>
      </c>
      <c r="Q103" s="524">
        <f t="shared" si="9"/>
        <v>10902230.76</v>
      </c>
    </row>
    <row r="104" spans="1:17" hidden="1" x14ac:dyDescent="0.25">
      <c r="A104" s="512"/>
      <c r="B104" s="512"/>
      <c r="C104" s="512"/>
      <c r="D104" s="512"/>
      <c r="E104" s="512" t="s">
        <v>952</v>
      </c>
      <c r="F104" s="512"/>
      <c r="G104" s="512"/>
      <c r="H104" s="513">
        <v>2598059.6</v>
      </c>
      <c r="Q104" s="524">
        <f t="shared" si="9"/>
        <v>2598059.6</v>
      </c>
    </row>
    <row r="105" spans="1:17" hidden="1" x14ac:dyDescent="0.25">
      <c r="A105" s="512"/>
      <c r="B105" s="512"/>
      <c r="C105" s="512"/>
      <c r="D105" s="512"/>
      <c r="E105" s="512" t="s">
        <v>1530</v>
      </c>
      <c r="F105" s="512"/>
      <c r="G105" s="512"/>
      <c r="H105" s="513">
        <v>353050</v>
      </c>
      <c r="Q105" s="524">
        <f t="shared" si="9"/>
        <v>353050</v>
      </c>
    </row>
    <row r="106" spans="1:17" ht="15.75" hidden="1" thickBot="1" x14ac:dyDescent="0.3">
      <c r="A106" s="512"/>
      <c r="B106" s="512"/>
      <c r="C106" s="512"/>
      <c r="D106" s="512"/>
      <c r="E106" s="512" t="s">
        <v>1531</v>
      </c>
      <c r="F106" s="512"/>
      <c r="G106" s="512"/>
      <c r="H106" s="526">
        <v>-874967</v>
      </c>
      <c r="K106" s="524">
        <f>+H106</f>
        <v>-874967</v>
      </c>
      <c r="Q106" s="524"/>
    </row>
    <row r="107" spans="1:17" hidden="1" x14ac:dyDescent="0.25">
      <c r="A107" s="512"/>
      <c r="B107" s="512"/>
      <c r="C107" s="512"/>
      <c r="D107" s="512" t="s">
        <v>953</v>
      </c>
      <c r="E107" s="512"/>
      <c r="F107" s="512"/>
      <c r="G107" s="512"/>
      <c r="H107" s="513">
        <f>ROUND(SUM(H50:H56)+SUM(H74:H77)+SUM(H88:H90)+SUM(H96:H106),5)</f>
        <v>299680387.41000003</v>
      </c>
    </row>
    <row r="108" spans="1:17" hidden="1" x14ac:dyDescent="0.25">
      <c r="A108" s="512"/>
      <c r="B108" s="512"/>
      <c r="C108" s="512"/>
      <c r="D108" s="512" t="s">
        <v>1456</v>
      </c>
      <c r="E108" s="512"/>
      <c r="F108" s="512"/>
      <c r="G108" s="512"/>
      <c r="H108" s="513">
        <v>-195000</v>
      </c>
      <c r="P108" s="524">
        <f>+H108</f>
        <v>-195000</v>
      </c>
    </row>
    <row r="109" spans="1:17" hidden="1" x14ac:dyDescent="0.25">
      <c r="A109" s="512"/>
      <c r="B109" s="512"/>
      <c r="C109" s="512"/>
      <c r="D109" s="512" t="s">
        <v>954</v>
      </c>
      <c r="E109" s="512"/>
      <c r="F109" s="512"/>
      <c r="G109" s="512"/>
      <c r="H109" s="516">
        <v>323370.26</v>
      </c>
      <c r="P109" s="524">
        <f>+H109</f>
        <v>323370.26</v>
      </c>
    </row>
    <row r="110" spans="1:17" ht="15.75" hidden="1" thickBot="1" x14ac:dyDescent="0.3">
      <c r="A110" s="512"/>
      <c r="B110" s="512"/>
      <c r="C110" s="512" t="s">
        <v>955</v>
      </c>
      <c r="D110" s="512"/>
      <c r="E110" s="512"/>
      <c r="F110" s="512"/>
      <c r="G110" s="512"/>
      <c r="H110" s="517">
        <f>ROUND(SUM(H47:H49)+SUM(H107:H109),5)</f>
        <v>304104126.25</v>
      </c>
    </row>
    <row r="111" spans="1:17" hidden="1" x14ac:dyDescent="0.25">
      <c r="A111" s="512"/>
      <c r="B111" s="512" t="s">
        <v>1</v>
      </c>
      <c r="C111" s="512"/>
      <c r="D111" s="512"/>
      <c r="E111" s="512"/>
      <c r="F111" s="512"/>
      <c r="G111" s="512"/>
      <c r="H111" s="513">
        <f>ROUND(H3+H43+H46+H110,5)</f>
        <v>351290902.92000002</v>
      </c>
    </row>
    <row r="112" spans="1:17" hidden="1" x14ac:dyDescent="0.25">
      <c r="A112" s="512"/>
      <c r="B112" s="512" t="s">
        <v>956</v>
      </c>
      <c r="C112" s="512"/>
      <c r="D112" s="512"/>
      <c r="E112" s="512"/>
      <c r="F112" s="512"/>
      <c r="G112" s="512"/>
      <c r="H112" s="513"/>
    </row>
    <row r="113" spans="1:28" hidden="1" x14ac:dyDescent="0.25">
      <c r="A113" s="512"/>
      <c r="B113" s="512"/>
      <c r="C113" s="512" t="s">
        <v>521</v>
      </c>
      <c r="D113" s="512"/>
      <c r="E113" s="512"/>
      <c r="F113" s="512"/>
      <c r="G113" s="512"/>
      <c r="H113" s="513"/>
    </row>
    <row r="114" spans="1:28" hidden="1" x14ac:dyDescent="0.25">
      <c r="A114" s="512"/>
      <c r="B114" s="512"/>
      <c r="C114" s="512"/>
      <c r="D114" s="512" t="s">
        <v>957</v>
      </c>
      <c r="E114" s="512"/>
      <c r="F114" s="512"/>
      <c r="G114" s="512"/>
      <c r="H114" s="513"/>
    </row>
    <row r="115" spans="1:28" hidden="1" x14ac:dyDescent="0.25">
      <c r="A115" s="512"/>
      <c r="B115" s="512"/>
      <c r="C115" s="512"/>
      <c r="D115" s="512"/>
      <c r="E115" s="512" t="s">
        <v>958</v>
      </c>
      <c r="F115" s="512"/>
      <c r="G115" s="512"/>
      <c r="H115" s="513"/>
    </row>
    <row r="116" spans="1:28" x14ac:dyDescent="0.25">
      <c r="A116" s="512"/>
      <c r="B116" s="512"/>
      <c r="C116" s="512"/>
      <c r="D116" s="512"/>
      <c r="E116" s="512"/>
      <c r="F116" s="512" t="s">
        <v>959</v>
      </c>
      <c r="G116" s="512"/>
      <c r="H116" s="513">
        <v>2305600</v>
      </c>
      <c r="K116" s="524">
        <f t="shared" ref="K116:K137" si="10">+H116</f>
        <v>2305600</v>
      </c>
      <c r="AA116" s="524">
        <f>+H116</f>
        <v>2305600</v>
      </c>
    </row>
    <row r="117" spans="1:28" x14ac:dyDescent="0.25">
      <c r="A117" s="512"/>
      <c r="B117" s="512"/>
      <c r="C117" s="512"/>
      <c r="D117" s="512"/>
      <c r="E117" s="512"/>
      <c r="F117" s="512" t="s">
        <v>960</v>
      </c>
      <c r="G117" s="512"/>
      <c r="H117" s="513">
        <v>3681068</v>
      </c>
      <c r="K117" s="524">
        <f t="shared" si="10"/>
        <v>3681068</v>
      </c>
      <c r="AA117" s="524">
        <f>+H117</f>
        <v>3681068</v>
      </c>
    </row>
    <row r="118" spans="1:28" x14ac:dyDescent="0.25">
      <c r="A118" s="512"/>
      <c r="B118" s="512"/>
      <c r="C118" s="512"/>
      <c r="D118" s="512"/>
      <c r="E118" s="512"/>
      <c r="F118" s="512" t="s">
        <v>961</v>
      </c>
      <c r="G118" s="512"/>
      <c r="H118" s="513">
        <v>23293909</v>
      </c>
      <c r="K118" s="524">
        <f t="shared" si="10"/>
        <v>23293909</v>
      </c>
      <c r="AA118" s="524">
        <f t="shared" ref="AA118:AA126" si="11">+H118</f>
        <v>23293909</v>
      </c>
    </row>
    <row r="119" spans="1:28" x14ac:dyDescent="0.25">
      <c r="A119" s="512"/>
      <c r="B119" s="512"/>
      <c r="C119" s="512"/>
      <c r="D119" s="512"/>
      <c r="E119" s="512"/>
      <c r="F119" s="512" t="s">
        <v>962</v>
      </c>
      <c r="G119" s="512"/>
      <c r="H119" s="513">
        <v>3389962</v>
      </c>
      <c r="K119" s="524">
        <f t="shared" si="10"/>
        <v>3389962</v>
      </c>
      <c r="AA119" s="524">
        <f t="shared" si="11"/>
        <v>3389962</v>
      </c>
    </row>
    <row r="120" spans="1:28" x14ac:dyDescent="0.25">
      <c r="A120" s="512"/>
      <c r="B120" s="512"/>
      <c r="C120" s="512"/>
      <c r="D120" s="512"/>
      <c r="E120" s="512"/>
      <c r="F120" s="512" t="s">
        <v>963</v>
      </c>
      <c r="G120" s="512"/>
      <c r="H120" s="513">
        <v>2942736</v>
      </c>
      <c r="K120" s="524">
        <f t="shared" si="10"/>
        <v>2942736</v>
      </c>
      <c r="AA120" s="524">
        <f t="shared" si="11"/>
        <v>2942736</v>
      </c>
    </row>
    <row r="121" spans="1:28" x14ac:dyDescent="0.25">
      <c r="A121" s="512"/>
      <c r="B121" s="512"/>
      <c r="C121" s="512"/>
      <c r="D121" s="512"/>
      <c r="E121" s="512"/>
      <c r="F121" s="512" t="s">
        <v>964</v>
      </c>
      <c r="G121" s="512"/>
      <c r="H121" s="513">
        <v>1191000</v>
      </c>
      <c r="K121" s="524">
        <f t="shared" si="10"/>
        <v>1191000</v>
      </c>
      <c r="AA121" s="524">
        <f t="shared" si="11"/>
        <v>1191000</v>
      </c>
    </row>
    <row r="122" spans="1:28" x14ac:dyDescent="0.25">
      <c r="A122" s="512"/>
      <c r="B122" s="512"/>
      <c r="C122" s="512"/>
      <c r="D122" s="512"/>
      <c r="E122" s="512"/>
      <c r="F122" s="512" t="s">
        <v>965</v>
      </c>
      <c r="G122" s="512"/>
      <c r="H122" s="513">
        <v>104500</v>
      </c>
      <c r="K122" s="524">
        <f t="shared" si="10"/>
        <v>104500</v>
      </c>
      <c r="AA122" s="524">
        <f t="shared" si="11"/>
        <v>104500</v>
      </c>
    </row>
    <row r="123" spans="1:28" x14ac:dyDescent="0.25">
      <c r="A123" s="512"/>
      <c r="B123" s="512"/>
      <c r="C123" s="512"/>
      <c r="D123" s="512"/>
      <c r="E123" s="512"/>
      <c r="F123" s="512" t="s">
        <v>966</v>
      </c>
      <c r="G123" s="512"/>
      <c r="H123" s="513">
        <v>12559000</v>
      </c>
      <c r="K123" s="524">
        <f t="shared" si="10"/>
        <v>12559000</v>
      </c>
      <c r="AA123" s="524">
        <f t="shared" si="11"/>
        <v>12559000</v>
      </c>
    </row>
    <row r="124" spans="1:28" x14ac:dyDescent="0.25">
      <c r="A124" s="512"/>
      <c r="B124" s="512"/>
      <c r="C124" s="512"/>
      <c r="D124" s="512"/>
      <c r="E124" s="512"/>
      <c r="F124" s="512" t="s">
        <v>967</v>
      </c>
      <c r="G124" s="512"/>
      <c r="H124" s="513">
        <v>3768000</v>
      </c>
      <c r="K124" s="524">
        <f t="shared" si="10"/>
        <v>3768000</v>
      </c>
      <c r="AA124" s="524">
        <f t="shared" si="11"/>
        <v>3768000</v>
      </c>
    </row>
    <row r="125" spans="1:28" x14ac:dyDescent="0.25">
      <c r="A125" s="512"/>
      <c r="B125" s="512"/>
      <c r="C125" s="512"/>
      <c r="D125" s="512"/>
      <c r="E125" s="512"/>
      <c r="F125" s="512" t="s">
        <v>968</v>
      </c>
      <c r="G125" s="512"/>
      <c r="H125" s="513">
        <v>46894401</v>
      </c>
      <c r="K125" s="524">
        <f t="shared" si="10"/>
        <v>46894401</v>
      </c>
      <c r="AA125" s="524">
        <f t="shared" si="11"/>
        <v>46894401</v>
      </c>
    </row>
    <row r="126" spans="1:28" x14ac:dyDescent="0.25">
      <c r="A126" s="512"/>
      <c r="B126" s="512"/>
      <c r="C126" s="512"/>
      <c r="D126" s="512"/>
      <c r="E126" s="512"/>
      <c r="F126" s="512" t="s">
        <v>1532</v>
      </c>
      <c r="G126" s="512"/>
      <c r="H126" s="513">
        <v>10000000</v>
      </c>
      <c r="K126" s="524">
        <f t="shared" si="10"/>
        <v>10000000</v>
      </c>
      <c r="AA126" s="524">
        <f t="shared" si="11"/>
        <v>10000000</v>
      </c>
    </row>
    <row r="127" spans="1:28" x14ac:dyDescent="0.25">
      <c r="A127" s="512"/>
      <c r="B127" s="512"/>
      <c r="C127" s="512"/>
      <c r="D127" s="512"/>
      <c r="E127" s="512"/>
      <c r="F127" s="512" t="s">
        <v>969</v>
      </c>
      <c r="G127" s="512"/>
      <c r="H127" s="513">
        <v>5549428.5</v>
      </c>
      <c r="K127" s="524">
        <f t="shared" si="10"/>
        <v>5549428.5</v>
      </c>
      <c r="AB127" s="524">
        <f>+H127</f>
        <v>5549428.5</v>
      </c>
    </row>
    <row r="128" spans="1:28" x14ac:dyDescent="0.25">
      <c r="A128" s="512"/>
      <c r="B128" s="512"/>
      <c r="C128" s="512"/>
      <c r="D128" s="512"/>
      <c r="E128" s="512"/>
      <c r="F128" s="512" t="s">
        <v>970</v>
      </c>
      <c r="G128" s="512"/>
      <c r="H128" s="513">
        <v>1215000</v>
      </c>
      <c r="K128" s="524">
        <f t="shared" si="10"/>
        <v>1215000</v>
      </c>
      <c r="AB128" s="524">
        <f t="shared" ref="AB128:AB135" si="12">+H128</f>
        <v>1215000</v>
      </c>
    </row>
    <row r="129" spans="1:36" x14ac:dyDescent="0.25">
      <c r="A129" s="512"/>
      <c r="B129" s="512"/>
      <c r="C129" s="512"/>
      <c r="D129" s="512"/>
      <c r="E129" s="512"/>
      <c r="F129" s="512" t="s">
        <v>971</v>
      </c>
      <c r="G129" s="512"/>
      <c r="H129" s="513">
        <v>973873</v>
      </c>
      <c r="K129" s="524">
        <f t="shared" si="10"/>
        <v>973873</v>
      </c>
      <c r="AB129" s="524">
        <f t="shared" si="12"/>
        <v>973873</v>
      </c>
    </row>
    <row r="130" spans="1:36" x14ac:dyDescent="0.25">
      <c r="A130" s="512"/>
      <c r="B130" s="512"/>
      <c r="C130" s="512"/>
      <c r="D130" s="512"/>
      <c r="E130" s="512"/>
      <c r="F130" s="512" t="s">
        <v>972</v>
      </c>
      <c r="G130" s="512"/>
      <c r="H130" s="513">
        <v>11098350.4</v>
      </c>
      <c r="K130" s="524">
        <f t="shared" si="10"/>
        <v>11098350.4</v>
      </c>
      <c r="AB130" s="524">
        <f t="shared" si="12"/>
        <v>11098350.4</v>
      </c>
    </row>
    <row r="131" spans="1:36" x14ac:dyDescent="0.25">
      <c r="A131" s="512"/>
      <c r="B131" s="512"/>
      <c r="C131" s="512"/>
      <c r="D131" s="512"/>
      <c r="E131" s="512"/>
      <c r="F131" s="512" t="s">
        <v>973</v>
      </c>
      <c r="G131" s="512"/>
      <c r="H131" s="513">
        <v>5941467.7400000002</v>
      </c>
      <c r="K131" s="524">
        <f t="shared" si="10"/>
        <v>5941467.7400000002</v>
      </c>
      <c r="AB131" s="524">
        <f t="shared" si="12"/>
        <v>5941467.7400000002</v>
      </c>
    </row>
    <row r="132" spans="1:36" x14ac:dyDescent="0.25">
      <c r="A132" s="512"/>
      <c r="B132" s="512"/>
      <c r="C132" s="512"/>
      <c r="D132" s="512"/>
      <c r="E132" s="512"/>
      <c r="F132" s="512" t="s">
        <v>974</v>
      </c>
      <c r="G132" s="512"/>
      <c r="H132" s="513">
        <v>1151916</v>
      </c>
      <c r="K132" s="524">
        <f t="shared" si="10"/>
        <v>1151916</v>
      </c>
      <c r="AB132" s="524">
        <f t="shared" si="12"/>
        <v>1151916</v>
      </c>
    </row>
    <row r="133" spans="1:36" x14ac:dyDescent="0.25">
      <c r="A133" s="512"/>
      <c r="B133" s="512"/>
      <c r="C133" s="512"/>
      <c r="D133" s="512"/>
      <c r="E133" s="512"/>
      <c r="F133" s="512" t="s">
        <v>975</v>
      </c>
      <c r="G133" s="512"/>
      <c r="H133" s="513">
        <v>9077116.2899999991</v>
      </c>
      <c r="K133" s="524">
        <f t="shared" si="10"/>
        <v>9077116.2899999991</v>
      </c>
      <c r="AB133" s="524">
        <f t="shared" si="12"/>
        <v>9077116.2899999991</v>
      </c>
    </row>
    <row r="134" spans="1:36" x14ac:dyDescent="0.25">
      <c r="A134" s="512"/>
      <c r="B134" s="512"/>
      <c r="C134" s="512"/>
      <c r="D134" s="512"/>
      <c r="E134" s="512"/>
      <c r="F134" s="512" t="s">
        <v>976</v>
      </c>
      <c r="G134" s="512"/>
      <c r="H134" s="513">
        <v>1351039.9</v>
      </c>
      <c r="K134" s="524">
        <f t="shared" si="10"/>
        <v>1351039.9</v>
      </c>
      <c r="AB134" s="524">
        <f t="shared" si="12"/>
        <v>1351039.9</v>
      </c>
    </row>
    <row r="135" spans="1:36" x14ac:dyDescent="0.25">
      <c r="A135" s="512"/>
      <c r="B135" s="512"/>
      <c r="C135" s="512"/>
      <c r="D135" s="512"/>
      <c r="E135" s="512"/>
      <c r="F135" s="512" t="s">
        <v>977</v>
      </c>
      <c r="G135" s="512"/>
      <c r="H135" s="513">
        <v>1701432.81</v>
      </c>
      <c r="K135" s="524">
        <f t="shared" si="10"/>
        <v>1701432.81</v>
      </c>
      <c r="AB135" s="524">
        <f t="shared" si="12"/>
        <v>1701432.81</v>
      </c>
    </row>
    <row r="136" spans="1:36" x14ac:dyDescent="0.25">
      <c r="A136" s="512"/>
      <c r="B136" s="512"/>
      <c r="C136" s="512"/>
      <c r="D136" s="512"/>
      <c r="E136" s="512"/>
      <c r="F136" s="512" t="s">
        <v>978</v>
      </c>
      <c r="G136" s="536"/>
      <c r="H136" s="533">
        <v>-18228198.620000001</v>
      </c>
      <c r="K136" s="538">
        <f t="shared" si="10"/>
        <v>-18228198.620000001</v>
      </c>
    </row>
    <row r="137" spans="1:36" ht="15.75" thickBot="1" x14ac:dyDescent="0.3">
      <c r="A137" s="512"/>
      <c r="B137" s="512"/>
      <c r="C137" s="512"/>
      <c r="D137" s="512"/>
      <c r="E137" s="512"/>
      <c r="F137" s="512" t="s">
        <v>979</v>
      </c>
      <c r="G137" s="512"/>
      <c r="H137" s="515">
        <v>647775</v>
      </c>
      <c r="K137" s="524">
        <f t="shared" si="10"/>
        <v>647775</v>
      </c>
      <c r="AB137" s="524">
        <f>+H137</f>
        <v>647775</v>
      </c>
    </row>
    <row r="138" spans="1:36" hidden="1" x14ac:dyDescent="0.25">
      <c r="A138" s="512"/>
      <c r="B138" s="512"/>
      <c r="C138" s="512"/>
      <c r="D138" s="512"/>
      <c r="E138" s="512" t="s">
        <v>980</v>
      </c>
      <c r="F138" s="512"/>
      <c r="G138" s="512"/>
      <c r="H138" s="513">
        <f>ROUND(SUM(H115:H137),5)</f>
        <v>130609377.02</v>
      </c>
    </row>
    <row r="139" spans="1:36" hidden="1" x14ac:dyDescent="0.25">
      <c r="A139" s="512"/>
      <c r="B139" s="512"/>
      <c r="C139" s="512"/>
      <c r="D139" s="512"/>
      <c r="E139" s="512" t="s">
        <v>981</v>
      </c>
      <c r="F139" s="512"/>
      <c r="G139" s="512"/>
      <c r="H139" s="513"/>
    </row>
    <row r="140" spans="1:36" x14ac:dyDescent="0.25">
      <c r="A140" s="512"/>
      <c r="B140" s="512"/>
      <c r="C140" s="512"/>
      <c r="D140" s="512"/>
      <c r="E140" s="512"/>
      <c r="F140" s="512" t="s">
        <v>982</v>
      </c>
      <c r="G140" s="512"/>
      <c r="H140" s="513">
        <v>9323685</v>
      </c>
      <c r="K140" s="524">
        <f t="shared" ref="K140:K148" si="13">+H140</f>
        <v>9323685</v>
      </c>
      <c r="AC140" s="524">
        <f>+H140</f>
        <v>9323685</v>
      </c>
    </row>
    <row r="141" spans="1:36" x14ac:dyDescent="0.25">
      <c r="A141" s="512"/>
      <c r="B141" s="512"/>
      <c r="C141" s="512"/>
      <c r="D141" s="512"/>
      <c r="E141" s="512"/>
      <c r="F141" s="512" t="s">
        <v>1533</v>
      </c>
      <c r="G141" s="512"/>
      <c r="H141" s="513">
        <v>2675000</v>
      </c>
      <c r="K141" s="524">
        <f t="shared" si="13"/>
        <v>2675000</v>
      </c>
      <c r="AC141" s="524">
        <f t="shared" ref="AC141:AC144" si="14">+H141</f>
        <v>2675000</v>
      </c>
    </row>
    <row r="142" spans="1:36" x14ac:dyDescent="0.25">
      <c r="A142" s="512"/>
      <c r="B142" s="512"/>
      <c r="C142" s="512"/>
      <c r="D142" s="512"/>
      <c r="E142" s="512"/>
      <c r="F142" s="512" t="s">
        <v>983</v>
      </c>
      <c r="G142" s="512"/>
      <c r="H142" s="513">
        <v>533200</v>
      </c>
      <c r="K142" s="524">
        <f t="shared" si="13"/>
        <v>533200</v>
      </c>
      <c r="AC142" s="524">
        <f t="shared" si="14"/>
        <v>533200</v>
      </c>
    </row>
    <row r="143" spans="1:36" x14ac:dyDescent="0.25">
      <c r="A143" s="512"/>
      <c r="B143" s="512"/>
      <c r="C143" s="512"/>
      <c r="D143" s="512"/>
      <c r="E143" s="512"/>
      <c r="F143" s="512" t="s">
        <v>984</v>
      </c>
      <c r="G143" s="512"/>
      <c r="H143" s="513">
        <v>3017100</v>
      </c>
      <c r="K143" s="524">
        <f t="shared" si="13"/>
        <v>3017100</v>
      </c>
      <c r="AC143" s="524">
        <f t="shared" si="14"/>
        <v>3017100</v>
      </c>
      <c r="AJ143" s="524"/>
    </row>
    <row r="144" spans="1:36" x14ac:dyDescent="0.25">
      <c r="A144" s="512"/>
      <c r="B144" s="512"/>
      <c r="C144" s="512"/>
      <c r="D144" s="512"/>
      <c r="E144" s="512"/>
      <c r="F144" s="512" t="s">
        <v>985</v>
      </c>
      <c r="G144" s="512"/>
      <c r="H144" s="513">
        <v>136390</v>
      </c>
      <c r="K144" s="524">
        <f t="shared" si="13"/>
        <v>136390</v>
      </c>
      <c r="AC144" s="524">
        <f t="shared" si="14"/>
        <v>136390</v>
      </c>
      <c r="AJ144" s="688" t="s">
        <v>1759</v>
      </c>
    </row>
    <row r="145" spans="1:36" x14ac:dyDescent="0.25">
      <c r="A145" s="512"/>
      <c r="B145" s="512"/>
      <c r="C145" s="512"/>
      <c r="D145" s="512"/>
      <c r="E145" s="512"/>
      <c r="F145" s="512" t="s">
        <v>986</v>
      </c>
      <c r="G145" s="512"/>
      <c r="H145" s="513">
        <v>3927826</v>
      </c>
      <c r="K145" s="524">
        <f t="shared" si="13"/>
        <v>3927826</v>
      </c>
      <c r="AJ145" s="524">
        <f>+H145</f>
        <v>3927826</v>
      </c>
    </row>
    <row r="146" spans="1:36" x14ac:dyDescent="0.25">
      <c r="A146" s="512"/>
      <c r="B146" s="512"/>
      <c r="C146" s="512"/>
      <c r="D146" s="512"/>
      <c r="E146" s="512"/>
      <c r="F146" s="512" t="s">
        <v>987</v>
      </c>
      <c r="G146" s="512"/>
      <c r="H146" s="513">
        <v>2229013</v>
      </c>
      <c r="K146" s="524">
        <f t="shared" si="13"/>
        <v>2229013</v>
      </c>
      <c r="AC146" s="524"/>
      <c r="AJ146" s="524">
        <f>+H146</f>
        <v>2229013</v>
      </c>
    </row>
    <row r="147" spans="1:36" x14ac:dyDescent="0.25">
      <c r="A147" s="512"/>
      <c r="B147" s="512"/>
      <c r="C147" s="512"/>
      <c r="D147" s="512"/>
      <c r="E147" s="512"/>
      <c r="F147" s="512" t="s">
        <v>989</v>
      </c>
      <c r="G147" s="512"/>
      <c r="H147" s="513">
        <v>287680</v>
      </c>
      <c r="K147" s="524">
        <f t="shared" si="13"/>
        <v>287680</v>
      </c>
      <c r="AC147" s="524">
        <f t="shared" ref="AC146:AC147" si="15">+H147</f>
        <v>287680</v>
      </c>
    </row>
    <row r="148" spans="1:36" ht="15.75" thickBot="1" x14ac:dyDescent="0.3">
      <c r="A148" s="512"/>
      <c r="B148" s="512"/>
      <c r="C148" s="512"/>
      <c r="D148" s="512"/>
      <c r="E148" s="512"/>
      <c r="F148" s="512" t="s">
        <v>990</v>
      </c>
      <c r="G148" s="536"/>
      <c r="H148" s="535">
        <v>-17943558.960000001</v>
      </c>
      <c r="K148" s="538">
        <f>+H148</f>
        <v>-17943558.960000001</v>
      </c>
    </row>
    <row r="149" spans="1:36" hidden="1" x14ac:dyDescent="0.25">
      <c r="A149" s="512"/>
      <c r="B149" s="512"/>
      <c r="C149" s="512"/>
      <c r="D149" s="512"/>
      <c r="E149" s="512" t="s">
        <v>991</v>
      </c>
      <c r="F149" s="512"/>
      <c r="G149" s="512"/>
      <c r="H149" s="513">
        <f>ROUND(SUM(H139:H148),5)</f>
        <v>4186335.04</v>
      </c>
    </row>
    <row r="150" spans="1:36" hidden="1" x14ac:dyDescent="0.25">
      <c r="A150" s="512"/>
      <c r="B150" s="512"/>
      <c r="C150" s="512"/>
      <c r="D150" s="512"/>
      <c r="E150" s="512" t="s">
        <v>992</v>
      </c>
      <c r="F150" s="512"/>
      <c r="G150" s="512"/>
      <c r="H150" s="513"/>
    </row>
    <row r="151" spans="1:36" x14ac:dyDescent="0.25">
      <c r="A151" s="512"/>
      <c r="B151" s="512"/>
      <c r="C151" s="512"/>
      <c r="D151" s="512"/>
      <c r="E151" s="512"/>
      <c r="F151" s="512" t="s">
        <v>993</v>
      </c>
      <c r="G151" s="512"/>
      <c r="H151" s="513">
        <v>10041370.85</v>
      </c>
      <c r="K151" s="524">
        <f t="shared" ref="K151:K156" si="16">+H151</f>
        <v>10041370.85</v>
      </c>
      <c r="AD151" s="524">
        <f>+H151</f>
        <v>10041370.85</v>
      </c>
    </row>
    <row r="152" spans="1:36" x14ac:dyDescent="0.25">
      <c r="A152" s="512"/>
      <c r="B152" s="512"/>
      <c r="C152" s="512"/>
      <c r="D152" s="512"/>
      <c r="E152" s="512"/>
      <c r="F152" s="512" t="s">
        <v>994</v>
      </c>
      <c r="G152" s="512"/>
      <c r="H152" s="513">
        <v>2970524.49</v>
      </c>
      <c r="K152" s="524">
        <f t="shared" si="16"/>
        <v>2970524.49</v>
      </c>
      <c r="AD152" s="524">
        <f t="shared" ref="AD152:AD154" si="17">+H152</f>
        <v>2970524.49</v>
      </c>
      <c r="AE152" s="524"/>
    </row>
    <row r="153" spans="1:36" x14ac:dyDescent="0.25">
      <c r="A153" s="512"/>
      <c r="B153" s="512"/>
      <c r="C153" s="512"/>
      <c r="D153" s="512"/>
      <c r="E153" s="512"/>
      <c r="F153" s="512" t="s">
        <v>995</v>
      </c>
      <c r="G153" s="512"/>
      <c r="H153" s="513">
        <v>866780.01</v>
      </c>
      <c r="K153" s="524">
        <f t="shared" si="16"/>
        <v>866780.01</v>
      </c>
      <c r="AD153" s="524">
        <f t="shared" si="17"/>
        <v>866780.01</v>
      </c>
    </row>
    <row r="154" spans="1:36" x14ac:dyDescent="0.25">
      <c r="A154" s="512"/>
      <c r="B154" s="512"/>
      <c r="C154" s="512"/>
      <c r="D154" s="512"/>
      <c r="E154" s="512"/>
      <c r="F154" s="512" t="s">
        <v>996</v>
      </c>
      <c r="G154" s="512"/>
      <c r="H154" s="513">
        <v>1424536.28</v>
      </c>
      <c r="K154" s="524">
        <f t="shared" si="16"/>
        <v>1424536.28</v>
      </c>
      <c r="AD154" s="524">
        <f t="shared" si="17"/>
        <v>1424536.28</v>
      </c>
    </row>
    <row r="155" spans="1:36" x14ac:dyDescent="0.25">
      <c r="A155" s="512"/>
      <c r="B155" s="512"/>
      <c r="C155" s="512"/>
      <c r="D155" s="512"/>
      <c r="E155" s="512"/>
      <c r="F155" s="536" t="s">
        <v>997</v>
      </c>
      <c r="G155" s="536"/>
      <c r="H155" s="533">
        <v>-11716445.57</v>
      </c>
      <c r="K155" s="538">
        <f t="shared" si="16"/>
        <v>-11716445.57</v>
      </c>
    </row>
    <row r="156" spans="1:36" ht="15.75" thickBot="1" x14ac:dyDescent="0.3">
      <c r="A156" s="512"/>
      <c r="B156" s="512"/>
      <c r="C156" s="512"/>
      <c r="D156" s="512"/>
      <c r="E156" s="512"/>
      <c r="F156" s="512" t="s">
        <v>998</v>
      </c>
      <c r="G156" s="512"/>
      <c r="H156" s="515">
        <v>39100</v>
      </c>
      <c r="K156" s="524">
        <f t="shared" si="16"/>
        <v>39100</v>
      </c>
      <c r="AD156" s="524">
        <f>+H156</f>
        <v>39100</v>
      </c>
    </row>
    <row r="157" spans="1:36" hidden="1" x14ac:dyDescent="0.25">
      <c r="A157" s="512"/>
      <c r="B157" s="512"/>
      <c r="C157" s="512"/>
      <c r="D157" s="512"/>
      <c r="E157" s="512" t="s">
        <v>999</v>
      </c>
      <c r="F157" s="512"/>
      <c r="G157" s="512"/>
      <c r="H157" s="513">
        <f>ROUND(SUM(H150:H156),5)</f>
        <v>3625866.06</v>
      </c>
    </row>
    <row r="158" spans="1:36" hidden="1" x14ac:dyDescent="0.25">
      <c r="A158" s="512"/>
      <c r="B158" s="512"/>
      <c r="C158" s="512"/>
      <c r="D158" s="512"/>
      <c r="E158" s="512" t="s">
        <v>1000</v>
      </c>
      <c r="F158" s="512"/>
      <c r="G158" s="512"/>
      <c r="H158" s="513"/>
    </row>
    <row r="159" spans="1:36" x14ac:dyDescent="0.25">
      <c r="A159" s="512"/>
      <c r="B159" s="512"/>
      <c r="C159" s="512"/>
      <c r="D159" s="512"/>
      <c r="E159" s="512"/>
      <c r="F159" s="512" t="s">
        <v>1001</v>
      </c>
      <c r="G159" s="512"/>
      <c r="H159" s="513">
        <v>3444357.18</v>
      </c>
      <c r="K159" s="524">
        <f>+H159</f>
        <v>3444357.18</v>
      </c>
      <c r="AG159" s="524">
        <f>+H159</f>
        <v>3444357.18</v>
      </c>
    </row>
    <row r="160" spans="1:36" x14ac:dyDescent="0.25">
      <c r="A160" s="512"/>
      <c r="B160" s="512"/>
      <c r="C160" s="512"/>
      <c r="D160" s="512"/>
      <c r="E160" s="512"/>
      <c r="F160" s="536" t="s">
        <v>1002</v>
      </c>
      <c r="G160" s="536"/>
      <c r="H160" s="533">
        <v>-6621306.9000000004</v>
      </c>
      <c r="K160" s="538">
        <f>+H160</f>
        <v>-6621306.9000000004</v>
      </c>
    </row>
    <row r="161" spans="1:35" ht="15.75" thickBot="1" x14ac:dyDescent="0.3">
      <c r="A161" s="512"/>
      <c r="B161" s="512"/>
      <c r="C161" s="512"/>
      <c r="D161" s="512"/>
      <c r="E161" s="512"/>
      <c r="F161" s="512" t="s">
        <v>1003</v>
      </c>
      <c r="G161" s="512"/>
      <c r="H161" s="515">
        <v>5399150.6399999997</v>
      </c>
      <c r="K161" s="524">
        <f>+H161</f>
        <v>5399150.6399999997</v>
      </c>
      <c r="AG161" s="524">
        <f>+H161</f>
        <v>5399150.6399999997</v>
      </c>
    </row>
    <row r="162" spans="1:35" hidden="1" x14ac:dyDescent="0.25">
      <c r="A162" s="512"/>
      <c r="B162" s="512"/>
      <c r="C162" s="512"/>
      <c r="D162" s="512"/>
      <c r="E162" s="512" t="s">
        <v>1004</v>
      </c>
      <c r="F162" s="512"/>
      <c r="G162" s="512"/>
      <c r="H162" s="513">
        <f>ROUND(SUM(H158:H161),5)</f>
        <v>2222200.92</v>
      </c>
    </row>
    <row r="163" spans="1:35" hidden="1" x14ac:dyDescent="0.25">
      <c r="A163" s="512"/>
      <c r="B163" s="512"/>
      <c r="C163" s="512"/>
      <c r="D163" s="512"/>
      <c r="E163" s="512" t="s">
        <v>1005</v>
      </c>
      <c r="F163" s="512"/>
      <c r="G163" s="512"/>
      <c r="H163" s="513"/>
    </row>
    <row r="164" spans="1:35" x14ac:dyDescent="0.25">
      <c r="A164" s="512"/>
      <c r="B164" s="512"/>
      <c r="C164" s="512"/>
      <c r="D164" s="512"/>
      <c r="E164" s="512"/>
      <c r="F164" s="512" t="s">
        <v>1006</v>
      </c>
      <c r="G164" s="512"/>
      <c r="H164" s="513">
        <v>3982812.45</v>
      </c>
      <c r="K164" s="524">
        <f>+H164</f>
        <v>3982812.45</v>
      </c>
      <c r="AI164" s="524">
        <f>+H164</f>
        <v>3982812.45</v>
      </c>
    </row>
    <row r="165" spans="1:35" x14ac:dyDescent="0.25">
      <c r="A165" s="512"/>
      <c r="B165" s="512"/>
      <c r="C165" s="512"/>
      <c r="D165" s="512"/>
      <c r="E165" s="512"/>
      <c r="F165" s="536" t="s">
        <v>1007</v>
      </c>
      <c r="G165" s="536"/>
      <c r="H165" s="533">
        <v>-3667014.01</v>
      </c>
      <c r="K165" s="524">
        <f>+H165</f>
        <v>-3667014.01</v>
      </c>
    </row>
    <row r="166" spans="1:35" ht="15.75" thickBot="1" x14ac:dyDescent="0.3">
      <c r="A166" s="512"/>
      <c r="B166" s="512"/>
      <c r="C166" s="512"/>
      <c r="D166" s="512"/>
      <c r="E166" s="512"/>
      <c r="F166" s="512" t="s">
        <v>1008</v>
      </c>
      <c r="G166" s="512"/>
      <c r="H166" s="515">
        <v>17610</v>
      </c>
      <c r="K166" s="524">
        <f>+H166</f>
        <v>17610</v>
      </c>
      <c r="AI166" s="524">
        <f>+H166</f>
        <v>17610</v>
      </c>
    </row>
    <row r="167" spans="1:35" hidden="1" x14ac:dyDescent="0.25">
      <c r="A167" s="512"/>
      <c r="B167" s="512"/>
      <c r="C167" s="512"/>
      <c r="D167" s="512"/>
      <c r="E167" s="512" t="s">
        <v>1009</v>
      </c>
      <c r="F167" s="512"/>
      <c r="G167" s="512"/>
      <c r="H167" s="513">
        <f>ROUND(SUM(H163:H166),5)</f>
        <v>333408.44</v>
      </c>
    </row>
    <row r="168" spans="1:35" hidden="1" x14ac:dyDescent="0.25">
      <c r="A168" s="512"/>
      <c r="B168" s="512"/>
      <c r="C168" s="512"/>
      <c r="D168" s="512"/>
      <c r="E168" s="512" t="s">
        <v>1010</v>
      </c>
      <c r="F168" s="512"/>
      <c r="G168" s="512"/>
      <c r="H168" s="513"/>
    </row>
    <row r="169" spans="1:35" x14ac:dyDescent="0.25">
      <c r="A169" s="512"/>
      <c r="B169" s="512"/>
      <c r="C169" s="512"/>
      <c r="D169" s="512"/>
      <c r="E169" s="512"/>
      <c r="F169" s="512" t="s">
        <v>1011</v>
      </c>
      <c r="G169" s="512"/>
      <c r="H169" s="513">
        <v>7086711.8399999999</v>
      </c>
      <c r="K169" s="524">
        <f>+H169</f>
        <v>7086711.8399999999</v>
      </c>
      <c r="AE169" s="524">
        <f>+H169</f>
        <v>7086711.8399999999</v>
      </c>
    </row>
    <row r="170" spans="1:35" x14ac:dyDescent="0.25">
      <c r="A170" s="512"/>
      <c r="B170" s="512"/>
      <c r="C170" s="512"/>
      <c r="D170" s="512"/>
      <c r="E170" s="512"/>
      <c r="F170" s="512" t="s">
        <v>1012</v>
      </c>
      <c r="G170" s="512"/>
      <c r="H170" s="513">
        <v>1245339.33</v>
      </c>
      <c r="K170" s="524">
        <f>+H170</f>
        <v>1245339.33</v>
      </c>
      <c r="AE170" s="524">
        <f t="shared" ref="AE170:AE171" si="18">+H170</f>
        <v>1245339.33</v>
      </c>
    </row>
    <row r="171" spans="1:35" x14ac:dyDescent="0.25">
      <c r="A171" s="512"/>
      <c r="B171" s="512"/>
      <c r="C171" s="512"/>
      <c r="D171" s="512"/>
      <c r="E171" s="512"/>
      <c r="F171" s="512" t="s">
        <v>1013</v>
      </c>
      <c r="G171" s="512"/>
      <c r="H171" s="513">
        <v>1032531.92</v>
      </c>
      <c r="K171" s="524">
        <f>+H171</f>
        <v>1032531.92</v>
      </c>
      <c r="AE171" s="524">
        <f t="shared" si="18"/>
        <v>1032531.92</v>
      </c>
    </row>
    <row r="172" spans="1:35" ht="15.75" thickBot="1" x14ac:dyDescent="0.3">
      <c r="A172" s="512"/>
      <c r="B172" s="512"/>
      <c r="C172" s="512"/>
      <c r="D172" s="512"/>
      <c r="E172" s="512"/>
      <c r="F172" s="536" t="s">
        <v>1014</v>
      </c>
      <c r="G172" s="536"/>
      <c r="H172" s="535">
        <v>-8825776.5399999991</v>
      </c>
      <c r="K172" s="524">
        <f>+H172</f>
        <v>-8825776.5399999991</v>
      </c>
    </row>
    <row r="173" spans="1:35" hidden="1" x14ac:dyDescent="0.25">
      <c r="A173" s="512"/>
      <c r="B173" s="512"/>
      <c r="C173" s="512"/>
      <c r="D173" s="512"/>
      <c r="E173" s="512" t="s">
        <v>1015</v>
      </c>
      <c r="F173" s="512"/>
      <c r="G173" s="512"/>
      <c r="H173" s="513">
        <f>ROUND(SUM(H168:H172),5)</f>
        <v>538806.55000000005</v>
      </c>
    </row>
    <row r="174" spans="1:35" hidden="1" x14ac:dyDescent="0.25">
      <c r="A174" s="512"/>
      <c r="B174" s="512"/>
      <c r="C174" s="512"/>
      <c r="D174" s="512"/>
      <c r="E174" s="512" t="s">
        <v>1016</v>
      </c>
      <c r="F174" s="512"/>
      <c r="G174" s="512"/>
      <c r="H174" s="513"/>
    </row>
    <row r="175" spans="1:35" x14ac:dyDescent="0.25">
      <c r="A175" s="512"/>
      <c r="B175" s="512"/>
      <c r="C175" s="512"/>
      <c r="D175" s="512"/>
      <c r="E175" s="512"/>
      <c r="F175" s="512" t="s">
        <v>1017</v>
      </c>
      <c r="G175" s="512"/>
      <c r="H175" s="513">
        <v>4516783.0999999996</v>
      </c>
      <c r="K175" s="524">
        <f t="shared" ref="K175:K180" si="19">+H175</f>
        <v>4516783.0999999996</v>
      </c>
      <c r="AF175" s="524">
        <f>+H175</f>
        <v>4516783.0999999996</v>
      </c>
    </row>
    <row r="176" spans="1:35" x14ac:dyDescent="0.25">
      <c r="A176" s="512"/>
      <c r="B176" s="512"/>
      <c r="C176" s="512"/>
      <c r="D176" s="512"/>
      <c r="E176" s="512"/>
      <c r="F176" s="512" t="s">
        <v>1018</v>
      </c>
      <c r="G176" s="512"/>
      <c r="H176" s="513">
        <v>105622.5</v>
      </c>
      <c r="K176" s="524">
        <f t="shared" si="19"/>
        <v>105622.5</v>
      </c>
      <c r="AF176" s="524">
        <f t="shared" ref="AF176:AF177" si="20">+H176</f>
        <v>105622.5</v>
      </c>
    </row>
    <row r="177" spans="1:32" x14ac:dyDescent="0.25">
      <c r="A177" s="512"/>
      <c r="B177" s="512"/>
      <c r="C177" s="512"/>
      <c r="D177" s="512"/>
      <c r="E177" s="512"/>
      <c r="F177" s="512" t="s">
        <v>1019</v>
      </c>
      <c r="G177" s="512"/>
      <c r="H177" s="513">
        <v>9976778</v>
      </c>
      <c r="K177" s="524">
        <f t="shared" si="19"/>
        <v>9976778</v>
      </c>
      <c r="AF177" s="524">
        <f t="shared" si="20"/>
        <v>9976778</v>
      </c>
    </row>
    <row r="178" spans="1:32" x14ac:dyDescent="0.25">
      <c r="A178" s="512"/>
      <c r="B178" s="512"/>
      <c r="C178" s="512"/>
      <c r="D178" s="512"/>
      <c r="E178" s="512"/>
      <c r="F178" s="536" t="s">
        <v>1020</v>
      </c>
      <c r="G178" s="536"/>
      <c r="H178" s="533">
        <v>-3743700.85</v>
      </c>
      <c r="K178" s="524">
        <f t="shared" si="19"/>
        <v>-3743700.85</v>
      </c>
    </row>
    <row r="179" spans="1:32" x14ac:dyDescent="0.25">
      <c r="A179" s="512"/>
      <c r="B179" s="512"/>
      <c r="C179" s="512"/>
      <c r="D179" s="512"/>
      <c r="E179" s="512"/>
      <c r="F179" s="512" t="s">
        <v>1021</v>
      </c>
      <c r="G179" s="536"/>
      <c r="H179" s="533">
        <v>-665119</v>
      </c>
      <c r="K179" s="524">
        <f t="shared" si="19"/>
        <v>-665119</v>
      </c>
    </row>
    <row r="180" spans="1:32" ht="15.75" thickBot="1" x14ac:dyDescent="0.3">
      <c r="A180" s="512"/>
      <c r="B180" s="512"/>
      <c r="C180" s="512"/>
      <c r="D180" s="512"/>
      <c r="E180" s="512"/>
      <c r="F180" s="512" t="s">
        <v>1534</v>
      </c>
      <c r="G180" s="512"/>
      <c r="H180" s="515">
        <v>1864</v>
      </c>
      <c r="K180" s="524">
        <f t="shared" si="19"/>
        <v>1864</v>
      </c>
      <c r="AF180" s="524">
        <f>+H180</f>
        <v>1864</v>
      </c>
    </row>
    <row r="181" spans="1:32" hidden="1" x14ac:dyDescent="0.25">
      <c r="A181" s="512"/>
      <c r="B181" s="512"/>
      <c r="C181" s="512"/>
      <c r="D181" s="512"/>
      <c r="E181" s="512" t="s">
        <v>1022</v>
      </c>
      <c r="F181" s="512"/>
      <c r="G181" s="512"/>
      <c r="H181" s="513">
        <f>ROUND(SUM(H174:H180),5)</f>
        <v>10192227.75</v>
      </c>
    </row>
    <row r="182" spans="1:32" ht="15.75" hidden="1" thickBot="1" x14ac:dyDescent="0.3">
      <c r="A182" s="512"/>
      <c r="B182" s="512"/>
      <c r="C182" s="512"/>
      <c r="D182" s="512"/>
      <c r="E182" s="512" t="s">
        <v>1535</v>
      </c>
      <c r="F182" s="512"/>
      <c r="G182" s="512"/>
      <c r="H182" s="515">
        <v>16000</v>
      </c>
      <c r="K182" s="524">
        <f>+H182</f>
        <v>16000</v>
      </c>
    </row>
    <row r="183" spans="1:32" hidden="1" x14ac:dyDescent="0.25">
      <c r="A183" s="512"/>
      <c r="B183" s="512"/>
      <c r="C183" s="512"/>
      <c r="D183" s="512" t="s">
        <v>1023</v>
      </c>
      <c r="E183" s="512"/>
      <c r="F183" s="512"/>
      <c r="G183" s="512"/>
      <c r="H183" s="513">
        <f>ROUND(H114+H138+H149+H157+H162+H167+H173+SUM(H181:H182),5)</f>
        <v>151724221.78</v>
      </c>
    </row>
    <row r="184" spans="1:32" hidden="1" x14ac:dyDescent="0.25">
      <c r="A184" s="512"/>
      <c r="B184" s="512"/>
      <c r="C184" s="512"/>
      <c r="D184" s="512" t="s">
        <v>1024</v>
      </c>
      <c r="E184" s="512"/>
      <c r="F184" s="512"/>
      <c r="G184" s="512"/>
      <c r="H184" s="513"/>
    </row>
    <row r="185" spans="1:32" hidden="1" x14ac:dyDescent="0.25">
      <c r="A185" s="512"/>
      <c r="B185" s="512"/>
      <c r="C185" s="512"/>
      <c r="D185" s="512"/>
      <c r="E185" s="512" t="s">
        <v>1025</v>
      </c>
      <c r="F185" s="512"/>
      <c r="G185" s="512"/>
      <c r="H185" s="513">
        <v>774735</v>
      </c>
      <c r="K185" s="524">
        <f t="shared" ref="K185:K198" si="21">+H185</f>
        <v>774735</v>
      </c>
    </row>
    <row r="186" spans="1:32" hidden="1" x14ac:dyDescent="0.25">
      <c r="A186" s="512"/>
      <c r="B186" s="512"/>
      <c r="C186" s="512"/>
      <c r="D186" s="512"/>
      <c r="E186" s="512" t="s">
        <v>1026</v>
      </c>
      <c r="F186" s="512"/>
      <c r="G186" s="512"/>
      <c r="H186" s="513">
        <v>5744703.1699999999</v>
      </c>
      <c r="K186" s="524">
        <f t="shared" si="21"/>
        <v>5744703.1699999999</v>
      </c>
    </row>
    <row r="187" spans="1:32" hidden="1" x14ac:dyDescent="0.25">
      <c r="A187" s="512"/>
      <c r="B187" s="512"/>
      <c r="C187" s="512"/>
      <c r="D187" s="512"/>
      <c r="E187" s="512" t="s">
        <v>1027</v>
      </c>
      <c r="F187" s="512"/>
      <c r="G187" s="512"/>
      <c r="H187" s="513">
        <v>1324113.5900000001</v>
      </c>
      <c r="K187" s="524">
        <f t="shared" si="21"/>
        <v>1324113.5900000001</v>
      </c>
    </row>
    <row r="188" spans="1:32" hidden="1" x14ac:dyDescent="0.25">
      <c r="A188" s="512"/>
      <c r="B188" s="512"/>
      <c r="C188" s="512"/>
      <c r="D188" s="512"/>
      <c r="E188" s="512" t="s">
        <v>1028</v>
      </c>
      <c r="F188" s="512"/>
      <c r="G188" s="512"/>
      <c r="H188" s="513">
        <v>706531.5</v>
      </c>
      <c r="K188" s="524">
        <f t="shared" si="21"/>
        <v>706531.5</v>
      </c>
    </row>
    <row r="189" spans="1:32" hidden="1" x14ac:dyDescent="0.25">
      <c r="A189" s="512"/>
      <c r="B189" s="512"/>
      <c r="C189" s="512"/>
      <c r="D189" s="512"/>
      <c r="E189" s="512" t="s">
        <v>1029</v>
      </c>
      <c r="F189" s="512"/>
      <c r="G189" s="512"/>
      <c r="H189" s="513">
        <v>2389341</v>
      </c>
      <c r="K189" s="524">
        <f t="shared" si="21"/>
        <v>2389341</v>
      </c>
    </row>
    <row r="190" spans="1:32" hidden="1" x14ac:dyDescent="0.25">
      <c r="A190" s="512"/>
      <c r="B190" s="512"/>
      <c r="C190" s="512"/>
      <c r="D190" s="512"/>
      <c r="E190" s="512" t="s">
        <v>1030</v>
      </c>
      <c r="F190" s="512"/>
      <c r="G190" s="512"/>
      <c r="H190" s="513">
        <v>1726683</v>
      </c>
      <c r="K190" s="524">
        <f t="shared" si="21"/>
        <v>1726683</v>
      </c>
    </row>
    <row r="191" spans="1:32" hidden="1" x14ac:dyDescent="0.25">
      <c r="A191" s="512"/>
      <c r="B191" s="512"/>
      <c r="C191" s="512"/>
      <c r="D191" s="512"/>
      <c r="E191" s="512" t="s">
        <v>1031</v>
      </c>
      <c r="F191" s="512"/>
      <c r="G191" s="512"/>
      <c r="H191" s="513">
        <v>4930857.12</v>
      </c>
      <c r="K191" s="524">
        <f t="shared" si="21"/>
        <v>4930857.12</v>
      </c>
    </row>
    <row r="192" spans="1:32" hidden="1" x14ac:dyDescent="0.25">
      <c r="A192" s="512"/>
      <c r="B192" s="512"/>
      <c r="C192" s="512"/>
      <c r="D192" s="512"/>
      <c r="E192" s="512" t="s">
        <v>1032</v>
      </c>
      <c r="F192" s="512"/>
      <c r="G192" s="512"/>
      <c r="H192" s="513">
        <v>457435</v>
      </c>
      <c r="K192" s="524">
        <f t="shared" si="21"/>
        <v>457435</v>
      </c>
    </row>
    <row r="193" spans="1:11" hidden="1" x14ac:dyDescent="0.25">
      <c r="A193" s="512"/>
      <c r="B193" s="512"/>
      <c r="C193" s="512"/>
      <c r="D193" s="512"/>
      <c r="E193" s="512" t="s">
        <v>1033</v>
      </c>
      <c r="F193" s="512"/>
      <c r="G193" s="512"/>
      <c r="H193" s="513">
        <v>3412350</v>
      </c>
      <c r="K193" s="524">
        <f t="shared" si="21"/>
        <v>3412350</v>
      </c>
    </row>
    <row r="194" spans="1:11" hidden="1" x14ac:dyDescent="0.25">
      <c r="A194" s="512"/>
      <c r="B194" s="512"/>
      <c r="C194" s="512"/>
      <c r="D194" s="512"/>
      <c r="E194" s="512" t="s">
        <v>1536</v>
      </c>
      <c r="F194" s="512"/>
      <c r="G194" s="512"/>
      <c r="H194" s="513">
        <v>845571.77</v>
      </c>
      <c r="K194" s="524">
        <f t="shared" si="21"/>
        <v>845571.77</v>
      </c>
    </row>
    <row r="195" spans="1:11" hidden="1" x14ac:dyDescent="0.25">
      <c r="A195" s="512"/>
      <c r="B195" s="512"/>
      <c r="C195" s="512"/>
      <c r="D195" s="512"/>
      <c r="E195" s="512" t="s">
        <v>1034</v>
      </c>
      <c r="F195" s="512"/>
      <c r="G195" s="512"/>
      <c r="H195" s="513">
        <v>7045584.3399999999</v>
      </c>
      <c r="K195" s="524">
        <f t="shared" si="21"/>
        <v>7045584.3399999999</v>
      </c>
    </row>
    <row r="196" spans="1:11" hidden="1" x14ac:dyDescent="0.25">
      <c r="A196" s="512"/>
      <c r="B196" s="512"/>
      <c r="C196" s="512"/>
      <c r="D196" s="512"/>
      <c r="E196" s="512" t="s">
        <v>1537</v>
      </c>
      <c r="F196" s="512"/>
      <c r="G196" s="512"/>
      <c r="H196" s="513">
        <v>4600969</v>
      </c>
      <c r="K196" s="524">
        <f t="shared" si="21"/>
        <v>4600969</v>
      </c>
    </row>
    <row r="197" spans="1:11" hidden="1" x14ac:dyDescent="0.25">
      <c r="A197" s="512"/>
      <c r="B197" s="512"/>
      <c r="C197" s="512"/>
      <c r="D197" s="512"/>
      <c r="E197" s="512" t="s">
        <v>1538</v>
      </c>
      <c r="F197" s="512"/>
      <c r="G197" s="512"/>
      <c r="H197" s="513">
        <v>223100</v>
      </c>
      <c r="K197" s="524">
        <f t="shared" si="21"/>
        <v>223100</v>
      </c>
    </row>
    <row r="198" spans="1:11" ht="15.75" hidden="1" thickBot="1" x14ac:dyDescent="0.3">
      <c r="A198" s="512"/>
      <c r="B198" s="512"/>
      <c r="C198" s="512"/>
      <c r="D198" s="512"/>
      <c r="E198" s="512" t="s">
        <v>1035</v>
      </c>
      <c r="F198" s="512"/>
      <c r="G198" s="512"/>
      <c r="H198" s="515">
        <v>233100</v>
      </c>
      <c r="K198" s="524">
        <f t="shared" si="21"/>
        <v>233100</v>
      </c>
    </row>
    <row r="199" spans="1:11" hidden="1" x14ac:dyDescent="0.25">
      <c r="A199" s="512"/>
      <c r="B199" s="512"/>
      <c r="C199" s="512"/>
      <c r="D199" s="512" t="s">
        <v>1036</v>
      </c>
      <c r="E199" s="512"/>
      <c r="F199" s="512"/>
      <c r="G199" s="512"/>
      <c r="H199" s="513">
        <f>ROUND(SUM(H184:H198),5)</f>
        <v>34415074.490000002</v>
      </c>
    </row>
    <row r="200" spans="1:11" hidden="1" x14ac:dyDescent="0.25">
      <c r="A200" s="512"/>
      <c r="B200" s="512"/>
      <c r="C200" s="512"/>
      <c r="D200" s="512" t="s">
        <v>1037</v>
      </c>
      <c r="E200" s="512"/>
      <c r="F200" s="512"/>
      <c r="G200" s="512"/>
      <c r="H200" s="529"/>
    </row>
    <row r="201" spans="1:11" hidden="1" x14ac:dyDescent="0.25">
      <c r="A201" s="512"/>
      <c r="B201" s="512"/>
      <c r="C201" s="512"/>
      <c r="D201" s="512"/>
      <c r="E201" s="512" t="s">
        <v>1038</v>
      </c>
      <c r="F201" s="512"/>
      <c r="G201" s="512"/>
      <c r="H201" s="529">
        <v>2000000</v>
      </c>
    </row>
    <row r="202" spans="1:11" hidden="1" x14ac:dyDescent="0.25">
      <c r="A202" s="512"/>
      <c r="B202" s="512"/>
      <c r="C202" s="512"/>
      <c r="D202" s="512"/>
      <c r="E202" s="512" t="s">
        <v>1039</v>
      </c>
      <c r="F202" s="512"/>
      <c r="G202" s="512"/>
      <c r="H202" s="529">
        <v>-2000000</v>
      </c>
    </row>
    <row r="203" spans="1:11" hidden="1" x14ac:dyDescent="0.25">
      <c r="A203" s="512"/>
      <c r="B203" s="512"/>
      <c r="C203" s="512"/>
      <c r="D203" s="512"/>
      <c r="E203" s="512" t="s">
        <v>1539</v>
      </c>
      <c r="F203" s="512"/>
      <c r="G203" s="512"/>
      <c r="H203" s="530">
        <v>750</v>
      </c>
    </row>
    <row r="204" spans="1:11" hidden="1" x14ac:dyDescent="0.25">
      <c r="A204" s="512"/>
      <c r="B204" s="512"/>
      <c r="C204" s="512"/>
      <c r="D204" s="512" t="s">
        <v>1040</v>
      </c>
      <c r="E204" s="512"/>
      <c r="F204" s="512"/>
      <c r="G204" s="512"/>
      <c r="H204" s="531">
        <f>ROUND(SUM(H200:H203),5)</f>
        <v>750</v>
      </c>
    </row>
    <row r="205" spans="1:11" ht="15.75" hidden="1" thickBot="1" x14ac:dyDescent="0.3">
      <c r="A205" s="512"/>
      <c r="B205" s="512"/>
      <c r="C205" s="512" t="s">
        <v>1042</v>
      </c>
      <c r="D205" s="512"/>
      <c r="E205" s="512"/>
      <c r="F205" s="512"/>
      <c r="G205" s="512"/>
      <c r="H205" s="517">
        <f>ROUND(H113+H183+H199+H204,5)</f>
        <v>186140046.27000001</v>
      </c>
    </row>
    <row r="206" spans="1:11" hidden="1" x14ac:dyDescent="0.25">
      <c r="A206" s="512"/>
      <c r="B206" s="512" t="s">
        <v>1043</v>
      </c>
      <c r="C206" s="512"/>
      <c r="D206" s="512"/>
      <c r="E206" s="512"/>
      <c r="F206" s="512"/>
      <c r="G206" s="512"/>
      <c r="H206" s="529">
        <f>ROUND(H112+H205,5)</f>
        <v>186140046.27000001</v>
      </c>
    </row>
    <row r="207" spans="1:11" hidden="1" x14ac:dyDescent="0.25">
      <c r="A207" s="512"/>
      <c r="B207" s="512" t="s">
        <v>1044</v>
      </c>
      <c r="C207" s="512"/>
      <c r="D207" s="512"/>
      <c r="E207" s="512"/>
      <c r="F207" s="512"/>
      <c r="G207" s="512"/>
      <c r="H207" s="529"/>
    </row>
    <row r="208" spans="1:11" hidden="1" x14ac:dyDescent="0.25">
      <c r="A208" s="512"/>
      <c r="B208" s="512"/>
      <c r="C208" s="512" t="s">
        <v>1045</v>
      </c>
      <c r="D208" s="512"/>
      <c r="E208" s="512"/>
      <c r="F208" s="512"/>
      <c r="G208" s="512"/>
      <c r="H208" s="529">
        <v>-395837</v>
      </c>
      <c r="K208" s="524">
        <f>+H208</f>
        <v>-395837</v>
      </c>
    </row>
    <row r="209" spans="1:25" hidden="1" x14ac:dyDescent="0.25">
      <c r="A209" s="512"/>
      <c r="B209" s="512"/>
      <c r="C209" s="512" t="s">
        <v>1046</v>
      </c>
      <c r="D209" s="512"/>
      <c r="E209" s="512"/>
      <c r="F209" s="512"/>
      <c r="G209" s="512"/>
      <c r="H209" s="529"/>
    </row>
    <row r="210" spans="1:25" hidden="1" x14ac:dyDescent="0.25">
      <c r="A210" s="512"/>
      <c r="B210" s="512"/>
      <c r="C210" s="512"/>
      <c r="D210" s="512" t="s">
        <v>1047</v>
      </c>
      <c r="E210" s="512"/>
      <c r="F210" s="512"/>
      <c r="G210" s="512"/>
      <c r="H210" s="530">
        <v>138105</v>
      </c>
      <c r="K210" s="524">
        <f>+H210</f>
        <v>138105</v>
      </c>
    </row>
    <row r="211" spans="1:25" hidden="1" x14ac:dyDescent="0.25">
      <c r="A211" s="512"/>
      <c r="B211" s="512"/>
      <c r="C211" s="512" t="s">
        <v>1048</v>
      </c>
      <c r="D211" s="512"/>
      <c r="E211" s="512"/>
      <c r="F211" s="512"/>
      <c r="G211" s="512"/>
      <c r="H211" s="518">
        <f>ROUND(SUM(H209:H210),5)</f>
        <v>138105</v>
      </c>
    </row>
    <row r="212" spans="1:25" hidden="1" x14ac:dyDescent="0.25">
      <c r="A212" s="512"/>
      <c r="B212" s="512" t="s">
        <v>1049</v>
      </c>
      <c r="C212" s="512"/>
      <c r="D212" s="512"/>
      <c r="E212" s="512"/>
      <c r="F212" s="512"/>
      <c r="G212" s="512"/>
      <c r="H212" s="518">
        <f>ROUND(SUM(H207:H208)+H211,5)</f>
        <v>-257732</v>
      </c>
    </row>
    <row r="213" spans="1:25" s="520" customFormat="1" ht="12" hidden="1" thickBot="1" x14ac:dyDescent="0.25">
      <c r="A213" s="512" t="s">
        <v>1050</v>
      </c>
      <c r="B213" s="512"/>
      <c r="C213" s="512"/>
      <c r="D213" s="512"/>
      <c r="E213" s="512"/>
      <c r="F213" s="512"/>
      <c r="G213" s="512"/>
      <c r="H213" s="519">
        <f>ROUND(H2+H111+H206+H212,5)</f>
        <v>537173217.19000006</v>
      </c>
    </row>
    <row r="214" spans="1:25" hidden="1" x14ac:dyDescent="0.25">
      <c r="A214" s="512" t="s">
        <v>1051</v>
      </c>
      <c r="B214" s="512"/>
      <c r="C214" s="512"/>
      <c r="D214" s="512"/>
      <c r="E214" s="512"/>
      <c r="F214" s="512"/>
      <c r="G214" s="512"/>
      <c r="H214" s="513"/>
    </row>
    <row r="215" spans="1:25" hidden="1" x14ac:dyDescent="0.25">
      <c r="A215" s="512"/>
      <c r="B215" s="512" t="s">
        <v>1052</v>
      </c>
      <c r="C215" s="512"/>
      <c r="D215" s="512"/>
      <c r="E215" s="512"/>
      <c r="F215" s="512"/>
      <c r="G215" s="512"/>
      <c r="H215" s="513"/>
    </row>
    <row r="216" spans="1:25" hidden="1" x14ac:dyDescent="0.25">
      <c r="A216" s="512"/>
      <c r="B216" s="512"/>
      <c r="C216" s="512" t="s">
        <v>52</v>
      </c>
      <c r="D216" s="512"/>
      <c r="E216" s="512"/>
      <c r="F216" s="512"/>
      <c r="G216" s="512"/>
      <c r="H216" s="513"/>
    </row>
    <row r="217" spans="1:25" hidden="1" x14ac:dyDescent="0.25">
      <c r="A217" s="512"/>
      <c r="B217" s="512"/>
      <c r="C217" s="512"/>
      <c r="D217" s="512" t="s">
        <v>1053</v>
      </c>
      <c r="E217" s="512"/>
      <c r="F217" s="512"/>
      <c r="G217" s="512"/>
      <c r="H217" s="513"/>
      <c r="Y217" s="537"/>
    </row>
    <row r="218" spans="1:25" hidden="1" x14ac:dyDescent="0.25">
      <c r="A218" s="512"/>
      <c r="B218" s="512"/>
      <c r="C218" s="512"/>
      <c r="D218" s="512"/>
      <c r="E218" s="512" t="s">
        <v>148</v>
      </c>
      <c r="F218" s="512"/>
      <c r="G218" s="512"/>
      <c r="H218" s="513">
        <v>53371408.729999997</v>
      </c>
      <c r="Y218" s="538">
        <f>+H218</f>
        <v>53371408.729999997</v>
      </c>
    </row>
    <row r="219" spans="1:25" hidden="1" x14ac:dyDescent="0.25">
      <c r="A219" s="512"/>
      <c r="B219" s="512"/>
      <c r="C219" s="512"/>
      <c r="D219" s="512"/>
      <c r="E219" s="512" t="s">
        <v>673</v>
      </c>
      <c r="F219" s="512"/>
      <c r="G219" s="512"/>
      <c r="H219" s="513">
        <v>-65391.75</v>
      </c>
      <c r="Y219" s="538">
        <f>+H219</f>
        <v>-65391.75</v>
      </c>
    </row>
    <row r="220" spans="1:25" ht="15.75" hidden="1" thickBot="1" x14ac:dyDescent="0.3">
      <c r="A220" s="512"/>
      <c r="B220" s="512"/>
      <c r="C220" s="512"/>
      <c r="D220" s="512"/>
      <c r="E220" s="512" t="s">
        <v>674</v>
      </c>
      <c r="F220" s="512"/>
      <c r="G220" s="512"/>
      <c r="H220" s="515">
        <v>6256137.7300000004</v>
      </c>
      <c r="X220" s="524">
        <f>+H220</f>
        <v>6256137.7300000004</v>
      </c>
    </row>
    <row r="221" spans="1:25" hidden="1" x14ac:dyDescent="0.25">
      <c r="A221" s="512"/>
      <c r="B221" s="512"/>
      <c r="C221" s="512"/>
      <c r="D221" s="512" t="s">
        <v>1054</v>
      </c>
      <c r="E221" s="512"/>
      <c r="F221" s="512"/>
      <c r="G221" s="512"/>
      <c r="H221" s="513">
        <f>ROUND(SUM(H217:H220),5)</f>
        <v>59562154.710000001</v>
      </c>
    </row>
    <row r="222" spans="1:25" hidden="1" x14ac:dyDescent="0.25">
      <c r="A222" s="512"/>
      <c r="B222" s="512"/>
      <c r="C222" s="512"/>
      <c r="D222" s="512" t="s">
        <v>490</v>
      </c>
      <c r="E222" s="512"/>
      <c r="F222" s="512"/>
      <c r="G222" s="512"/>
      <c r="H222" s="513"/>
    </row>
    <row r="223" spans="1:25" hidden="1" x14ac:dyDescent="0.25">
      <c r="A223" s="512"/>
      <c r="B223" s="512"/>
      <c r="C223" s="512"/>
      <c r="D223" s="512"/>
      <c r="E223" s="512" t="s">
        <v>1055</v>
      </c>
      <c r="F223" s="512"/>
      <c r="G223" s="512"/>
      <c r="H223" s="513"/>
    </row>
    <row r="224" spans="1:25" hidden="1" x14ac:dyDescent="0.25">
      <c r="A224" s="512"/>
      <c r="B224" s="512"/>
      <c r="C224" s="512"/>
      <c r="D224" s="512"/>
      <c r="E224" s="512"/>
      <c r="F224" s="512" t="s">
        <v>1056</v>
      </c>
      <c r="G224" s="512"/>
      <c r="H224" s="513">
        <v>336099.34</v>
      </c>
    </row>
    <row r="225" spans="1:25" hidden="1" x14ac:dyDescent="0.25">
      <c r="A225" s="512"/>
      <c r="B225" s="512"/>
      <c r="C225" s="512"/>
      <c r="D225" s="512"/>
      <c r="E225" s="512"/>
      <c r="F225" s="512" t="s">
        <v>1057</v>
      </c>
      <c r="G225" s="512"/>
      <c r="H225" s="516">
        <v>250652.26</v>
      </c>
    </row>
    <row r="226" spans="1:25" ht="15.75" hidden="1" thickBot="1" x14ac:dyDescent="0.3">
      <c r="A226" s="512"/>
      <c r="B226" s="512"/>
      <c r="C226" s="512"/>
      <c r="D226" s="512"/>
      <c r="E226" s="512" t="s">
        <v>1058</v>
      </c>
      <c r="F226" s="512"/>
      <c r="G226" s="512"/>
      <c r="H226" s="517">
        <f>ROUND(SUM(H223:H225),5)</f>
        <v>586751.6</v>
      </c>
      <c r="Y226" s="538">
        <f>+H226</f>
        <v>586751.6</v>
      </c>
    </row>
    <row r="227" spans="1:25" hidden="1" x14ac:dyDescent="0.25">
      <c r="A227" s="512"/>
      <c r="B227" s="512"/>
      <c r="C227" s="512"/>
      <c r="D227" s="512" t="s">
        <v>1059</v>
      </c>
      <c r="E227" s="512"/>
      <c r="F227" s="512"/>
      <c r="G227" s="512"/>
      <c r="H227" s="513">
        <f>ROUND(H222+H226,5)</f>
        <v>586751.6</v>
      </c>
    </row>
    <row r="228" spans="1:25" hidden="1" x14ac:dyDescent="0.25">
      <c r="A228" s="512"/>
      <c r="B228" s="512"/>
      <c r="C228" s="512"/>
      <c r="D228" s="512" t="s">
        <v>1060</v>
      </c>
      <c r="E228" s="512"/>
      <c r="F228" s="512"/>
      <c r="G228" s="512"/>
      <c r="H228" s="513"/>
    </row>
    <row r="229" spans="1:25" hidden="1" x14ac:dyDescent="0.25">
      <c r="A229" s="512"/>
      <c r="B229" s="512"/>
      <c r="C229" s="512"/>
      <c r="D229" s="512"/>
      <c r="E229" s="512" t="s">
        <v>1061</v>
      </c>
      <c r="F229" s="512"/>
      <c r="G229" s="512"/>
      <c r="H229" s="513"/>
    </row>
    <row r="230" spans="1:25" hidden="1" x14ac:dyDescent="0.25">
      <c r="A230" s="512"/>
      <c r="B230" s="512"/>
      <c r="C230" s="512"/>
      <c r="D230" s="512"/>
      <c r="E230" s="512"/>
      <c r="F230" s="512" t="s">
        <v>1062</v>
      </c>
      <c r="G230" s="512"/>
      <c r="H230" s="513">
        <v>30215030.09</v>
      </c>
      <c r="Y230" s="538">
        <f>+H230</f>
        <v>30215030.09</v>
      </c>
    </row>
    <row r="231" spans="1:25" hidden="1" x14ac:dyDescent="0.25">
      <c r="A231" s="512"/>
      <c r="B231" s="512"/>
      <c r="C231" s="512"/>
      <c r="D231" s="512"/>
      <c r="E231" s="512"/>
      <c r="F231" s="512" t="s">
        <v>1065</v>
      </c>
      <c r="G231" s="512"/>
      <c r="H231" s="513">
        <v>85071.3</v>
      </c>
      <c r="Y231" s="538">
        <f>+H231</f>
        <v>85071.3</v>
      </c>
    </row>
    <row r="232" spans="1:25" hidden="1" x14ac:dyDescent="0.25">
      <c r="A232" s="512"/>
      <c r="B232" s="512"/>
      <c r="C232" s="512"/>
      <c r="D232" s="512"/>
      <c r="E232" s="512"/>
      <c r="F232" s="512" t="s">
        <v>1066</v>
      </c>
      <c r="G232" s="512"/>
      <c r="H232" s="513">
        <v>47803.34</v>
      </c>
      <c r="Y232" s="538">
        <f>+H232</f>
        <v>47803.34</v>
      </c>
    </row>
    <row r="233" spans="1:25" ht="15.75" hidden="1" thickBot="1" x14ac:dyDescent="0.3">
      <c r="A233" s="512"/>
      <c r="B233" s="512"/>
      <c r="C233" s="512"/>
      <c r="D233" s="512"/>
      <c r="E233" s="512"/>
      <c r="F233" s="512" t="s">
        <v>1067</v>
      </c>
      <c r="G233" s="512"/>
      <c r="H233" s="526">
        <v>3344994</v>
      </c>
    </row>
    <row r="234" spans="1:25" hidden="1" x14ac:dyDescent="0.25">
      <c r="A234" s="512"/>
      <c r="B234" s="512"/>
      <c r="C234" s="512"/>
      <c r="D234" s="512"/>
      <c r="E234" s="512" t="s">
        <v>1068</v>
      </c>
      <c r="F234" s="512"/>
      <c r="G234" s="512"/>
      <c r="H234" s="513">
        <f>ROUND(SUM(H229:H233),5)</f>
        <v>33692898.729999997</v>
      </c>
    </row>
    <row r="235" spans="1:25" hidden="1" x14ac:dyDescent="0.25">
      <c r="A235" s="512"/>
      <c r="B235" s="512"/>
      <c r="C235" s="512"/>
      <c r="D235" s="512"/>
      <c r="E235" s="512" t="s">
        <v>1069</v>
      </c>
      <c r="F235" s="512"/>
      <c r="G235" s="512"/>
      <c r="H235" s="513"/>
    </row>
    <row r="236" spans="1:25" hidden="1" x14ac:dyDescent="0.25">
      <c r="A236" s="512"/>
      <c r="B236" s="512"/>
      <c r="C236" s="512"/>
      <c r="D236" s="512"/>
      <c r="E236" s="512"/>
      <c r="F236" s="512" t="s">
        <v>1070</v>
      </c>
      <c r="G236" s="512"/>
      <c r="H236" s="513">
        <v>-2500</v>
      </c>
      <c r="Y236" s="538">
        <f t="shared" ref="Y236:Y241" si="22">+H236</f>
        <v>-2500</v>
      </c>
    </row>
    <row r="237" spans="1:25" hidden="1" x14ac:dyDescent="0.25">
      <c r="A237" s="512"/>
      <c r="B237" s="512"/>
      <c r="C237" s="512"/>
      <c r="D237" s="512"/>
      <c r="E237" s="512"/>
      <c r="F237" s="512" t="s">
        <v>1071</v>
      </c>
      <c r="G237" s="512"/>
      <c r="H237" s="513">
        <v>272000</v>
      </c>
      <c r="Y237" s="538">
        <f t="shared" si="22"/>
        <v>272000</v>
      </c>
    </row>
    <row r="238" spans="1:25" hidden="1" x14ac:dyDescent="0.25">
      <c r="A238" s="512"/>
      <c r="B238" s="512"/>
      <c r="C238" s="512"/>
      <c r="D238" s="512"/>
      <c r="E238" s="512"/>
      <c r="F238" s="512" t="s">
        <v>1072</v>
      </c>
      <c r="G238" s="512"/>
      <c r="H238" s="513">
        <v>26670.92</v>
      </c>
      <c r="Y238" s="538">
        <f t="shared" si="22"/>
        <v>26670.92</v>
      </c>
    </row>
    <row r="239" spans="1:25" hidden="1" x14ac:dyDescent="0.25">
      <c r="A239" s="512"/>
      <c r="B239" s="512"/>
      <c r="C239" s="512"/>
      <c r="D239" s="512"/>
      <c r="E239" s="512"/>
      <c r="F239" s="512" t="s">
        <v>1540</v>
      </c>
      <c r="G239" s="512"/>
      <c r="H239" s="513">
        <v>6000</v>
      </c>
      <c r="Y239" s="524">
        <f t="shared" si="22"/>
        <v>6000</v>
      </c>
    </row>
    <row r="240" spans="1:25" hidden="1" x14ac:dyDescent="0.25">
      <c r="A240" s="512"/>
      <c r="B240" s="512"/>
      <c r="C240" s="512"/>
      <c r="D240" s="512"/>
      <c r="E240" s="512"/>
      <c r="F240" s="512" t="s">
        <v>1541</v>
      </c>
      <c r="G240" s="512"/>
      <c r="H240" s="513">
        <v>-301000</v>
      </c>
      <c r="Y240" s="524">
        <f t="shared" si="22"/>
        <v>-301000</v>
      </c>
    </row>
    <row r="241" spans="1:26" hidden="1" x14ac:dyDescent="0.25">
      <c r="A241" s="512"/>
      <c r="B241" s="512"/>
      <c r="C241" s="512"/>
      <c r="D241" s="512"/>
      <c r="E241" s="512"/>
      <c r="F241" s="512" t="s">
        <v>1073</v>
      </c>
      <c r="G241" s="512"/>
      <c r="H241" s="513">
        <v>600892.18999999994</v>
      </c>
      <c r="Y241" s="524">
        <f t="shared" si="22"/>
        <v>600892.18999999994</v>
      </c>
    </row>
    <row r="242" spans="1:26" hidden="1" x14ac:dyDescent="0.25">
      <c r="A242" s="512"/>
      <c r="B242" s="512"/>
      <c r="C242" s="512"/>
      <c r="D242" s="512"/>
      <c r="E242" s="512"/>
      <c r="F242" s="512" t="s">
        <v>1074</v>
      </c>
      <c r="G242" s="512"/>
      <c r="H242" s="513"/>
    </row>
    <row r="243" spans="1:26" hidden="1" x14ac:dyDescent="0.25">
      <c r="A243" s="512"/>
      <c r="B243" s="512"/>
      <c r="C243" s="512"/>
      <c r="D243" s="512"/>
      <c r="E243" s="512"/>
      <c r="F243" s="512"/>
      <c r="G243" s="512" t="s">
        <v>1075</v>
      </c>
      <c r="H243" s="513">
        <v>-92705.83</v>
      </c>
      <c r="X243" s="524">
        <f>+H243</f>
        <v>-92705.83</v>
      </c>
    </row>
    <row r="244" spans="1:26" hidden="1" x14ac:dyDescent="0.25">
      <c r="A244" s="512"/>
      <c r="B244" s="512"/>
      <c r="C244" s="512"/>
      <c r="D244" s="512"/>
      <c r="E244" s="512"/>
      <c r="F244" s="512"/>
      <c r="G244" s="512" t="s">
        <v>1076</v>
      </c>
      <c r="H244" s="513">
        <v>-38019467.450000003</v>
      </c>
      <c r="X244" s="524">
        <f>+H244</f>
        <v>-38019467.450000003</v>
      </c>
    </row>
    <row r="245" spans="1:26" hidden="1" x14ac:dyDescent="0.25">
      <c r="A245" s="512"/>
      <c r="B245" s="512"/>
      <c r="C245" s="512"/>
      <c r="D245" s="512"/>
      <c r="E245" s="512"/>
      <c r="F245" s="512"/>
      <c r="G245" s="512" t="s">
        <v>1542</v>
      </c>
      <c r="H245" s="513">
        <v>-152501.68</v>
      </c>
      <c r="X245" s="524">
        <f>+H245</f>
        <v>-152501.68</v>
      </c>
    </row>
    <row r="246" spans="1:26" hidden="1" x14ac:dyDescent="0.25">
      <c r="A246" s="512"/>
      <c r="B246" s="512"/>
      <c r="C246" s="512"/>
      <c r="D246" s="512"/>
      <c r="E246" s="512"/>
      <c r="F246" s="512"/>
      <c r="G246" s="512" t="s">
        <v>1543</v>
      </c>
      <c r="H246" s="513">
        <v>35240</v>
      </c>
      <c r="X246" s="524"/>
      <c r="Y246" s="524">
        <f>+H246</f>
        <v>35240</v>
      </c>
    </row>
    <row r="247" spans="1:26" ht="15.75" hidden="1" thickBot="1" x14ac:dyDescent="0.3">
      <c r="A247" s="512"/>
      <c r="B247" s="512"/>
      <c r="C247" s="512"/>
      <c r="D247" s="512"/>
      <c r="E247" s="512"/>
      <c r="F247" s="512"/>
      <c r="G247" s="512" t="s">
        <v>1544</v>
      </c>
      <c r="H247" s="515">
        <v>220790.84</v>
      </c>
      <c r="X247" s="524">
        <f>+H247</f>
        <v>220790.84</v>
      </c>
    </row>
    <row r="248" spans="1:26" hidden="1" x14ac:dyDescent="0.25">
      <c r="A248" s="512"/>
      <c r="B248" s="512"/>
      <c r="C248" s="512"/>
      <c r="D248" s="512"/>
      <c r="E248" s="512"/>
      <c r="F248" s="512" t="s">
        <v>1077</v>
      </c>
      <c r="G248" s="512"/>
      <c r="H248" s="513">
        <f>ROUND(SUM(H242:H247),5)</f>
        <v>-38008644.119999997</v>
      </c>
    </row>
    <row r="249" spans="1:26" hidden="1" x14ac:dyDescent="0.25">
      <c r="A249" s="512"/>
      <c r="B249" s="512"/>
      <c r="C249" s="512"/>
      <c r="D249" s="512"/>
      <c r="E249" s="512"/>
      <c r="F249" s="512" t="s">
        <v>1078</v>
      </c>
      <c r="G249" s="512"/>
      <c r="H249" s="513"/>
    </row>
    <row r="250" spans="1:26" hidden="1" x14ac:dyDescent="0.25">
      <c r="A250" s="512"/>
      <c r="B250" s="512"/>
      <c r="C250" s="512"/>
      <c r="D250" s="512"/>
      <c r="E250" s="512"/>
      <c r="F250" s="512"/>
      <c r="G250" s="512" t="s">
        <v>1079</v>
      </c>
      <c r="H250" s="513">
        <v>1874847</v>
      </c>
      <c r="Z250" s="524">
        <f>+H250</f>
        <v>1874847</v>
      </c>
    </row>
    <row r="251" spans="1:26" hidden="1" x14ac:dyDescent="0.25">
      <c r="A251" s="512"/>
      <c r="B251" s="512"/>
      <c r="C251" s="512"/>
      <c r="D251" s="512"/>
      <c r="E251" s="512"/>
      <c r="F251" s="512"/>
      <c r="G251" s="512" t="s">
        <v>1080</v>
      </c>
      <c r="H251" s="513">
        <v>8579487.0600000005</v>
      </c>
      <c r="Z251" s="524">
        <f>+H251</f>
        <v>8579487.0600000005</v>
      </c>
    </row>
    <row r="252" spans="1:26" ht="15.75" hidden="1" thickBot="1" x14ac:dyDescent="0.3">
      <c r="A252" s="512"/>
      <c r="B252" s="512"/>
      <c r="C252" s="512"/>
      <c r="D252" s="512"/>
      <c r="E252" s="512"/>
      <c r="F252" s="512"/>
      <c r="G252" s="512" t="s">
        <v>1081</v>
      </c>
      <c r="H252" s="515">
        <v>-23030</v>
      </c>
      <c r="Z252" s="524">
        <f>+H252</f>
        <v>-23030</v>
      </c>
    </row>
    <row r="253" spans="1:26" hidden="1" x14ac:dyDescent="0.25">
      <c r="A253" s="512"/>
      <c r="B253" s="512"/>
      <c r="C253" s="512"/>
      <c r="D253" s="512"/>
      <c r="E253" s="512"/>
      <c r="F253" s="512" t="s">
        <v>1082</v>
      </c>
      <c r="G253" s="512"/>
      <c r="H253" s="513">
        <f>ROUND(SUM(H249:H252),5)</f>
        <v>10431304.060000001</v>
      </c>
    </row>
    <row r="254" spans="1:26" hidden="1" x14ac:dyDescent="0.25">
      <c r="A254" s="512"/>
      <c r="B254" s="512"/>
      <c r="C254" s="512"/>
      <c r="D254" s="512"/>
      <c r="E254" s="512"/>
      <c r="F254" s="512" t="s">
        <v>1083</v>
      </c>
      <c r="G254" s="512"/>
      <c r="H254" s="513">
        <v>96340074.5</v>
      </c>
      <c r="Z254" s="524">
        <f>+H254</f>
        <v>96340074.5</v>
      </c>
    </row>
    <row r="255" spans="1:26" hidden="1" x14ac:dyDescent="0.25">
      <c r="A255" s="512"/>
      <c r="B255" s="512"/>
      <c r="C255" s="512"/>
      <c r="D255" s="512"/>
      <c r="E255" s="512"/>
      <c r="F255" s="512" t="s">
        <v>1084</v>
      </c>
      <c r="G255" s="512"/>
      <c r="H255" s="513">
        <v>1137374.92</v>
      </c>
      <c r="Z255" s="524">
        <f>+H255</f>
        <v>1137374.92</v>
      </c>
    </row>
    <row r="256" spans="1:26" hidden="1" x14ac:dyDescent="0.25">
      <c r="A256" s="512"/>
      <c r="B256" s="512"/>
      <c r="C256" s="512"/>
      <c r="D256" s="512"/>
      <c r="E256" s="512"/>
      <c r="F256" s="512" t="s">
        <v>1085</v>
      </c>
      <c r="G256" s="512"/>
      <c r="H256" s="513">
        <v>107410242.23</v>
      </c>
      <c r="Z256" s="524">
        <f>+H256</f>
        <v>107410242.23</v>
      </c>
    </row>
    <row r="257" spans="1:26" ht="15.75" hidden="1" thickBot="1" x14ac:dyDescent="0.3">
      <c r="A257" s="512"/>
      <c r="B257" s="512"/>
      <c r="C257" s="512"/>
      <c r="D257" s="512"/>
      <c r="E257" s="512"/>
      <c r="F257" s="512" t="s">
        <v>1545</v>
      </c>
      <c r="G257" s="512"/>
      <c r="H257" s="515">
        <v>-3318144.12</v>
      </c>
      <c r="Z257" s="524">
        <f>+H257</f>
        <v>-3318144.12</v>
      </c>
    </row>
    <row r="258" spans="1:26" hidden="1" x14ac:dyDescent="0.25">
      <c r="A258" s="512"/>
      <c r="B258" s="512"/>
      <c r="C258" s="512"/>
      <c r="D258" s="512"/>
      <c r="E258" s="512" t="s">
        <v>1086</v>
      </c>
      <c r="F258" s="512"/>
      <c r="G258" s="512"/>
      <c r="H258" s="513">
        <f>ROUND(SUM(H235:H241)+H248+SUM(H253:H257),5)</f>
        <v>174594270.58000001</v>
      </c>
    </row>
    <row r="259" spans="1:26" hidden="1" x14ac:dyDescent="0.25">
      <c r="A259" s="512"/>
      <c r="B259" s="512"/>
      <c r="C259" s="512"/>
      <c r="D259" s="512"/>
      <c r="E259" s="512" t="s">
        <v>522</v>
      </c>
      <c r="F259" s="512"/>
      <c r="G259" s="512"/>
      <c r="H259" s="513">
        <v>10000</v>
      </c>
      <c r="Y259" s="524">
        <f>+H259</f>
        <v>10000</v>
      </c>
    </row>
    <row r="260" spans="1:26" hidden="1" x14ac:dyDescent="0.25">
      <c r="A260" s="512"/>
      <c r="B260" s="512"/>
      <c r="C260" s="512"/>
      <c r="D260" s="512"/>
      <c r="E260" s="512" t="s">
        <v>1546</v>
      </c>
      <c r="F260" s="512"/>
      <c r="G260" s="512"/>
      <c r="H260" s="513">
        <v>1000000</v>
      </c>
      <c r="Y260" s="524">
        <f>+H260</f>
        <v>1000000</v>
      </c>
    </row>
    <row r="261" spans="1:26" hidden="1" x14ac:dyDescent="0.25">
      <c r="A261" s="512"/>
      <c r="B261" s="512"/>
      <c r="C261" s="512"/>
      <c r="D261" s="512"/>
      <c r="E261" s="512" t="s">
        <v>1547</v>
      </c>
      <c r="F261" s="512"/>
      <c r="G261" s="512"/>
      <c r="H261" s="513">
        <v>38608</v>
      </c>
      <c r="Y261" s="524"/>
      <c r="Z261" s="524">
        <f>+H261</f>
        <v>38608</v>
      </c>
    </row>
    <row r="262" spans="1:26" hidden="1" x14ac:dyDescent="0.25">
      <c r="A262" s="512"/>
      <c r="B262" s="512"/>
      <c r="C262" s="512"/>
      <c r="D262" s="512"/>
      <c r="E262" s="512" t="s">
        <v>684</v>
      </c>
      <c r="F262" s="512"/>
      <c r="G262" s="512"/>
      <c r="H262" s="513">
        <v>4609157.72</v>
      </c>
      <c r="Y262" s="524"/>
      <c r="Z262" s="524">
        <f>+H262</f>
        <v>4609157.72</v>
      </c>
    </row>
    <row r="263" spans="1:26" hidden="1" x14ac:dyDescent="0.25">
      <c r="A263" s="512"/>
      <c r="B263" s="512"/>
      <c r="C263" s="512"/>
      <c r="D263" s="512"/>
      <c r="E263" s="512" t="s">
        <v>685</v>
      </c>
      <c r="F263" s="512"/>
      <c r="G263" s="512"/>
      <c r="H263" s="516">
        <v>13352356.07</v>
      </c>
      <c r="Y263" s="524"/>
      <c r="Z263" s="524">
        <f>+H263</f>
        <v>13352356.07</v>
      </c>
    </row>
    <row r="264" spans="1:26" ht="15.75" hidden="1" thickBot="1" x14ac:dyDescent="0.3">
      <c r="A264" s="512"/>
      <c r="B264" s="512"/>
      <c r="C264" s="512"/>
      <c r="D264" s="512" t="s">
        <v>1087</v>
      </c>
      <c r="E264" s="512"/>
      <c r="F264" s="512"/>
      <c r="G264" s="512"/>
      <c r="H264" s="517">
        <f>ROUND(H228+H234+SUM(H258:H263),5)</f>
        <v>227297291.09999999</v>
      </c>
    </row>
    <row r="265" spans="1:26" hidden="1" x14ac:dyDescent="0.25">
      <c r="A265" s="512"/>
      <c r="B265" s="512"/>
      <c r="C265" s="512" t="s">
        <v>3</v>
      </c>
      <c r="D265" s="512"/>
      <c r="E265" s="512"/>
      <c r="F265" s="512"/>
      <c r="G265" s="512"/>
      <c r="H265" s="513">
        <f>ROUND(H216+H221+H227+H264,5)</f>
        <v>287446197.41000003</v>
      </c>
    </row>
    <row r="266" spans="1:26" hidden="1" x14ac:dyDescent="0.25">
      <c r="A266" s="512"/>
      <c r="B266" s="512"/>
      <c r="C266" s="512" t="s">
        <v>1088</v>
      </c>
      <c r="D266" s="512"/>
      <c r="E266" s="512"/>
      <c r="F266" s="512"/>
      <c r="G266" s="512"/>
      <c r="H266" s="513"/>
    </row>
    <row r="267" spans="1:26" hidden="1" x14ac:dyDescent="0.25">
      <c r="A267" s="512"/>
      <c r="B267" s="512"/>
      <c r="C267" s="512"/>
      <c r="D267" s="512" t="s">
        <v>1089</v>
      </c>
      <c r="E267" s="512"/>
      <c r="F267" s="512"/>
      <c r="G267" s="512"/>
      <c r="H267" s="513"/>
    </row>
    <row r="268" spans="1:26" hidden="1" x14ac:dyDescent="0.25">
      <c r="A268" s="512"/>
      <c r="B268" s="512"/>
      <c r="C268" s="512"/>
      <c r="D268" s="512"/>
      <c r="E268" s="512" t="s">
        <v>1090</v>
      </c>
      <c r="F268" s="512"/>
      <c r="G268" s="512"/>
      <c r="H268" s="513">
        <v>11599969.24</v>
      </c>
      <c r="W268" s="524">
        <f t="shared" ref="W268:W290" si="23">+H268</f>
        <v>11599969.24</v>
      </c>
    </row>
    <row r="269" spans="1:26" hidden="1" x14ac:dyDescent="0.25">
      <c r="A269" s="512"/>
      <c r="B269" s="512"/>
      <c r="C269" s="512"/>
      <c r="D269" s="512"/>
      <c r="E269" s="512" t="s">
        <v>1091</v>
      </c>
      <c r="F269" s="512"/>
      <c r="G269" s="512"/>
      <c r="H269" s="513">
        <v>12699028.67</v>
      </c>
      <c r="W269" s="524">
        <f t="shared" si="23"/>
        <v>12699028.67</v>
      </c>
    </row>
    <row r="270" spans="1:26" hidden="1" x14ac:dyDescent="0.25">
      <c r="A270" s="512"/>
      <c r="B270" s="512"/>
      <c r="C270" s="512"/>
      <c r="D270" s="512"/>
      <c r="E270" s="512" t="s">
        <v>1548</v>
      </c>
      <c r="F270" s="512"/>
      <c r="G270" s="512"/>
      <c r="H270" s="513">
        <v>623893</v>
      </c>
      <c r="W270" s="524">
        <f t="shared" si="23"/>
        <v>623893</v>
      </c>
    </row>
    <row r="271" spans="1:26" hidden="1" x14ac:dyDescent="0.25">
      <c r="A271" s="512"/>
      <c r="B271" s="512"/>
      <c r="C271" s="512"/>
      <c r="D271" s="512"/>
      <c r="E271" s="512" t="s">
        <v>1093</v>
      </c>
      <c r="F271" s="512"/>
      <c r="G271" s="512"/>
      <c r="H271" s="513">
        <v>3112210.4</v>
      </c>
      <c r="W271" s="524">
        <f t="shared" si="23"/>
        <v>3112210.4</v>
      </c>
    </row>
    <row r="272" spans="1:26" hidden="1" x14ac:dyDescent="0.25">
      <c r="A272" s="512"/>
      <c r="B272" s="512"/>
      <c r="C272" s="512"/>
      <c r="D272" s="512"/>
      <c r="E272" s="512" t="s">
        <v>1549</v>
      </c>
      <c r="F272" s="512"/>
      <c r="G272" s="512"/>
      <c r="H272" s="513">
        <v>3018767</v>
      </c>
      <c r="W272" s="524">
        <f t="shared" si="23"/>
        <v>3018767</v>
      </c>
    </row>
    <row r="273" spans="1:23" hidden="1" x14ac:dyDescent="0.25">
      <c r="A273" s="512"/>
      <c r="B273" s="512"/>
      <c r="C273" s="512"/>
      <c r="D273" s="512"/>
      <c r="E273" s="512" t="s">
        <v>1550</v>
      </c>
      <c r="F273" s="512"/>
      <c r="G273" s="512"/>
      <c r="H273" s="513">
        <v>8067466.6100000003</v>
      </c>
      <c r="W273" s="524">
        <f t="shared" si="23"/>
        <v>8067466.6100000003</v>
      </c>
    </row>
    <row r="274" spans="1:23" hidden="1" x14ac:dyDescent="0.25">
      <c r="A274" s="512"/>
      <c r="B274" s="512"/>
      <c r="C274" s="512"/>
      <c r="D274" s="512"/>
      <c r="E274" s="512" t="s">
        <v>1094</v>
      </c>
      <c r="F274" s="512"/>
      <c r="G274" s="512"/>
      <c r="H274" s="513">
        <v>1483227</v>
      </c>
      <c r="W274" s="524">
        <f t="shared" si="23"/>
        <v>1483227</v>
      </c>
    </row>
    <row r="275" spans="1:23" hidden="1" x14ac:dyDescent="0.25">
      <c r="A275" s="512"/>
      <c r="B275" s="512"/>
      <c r="C275" s="512"/>
      <c r="D275" s="512"/>
      <c r="E275" s="512" t="s">
        <v>1551</v>
      </c>
      <c r="F275" s="512"/>
      <c r="G275" s="512"/>
      <c r="H275" s="513">
        <v>4999495.21</v>
      </c>
      <c r="W275" s="524">
        <f t="shared" si="23"/>
        <v>4999495.21</v>
      </c>
    </row>
    <row r="276" spans="1:23" hidden="1" x14ac:dyDescent="0.25">
      <c r="A276" s="512"/>
      <c r="B276" s="512"/>
      <c r="C276" s="512"/>
      <c r="D276" s="512"/>
      <c r="E276" s="512" t="s">
        <v>1096</v>
      </c>
      <c r="F276" s="512"/>
      <c r="G276" s="512"/>
      <c r="H276" s="513">
        <v>2146011</v>
      </c>
      <c r="W276" s="524">
        <f t="shared" si="23"/>
        <v>2146011</v>
      </c>
    </row>
    <row r="277" spans="1:23" hidden="1" x14ac:dyDescent="0.25">
      <c r="A277" s="512"/>
      <c r="B277" s="512"/>
      <c r="C277" s="512"/>
      <c r="D277" s="512"/>
      <c r="E277" s="512" t="s">
        <v>1097</v>
      </c>
      <c r="F277" s="512"/>
      <c r="G277" s="512"/>
      <c r="H277" s="513">
        <v>-644705.51</v>
      </c>
      <c r="W277" s="524">
        <f t="shared" si="23"/>
        <v>-644705.51</v>
      </c>
    </row>
    <row r="278" spans="1:23" hidden="1" x14ac:dyDescent="0.25">
      <c r="A278" s="512"/>
      <c r="B278" s="512"/>
      <c r="C278" s="512"/>
      <c r="D278" s="512"/>
      <c r="E278" s="512" t="s">
        <v>1098</v>
      </c>
      <c r="F278" s="512"/>
      <c r="G278" s="512"/>
      <c r="H278" s="513">
        <v>1907595</v>
      </c>
      <c r="W278" s="524">
        <f t="shared" si="23"/>
        <v>1907595</v>
      </c>
    </row>
    <row r="279" spans="1:23" hidden="1" x14ac:dyDescent="0.25">
      <c r="A279" s="512"/>
      <c r="B279" s="512"/>
      <c r="C279" s="512"/>
      <c r="D279" s="512"/>
      <c r="E279" s="512" t="s">
        <v>1099</v>
      </c>
      <c r="F279" s="512"/>
      <c r="G279" s="512"/>
      <c r="H279" s="513">
        <v>-573103.56000000006</v>
      </c>
      <c r="W279" s="524">
        <f t="shared" si="23"/>
        <v>-573103.56000000006</v>
      </c>
    </row>
    <row r="280" spans="1:23" hidden="1" x14ac:dyDescent="0.25">
      <c r="A280" s="512"/>
      <c r="B280" s="512"/>
      <c r="C280" s="512"/>
      <c r="D280" s="512"/>
      <c r="E280" s="512" t="s">
        <v>1100</v>
      </c>
      <c r="F280" s="512"/>
      <c r="G280" s="512"/>
      <c r="H280" s="513">
        <v>7916666.9400000004</v>
      </c>
      <c r="W280" s="524">
        <f t="shared" si="23"/>
        <v>7916666.9400000004</v>
      </c>
    </row>
    <row r="281" spans="1:23" hidden="1" x14ac:dyDescent="0.25">
      <c r="A281" s="512"/>
      <c r="B281" s="512"/>
      <c r="C281" s="512"/>
      <c r="D281" s="512"/>
      <c r="E281" s="512" t="s">
        <v>1552</v>
      </c>
      <c r="F281" s="512"/>
      <c r="G281" s="512"/>
      <c r="H281" s="513">
        <v>8882471.7699999996</v>
      </c>
      <c r="W281" s="524">
        <f t="shared" si="23"/>
        <v>8882471.7699999996</v>
      </c>
    </row>
    <row r="282" spans="1:23" hidden="1" x14ac:dyDescent="0.25">
      <c r="A282" s="512"/>
      <c r="B282" s="512"/>
      <c r="C282" s="512"/>
      <c r="D282" s="512"/>
      <c r="E282" s="512" t="s">
        <v>1553</v>
      </c>
      <c r="F282" s="512"/>
      <c r="G282" s="512"/>
      <c r="H282" s="513">
        <v>534840</v>
      </c>
      <c r="W282" s="524">
        <f t="shared" si="23"/>
        <v>534840</v>
      </c>
    </row>
    <row r="283" spans="1:23" hidden="1" x14ac:dyDescent="0.25">
      <c r="A283" s="512"/>
      <c r="B283" s="512"/>
      <c r="C283" s="512"/>
      <c r="D283" s="512"/>
      <c r="E283" s="512" t="s">
        <v>1554</v>
      </c>
      <c r="F283" s="512"/>
      <c r="G283" s="512"/>
      <c r="H283" s="513">
        <v>2702394.97</v>
      </c>
      <c r="W283" s="524">
        <f t="shared" si="23"/>
        <v>2702394.97</v>
      </c>
    </row>
    <row r="284" spans="1:23" hidden="1" x14ac:dyDescent="0.25">
      <c r="A284" s="512"/>
      <c r="B284" s="512"/>
      <c r="C284" s="512"/>
      <c r="D284" s="512"/>
      <c r="E284" s="512" t="s">
        <v>1555</v>
      </c>
      <c r="F284" s="512"/>
      <c r="G284" s="512"/>
      <c r="H284" s="513">
        <v>2025870</v>
      </c>
      <c r="W284" s="524">
        <f t="shared" si="23"/>
        <v>2025870</v>
      </c>
    </row>
    <row r="285" spans="1:23" hidden="1" x14ac:dyDescent="0.25">
      <c r="A285" s="512"/>
      <c r="B285" s="512"/>
      <c r="C285" s="512"/>
      <c r="D285" s="512"/>
      <c r="E285" s="512" t="s">
        <v>1556</v>
      </c>
      <c r="F285" s="512"/>
      <c r="G285" s="512"/>
      <c r="H285" s="513">
        <v>-458685.94</v>
      </c>
      <c r="W285" s="524">
        <f t="shared" si="23"/>
        <v>-458685.94</v>
      </c>
    </row>
    <row r="286" spans="1:23" hidden="1" x14ac:dyDescent="0.25">
      <c r="A286" s="512"/>
      <c r="B286" s="512"/>
      <c r="C286" s="512"/>
      <c r="D286" s="512"/>
      <c r="E286" s="512" t="s">
        <v>1557</v>
      </c>
      <c r="F286" s="512"/>
      <c r="G286" s="512"/>
      <c r="H286" s="513">
        <v>24728190.48</v>
      </c>
      <c r="W286" s="524">
        <f t="shared" si="23"/>
        <v>24728190.48</v>
      </c>
    </row>
    <row r="287" spans="1:23" hidden="1" x14ac:dyDescent="0.25">
      <c r="A287" s="512"/>
      <c r="B287" s="512"/>
      <c r="C287" s="512"/>
      <c r="D287" s="512"/>
      <c r="E287" s="512" t="s">
        <v>1558</v>
      </c>
      <c r="F287" s="512"/>
      <c r="G287" s="512"/>
      <c r="H287" s="513">
        <v>-2574759.83</v>
      </c>
      <c r="W287" s="524">
        <f t="shared" si="23"/>
        <v>-2574759.83</v>
      </c>
    </row>
    <row r="288" spans="1:23" hidden="1" x14ac:dyDescent="0.25">
      <c r="A288" s="512"/>
      <c r="B288" s="512"/>
      <c r="C288" s="512"/>
      <c r="D288" s="512"/>
      <c r="E288" s="512" t="s">
        <v>1559</v>
      </c>
      <c r="F288" s="512"/>
      <c r="G288" s="512"/>
      <c r="H288" s="513">
        <v>7465797</v>
      </c>
      <c r="W288" s="524">
        <f t="shared" si="23"/>
        <v>7465797</v>
      </c>
    </row>
    <row r="289" spans="1:26" hidden="1" x14ac:dyDescent="0.25">
      <c r="A289" s="512"/>
      <c r="B289" s="512"/>
      <c r="C289" s="512"/>
      <c r="D289" s="512"/>
      <c r="E289" s="512" t="s">
        <v>1560</v>
      </c>
      <c r="F289" s="512"/>
      <c r="G289" s="512"/>
      <c r="H289" s="513">
        <v>-142352.51</v>
      </c>
      <c r="W289" s="524">
        <f t="shared" si="23"/>
        <v>-142352.51</v>
      </c>
    </row>
    <row r="290" spans="1:26" hidden="1" x14ac:dyDescent="0.25">
      <c r="A290" s="512"/>
      <c r="B290" s="512"/>
      <c r="C290" s="512"/>
      <c r="D290" s="512"/>
      <c r="E290" s="512" t="s">
        <v>1561</v>
      </c>
      <c r="F290" s="512"/>
      <c r="G290" s="512"/>
      <c r="H290" s="516">
        <v>-142637.07</v>
      </c>
      <c r="W290" s="524">
        <f t="shared" si="23"/>
        <v>-142637.07</v>
      </c>
    </row>
    <row r="291" spans="1:26" hidden="1" x14ac:dyDescent="0.25">
      <c r="A291" s="512"/>
      <c r="B291" s="512"/>
      <c r="C291" s="512"/>
      <c r="D291" s="512" t="s">
        <v>1101</v>
      </c>
      <c r="E291" s="512"/>
      <c r="F291" s="512"/>
      <c r="G291" s="512"/>
      <c r="H291" s="518">
        <f>ROUND(SUM(H267:H290),5)</f>
        <v>99377649.870000005</v>
      </c>
    </row>
    <row r="292" spans="1:26" ht="15.75" hidden="1" thickBot="1" x14ac:dyDescent="0.3">
      <c r="A292" s="512"/>
      <c r="B292" s="512"/>
      <c r="C292" s="512" t="s">
        <v>1102</v>
      </c>
      <c r="D292" s="512"/>
      <c r="E292" s="512"/>
      <c r="F292" s="512"/>
      <c r="G292" s="512"/>
      <c r="H292" s="517">
        <f>ROUND(H266+H291,5)</f>
        <v>99377649.870000005</v>
      </c>
    </row>
    <row r="293" spans="1:26" hidden="1" x14ac:dyDescent="0.25">
      <c r="A293" s="512"/>
      <c r="B293" s="512" t="s">
        <v>1103</v>
      </c>
      <c r="C293" s="512"/>
      <c r="D293" s="512"/>
      <c r="E293" s="512"/>
      <c r="F293" s="512"/>
      <c r="G293" s="512"/>
      <c r="H293" s="513">
        <f>ROUND(H215+H265+H292,5)</f>
        <v>386823847.27999997</v>
      </c>
    </row>
    <row r="294" spans="1:26" hidden="1" x14ac:dyDescent="0.25">
      <c r="A294" s="512"/>
      <c r="B294" s="512" t="s">
        <v>2</v>
      </c>
      <c r="C294" s="512"/>
      <c r="D294" s="512"/>
      <c r="E294" s="512"/>
      <c r="F294" s="512"/>
      <c r="G294" s="512"/>
      <c r="H294" s="513"/>
    </row>
    <row r="295" spans="1:26" hidden="1" x14ac:dyDescent="0.25">
      <c r="A295" s="512"/>
      <c r="B295" s="512"/>
      <c r="C295" s="512" t="s">
        <v>175</v>
      </c>
      <c r="D295" s="512"/>
      <c r="E295" s="512"/>
      <c r="F295" s="512"/>
      <c r="G295" s="512"/>
      <c r="H295" s="513"/>
    </row>
    <row r="296" spans="1:26" hidden="1" x14ac:dyDescent="0.25">
      <c r="A296" s="512"/>
      <c r="B296" s="512"/>
      <c r="C296" s="512"/>
      <c r="D296" s="512" t="s">
        <v>1104</v>
      </c>
      <c r="E296" s="512"/>
      <c r="F296" s="512"/>
      <c r="G296" s="512"/>
      <c r="H296" s="527">
        <v>2000020</v>
      </c>
    </row>
    <row r="297" spans="1:26" ht="15.75" hidden="1" thickBot="1" x14ac:dyDescent="0.3">
      <c r="A297" s="512"/>
      <c r="B297" s="512"/>
      <c r="C297" s="512"/>
      <c r="D297" s="512" t="s">
        <v>1107</v>
      </c>
      <c r="E297" s="512"/>
      <c r="F297" s="512"/>
      <c r="G297" s="512"/>
      <c r="H297" s="526">
        <v>24639053.23</v>
      </c>
    </row>
    <row r="298" spans="1:26" hidden="1" x14ac:dyDescent="0.25">
      <c r="A298" s="512"/>
      <c r="B298" s="512"/>
      <c r="C298" s="512" t="s">
        <v>1108</v>
      </c>
      <c r="D298" s="512"/>
      <c r="E298" s="512"/>
      <c r="F298" s="512"/>
      <c r="G298" s="512"/>
      <c r="H298" s="513">
        <f>ROUND(SUM(H295:H297),5)</f>
        <v>26639073.23</v>
      </c>
    </row>
    <row r="299" spans="1:26" hidden="1" x14ac:dyDescent="0.25">
      <c r="A299" s="512"/>
      <c r="B299" s="512"/>
      <c r="C299" s="512" t="s">
        <v>178</v>
      </c>
      <c r="D299" s="512"/>
      <c r="E299" s="512"/>
      <c r="F299" s="512"/>
      <c r="G299" s="512"/>
      <c r="H299" s="513">
        <v>116023889.08</v>
      </c>
    </row>
    <row r="300" spans="1:26" hidden="1" x14ac:dyDescent="0.25">
      <c r="A300" s="512"/>
      <c r="B300" s="512"/>
      <c r="C300" s="512" t="s">
        <v>1109</v>
      </c>
      <c r="D300" s="512"/>
      <c r="E300" s="512"/>
      <c r="F300" s="512"/>
      <c r="G300" s="512"/>
      <c r="H300" s="516">
        <v>7686407.5999999996</v>
      </c>
    </row>
    <row r="301" spans="1:26" hidden="1" x14ac:dyDescent="0.25">
      <c r="A301" s="512"/>
      <c r="B301" s="512" t="s">
        <v>68</v>
      </c>
      <c r="C301" s="512"/>
      <c r="D301" s="512"/>
      <c r="E301" s="512"/>
      <c r="F301" s="512"/>
      <c r="G301" s="512"/>
      <c r="H301" s="518">
        <f>ROUND(H294+SUM(H298:H300),5)</f>
        <v>150349369.91</v>
      </c>
    </row>
    <row r="302" spans="1:26" s="520" customFormat="1" ht="12" hidden="1" thickBot="1" x14ac:dyDescent="0.25">
      <c r="A302" s="512" t="s">
        <v>1110</v>
      </c>
      <c r="B302" s="512"/>
      <c r="C302" s="512"/>
      <c r="D302" s="512"/>
      <c r="E302" s="512"/>
      <c r="F302" s="512"/>
      <c r="G302" s="512"/>
      <c r="H302" s="519">
        <f>ROUND(H214+H293+H301,5)</f>
        <v>537173217.19000006</v>
      </c>
      <c r="I302" s="528">
        <f>SUM(I2:I301)</f>
        <v>13107843.01</v>
      </c>
      <c r="J302" s="528">
        <f t="shared" ref="J302:Z302" si="24">SUM(J2:J301)</f>
        <v>-9499293.7100000009</v>
      </c>
      <c r="K302" s="528">
        <f t="shared" si="24"/>
        <v>186075314.17000002</v>
      </c>
      <c r="L302" s="528">
        <f t="shared" si="24"/>
        <v>0</v>
      </c>
      <c r="M302" s="528">
        <f t="shared" si="24"/>
        <v>0</v>
      </c>
      <c r="N302" s="528">
        <f t="shared" si="24"/>
        <v>0</v>
      </c>
      <c r="O302" s="528">
        <f t="shared" si="24"/>
        <v>8121256.1600000001</v>
      </c>
      <c r="P302" s="528">
        <f t="shared" si="24"/>
        <v>56440553.110000007</v>
      </c>
      <c r="Q302" s="528">
        <f t="shared" si="24"/>
        <v>282926794.45000005</v>
      </c>
      <c r="R302" s="528">
        <f t="shared" si="24"/>
        <v>0</v>
      </c>
      <c r="S302" s="528">
        <f t="shared" si="24"/>
        <v>0</v>
      </c>
      <c r="T302" s="528">
        <f t="shared" si="24"/>
        <v>0</v>
      </c>
      <c r="U302" s="528">
        <f t="shared" si="24"/>
        <v>0</v>
      </c>
      <c r="V302" s="528">
        <f t="shared" si="24"/>
        <v>0</v>
      </c>
      <c r="W302" s="528">
        <f t="shared" si="24"/>
        <v>99377649.870000005</v>
      </c>
      <c r="X302" s="528">
        <f>SUM(X2:X301)</f>
        <v>-31787746.390000004</v>
      </c>
      <c r="Y302" s="542">
        <f t="shared" si="24"/>
        <v>85887976.420000002</v>
      </c>
      <c r="Z302" s="528">
        <f t="shared" si="24"/>
        <v>230000973.38</v>
      </c>
    </row>
    <row r="303" spans="1:26" hidden="1" x14ac:dyDescent="0.25"/>
    <row r="305" spans="27:36" ht="15.75" thickBot="1" x14ac:dyDescent="0.3">
      <c r="AA305" s="687">
        <f>SUBTOTAL(9,AA67:AA304)</f>
        <v>110130176</v>
      </c>
      <c r="AB305" s="687">
        <f t="shared" ref="AB305:AJ305" si="25">SUBTOTAL(9,AB67:AB304)</f>
        <v>38707399.640000001</v>
      </c>
      <c r="AC305" s="687">
        <f t="shared" si="25"/>
        <v>15973055</v>
      </c>
      <c r="AD305" s="687">
        <f t="shared" si="25"/>
        <v>15342311.629999999</v>
      </c>
      <c r="AE305" s="687">
        <f t="shared" si="25"/>
        <v>9364583.0899999999</v>
      </c>
      <c r="AF305" s="687">
        <f t="shared" si="25"/>
        <v>14601047.6</v>
      </c>
      <c r="AG305" s="687">
        <f t="shared" si="25"/>
        <v>8843507.8200000003</v>
      </c>
      <c r="AH305" s="687">
        <f t="shared" si="25"/>
        <v>0</v>
      </c>
      <c r="AI305" s="687">
        <f t="shared" si="25"/>
        <v>4000422.45</v>
      </c>
      <c r="AJ305" s="687">
        <f t="shared" si="25"/>
        <v>6156839</v>
      </c>
    </row>
    <row r="306" spans="27:36" ht="15.75" thickTop="1" x14ac:dyDescent="0.25"/>
  </sheetData>
  <autoFilter ref="A1:AJ303" xr:uid="{317C6AFB-76A4-4B1D-84AE-3CD53DDD556F}">
    <filterColumn colId="5">
      <filters>
        <filter val="1111010 · Cost - Land at Wagawatta,Horana"/>
        <filter val="1111020 · Cost - Land at Wadduwa - 1"/>
        <filter val="1111021 · Cost - Land at Wadduwa - 2"/>
        <filter val="1111023 · Cost - Land @ Wadduwa (4)"/>
        <filter val="1111024 · Cost Land @ Wadduwa - 5"/>
        <filter val="1111025 · Cost - Land at Wadduwa - 6"/>
        <filter val="1111050 · Cost - Land at Ingiriya - 1"/>
        <filter val="1111051 · Cost - Land @ Ingiriya - 2"/>
        <filter val="1111052 · Cost @ Nawala Land"/>
        <filter val="1111053 · Bolgoda Land 2-(Rosa)"/>
        <filter val="1111100 · Cost - Office Building"/>
        <filter val="1111110 · Cost - Quarters"/>
        <filter val="1111120 · Cost - Packing Area 1 &amp; 2"/>
        <filter val="1111130 · Condition,Breading,Sales &amp; Livi"/>
        <filter val="1111140 · Cost - Fish Tanks"/>
        <filter val="1111150 · Cost - Anemone Fish Tanks"/>
        <filter val="1111200 · Cost - Buildings @ Wadduwa"/>
        <filter val="1111220 · Cost - Fish Tanks @ Wadduwa"/>
        <filter val="1111310 · Cost - Madala Ponds"/>
        <filter val="1111900 · Acc. Dep.- Buildings"/>
        <filter val="1111910 · Horana farm Buildings"/>
        <filter val="1112010 · Cost - Mortor Vehicle - Other"/>
        <filter val="1112020 · Cost -JMC Double Wheel Crew Cab"/>
        <filter val="1112050 · Cost - Double Cab"/>
        <filter val="1112100 · Cost - Lorry LE-6012 Lease Hold"/>
        <filter val="1112120 · Cost - Truck PP 9611 (CTF)"/>
        <filter val="1112140 · Cost - Toyota Pick-Up LK-0500"/>
        <filter val="1112150 · Cost - Susuki Swift WP KF-6766"/>
        <filter val="1112500 · Cost - Motor Bikes"/>
        <filter val="1112900 · Acc. Dep.- Motor Vehicles"/>
        <filter val="1113000 · Computers and Accessories - Other"/>
        <filter val="1113010 · Cost - Computers &amp; Accessories"/>
        <filter val="1113020 · Cost - Safty Camera System"/>
        <filter val="1113030 · Cost - Access Conrol System"/>
        <filter val="1113500 · Cost - Software &amp; Programs"/>
        <filter val="1113900 · Acc. Dep.- Computers &amp; Access."/>
        <filter val="1114000 · Office Equipments - Other"/>
        <filter val="1114010 · Cost - Office Equipment"/>
        <filter val="1114900 · Acc. Dep.- Office Equipments"/>
        <filter val="1115000 · Furniture &amp; Fittings - Other"/>
        <filter val="1115010 · Cost - Furniture &amp; Fittings"/>
        <filter val="1115900 · Acc. Dep.- Furniture &amp; Fittings"/>
        <filter val="1116010 · Cost - Fram Equipments"/>
        <filter val="1116020 · Cost - Generator Lease Hold"/>
        <filter val="1116030 · Cost - Farm Motor and Blowers"/>
        <filter val="1116040 · Cost - Wadduwa Equipments"/>
        <filter val="1116900 · Acc. Dep.- Fram Equipments"/>
        <filter val="1117000 · Wadduwa Equipments - Other"/>
        <filter val="1117020 · Cost - Wadduwa Furniture &amp; Fitt"/>
        <filter val="1117050 · Cost -Wadduwa Solar pv Equipmen"/>
        <filter val="1117900 · Acc. Dep.- Wadduwa Equipments"/>
        <filter val="1117920 · Acc Dep-Wadduwa Solar Equipment"/>
        <filter val="1601040 · Fixed Assets"/>
        <filter val="Cost @ Wadduwa Land -06"/>
      </filters>
    </filterColumn>
  </autoFilter>
  <pageMargins left="0.7" right="0.7" top="0.75" bottom="0.75" header="0.1" footer="0.3"/>
  <pageSetup orientation="portrait" r:id="rId1"/>
  <headerFooter>
    <oddHeader>&amp;L&amp;"Arial,Bold"&amp;8 1:17 AM
&amp;"Arial,Bold"&amp;8 04/19/18
&amp;"Arial,Bold"&amp;8 Accrual Basis&amp;C&amp;"Arial,Bold"&amp;12 Tropical Fish International (Pvt) Limited
&amp;"Arial,Bold"&amp;14 Balance Sheet
&amp;"Arial,Bold"&amp;10 As of March 31, 2018</oddHeader>
    <oddFooter>&amp;R&amp;"Arial,Bold"&amp;8 Page &amp;P of &amp;N</oddFooter>
  </headerFooter>
  <drawing r:id="rId2"/>
  <legacyDrawing r:id="rId3"/>
  <controls>
    <mc:AlternateContent xmlns:mc="http://schemas.openxmlformats.org/markup-compatibility/2006">
      <mc:Choice Requires="x14">
        <control shapeId="56322" r:id="rId4" name="HEADER">
          <controlPr defaultSize="0" autoLine="0" r:id="rId5">
            <anchor moveWithCells="1">
              <from>
                <xdr:col>0</xdr:col>
                <xdr:colOff>0</xdr:colOff>
                <xdr:row>0</xdr:row>
                <xdr:rowOff>0</xdr:rowOff>
              </from>
              <to>
                <xdr:col>4</xdr:col>
                <xdr:colOff>114300</xdr:colOff>
                <xdr:row>0</xdr:row>
                <xdr:rowOff>228600</xdr:rowOff>
              </to>
            </anchor>
          </controlPr>
        </control>
      </mc:Choice>
      <mc:Fallback>
        <control shapeId="56322" r:id="rId4" name="HEADER"/>
      </mc:Fallback>
    </mc:AlternateContent>
    <mc:AlternateContent xmlns:mc="http://schemas.openxmlformats.org/markup-compatibility/2006">
      <mc:Choice Requires="x14">
        <control shapeId="56321" r:id="rId6" name="FILTER">
          <controlPr defaultSize="0" autoLine="0" r:id="rId7">
            <anchor moveWithCells="1">
              <from>
                <xdr:col>0</xdr:col>
                <xdr:colOff>0</xdr:colOff>
                <xdr:row>0</xdr:row>
                <xdr:rowOff>0</xdr:rowOff>
              </from>
              <to>
                <xdr:col>4</xdr:col>
                <xdr:colOff>114300</xdr:colOff>
                <xdr:row>0</xdr:row>
                <xdr:rowOff>228600</xdr:rowOff>
              </to>
            </anchor>
          </controlPr>
        </control>
      </mc:Choice>
      <mc:Fallback>
        <control shapeId="56321" r:id="rId6" name="FILTER"/>
      </mc:Fallback>
    </mc:AlternateContent>
  </control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C6FFBD-984F-42BE-BCCA-EA5BB6215C2D}">
  <dimension ref="A1:M482"/>
  <sheetViews>
    <sheetView workbookViewId="0">
      <pane xSplit="2" ySplit="2" topLeftCell="I466" activePane="bottomRight" state="frozenSplit"/>
      <selection pane="topRight" activeCell="C1" sqref="C1"/>
      <selection pane="bottomLeft" activeCell="A3" sqref="A3"/>
      <selection pane="bottomRight" activeCell="B483" sqref="B483"/>
    </sheetView>
  </sheetViews>
  <sheetFormatPr defaultRowHeight="15" x14ac:dyDescent="0.25"/>
  <cols>
    <col min="1" max="1" width="3" style="674" customWidth="1"/>
    <col min="2" max="2" width="127" style="674" customWidth="1"/>
    <col min="3" max="4" width="11.7109375" style="675" bestFit="1" customWidth="1"/>
    <col min="5" max="10" width="10.140625" style="667" bestFit="1" customWidth="1"/>
    <col min="11" max="11" width="9.140625" style="667"/>
    <col min="12" max="12" width="10.140625" style="667" bestFit="1" customWidth="1"/>
    <col min="13" max="16384" width="9.140625" style="667"/>
  </cols>
  <sheetData>
    <row r="1" spans="1:13" ht="51.75" thickBot="1" x14ac:dyDescent="0.3">
      <c r="A1" s="665"/>
      <c r="B1" s="665"/>
      <c r="C1" s="676" t="s">
        <v>1514</v>
      </c>
      <c r="D1" s="677"/>
      <c r="E1" s="600" t="s">
        <v>1634</v>
      </c>
      <c r="F1" s="600" t="s">
        <v>1635</v>
      </c>
      <c r="G1" s="600" t="s">
        <v>1636</v>
      </c>
      <c r="H1" s="600" t="s">
        <v>1637</v>
      </c>
      <c r="I1" s="600" t="s">
        <v>1638</v>
      </c>
      <c r="J1" s="600" t="s">
        <v>1639</v>
      </c>
      <c r="K1" s="600" t="s">
        <v>1640</v>
      </c>
      <c r="L1" s="600" t="s">
        <v>1641</v>
      </c>
      <c r="M1" s="600" t="s">
        <v>1642</v>
      </c>
    </row>
    <row r="2" spans="1:13" s="664" customFormat="1" ht="16.5" thickTop="1" thickBot="1" x14ac:dyDescent="0.3">
      <c r="A2" s="662"/>
      <c r="B2" s="662"/>
      <c r="C2" s="678" t="s">
        <v>91</v>
      </c>
      <c r="D2" s="678" t="s">
        <v>92</v>
      </c>
    </row>
    <row r="3" spans="1:13" ht="15.75" thickTop="1" x14ac:dyDescent="0.25">
      <c r="A3" s="665"/>
      <c r="B3" s="665" t="s">
        <v>651</v>
      </c>
      <c r="C3" s="666"/>
      <c r="D3" s="666">
        <v>28120</v>
      </c>
    </row>
    <row r="4" spans="1:13" x14ac:dyDescent="0.25">
      <c r="A4" s="665"/>
      <c r="B4" s="665" t="s">
        <v>1662</v>
      </c>
      <c r="C4" s="666">
        <v>24945.66</v>
      </c>
      <c r="D4" s="666"/>
    </row>
    <row r="5" spans="1:13" x14ac:dyDescent="0.25">
      <c r="A5" s="665"/>
      <c r="B5" s="665" t="s">
        <v>322</v>
      </c>
      <c r="C5" s="666">
        <v>59068.52</v>
      </c>
      <c r="D5" s="666"/>
    </row>
    <row r="6" spans="1:13" x14ac:dyDescent="0.25">
      <c r="A6" s="665"/>
      <c r="B6" s="665" t="s">
        <v>94</v>
      </c>
      <c r="C6" s="666">
        <v>57684.34</v>
      </c>
      <c r="D6" s="666"/>
    </row>
    <row r="7" spans="1:13" x14ac:dyDescent="0.25">
      <c r="A7" s="665"/>
      <c r="B7" s="665" t="s">
        <v>95</v>
      </c>
      <c r="C7" s="666">
        <v>0</v>
      </c>
      <c r="D7" s="666"/>
    </row>
    <row r="8" spans="1:13" x14ac:dyDescent="0.25">
      <c r="A8" s="665"/>
      <c r="B8" s="665" t="s">
        <v>96</v>
      </c>
      <c r="C8" s="666">
        <v>0</v>
      </c>
      <c r="D8" s="666"/>
    </row>
    <row r="9" spans="1:13" x14ac:dyDescent="0.25">
      <c r="A9" s="665"/>
      <c r="B9" s="665" t="s">
        <v>323</v>
      </c>
      <c r="C9" s="666"/>
      <c r="D9" s="666">
        <v>1514592.62</v>
      </c>
    </row>
    <row r="10" spans="1:13" x14ac:dyDescent="0.25">
      <c r="A10" s="665"/>
      <c r="B10" s="665" t="s">
        <v>324</v>
      </c>
      <c r="C10" s="666">
        <v>7530958.7000000002</v>
      </c>
      <c r="D10" s="666"/>
    </row>
    <row r="11" spans="1:13" x14ac:dyDescent="0.25">
      <c r="A11" s="665"/>
      <c r="B11" s="665" t="s">
        <v>325</v>
      </c>
      <c r="C11" s="666">
        <v>0</v>
      </c>
      <c r="D11" s="666"/>
    </row>
    <row r="12" spans="1:13" x14ac:dyDescent="0.25">
      <c r="A12" s="665"/>
      <c r="B12" s="665" t="s">
        <v>523</v>
      </c>
      <c r="C12" s="666">
        <v>0</v>
      </c>
      <c r="D12" s="666"/>
    </row>
    <row r="13" spans="1:13" x14ac:dyDescent="0.25">
      <c r="A13" s="665"/>
      <c r="B13" s="665" t="s">
        <v>636</v>
      </c>
      <c r="C13" s="666">
        <v>0</v>
      </c>
      <c r="D13" s="666"/>
    </row>
    <row r="14" spans="1:13" x14ac:dyDescent="0.25">
      <c r="A14" s="665"/>
      <c r="B14" s="665" t="s">
        <v>652</v>
      </c>
      <c r="C14" s="666"/>
      <c r="D14" s="666">
        <v>331273.27</v>
      </c>
    </row>
    <row r="15" spans="1:13" x14ac:dyDescent="0.25">
      <c r="A15" s="665"/>
      <c r="B15" s="665" t="s">
        <v>1663</v>
      </c>
      <c r="C15" s="666">
        <v>8950.74</v>
      </c>
      <c r="D15" s="666"/>
    </row>
    <row r="16" spans="1:13" x14ac:dyDescent="0.25">
      <c r="A16" s="665"/>
      <c r="B16" s="665" t="s">
        <v>525</v>
      </c>
      <c r="C16" s="666">
        <v>509350</v>
      </c>
      <c r="D16" s="666"/>
    </row>
    <row r="17" spans="1:4" x14ac:dyDescent="0.25">
      <c r="A17" s="665"/>
      <c r="B17" s="665" t="s">
        <v>526</v>
      </c>
      <c r="C17" s="666">
        <v>288900</v>
      </c>
      <c r="D17" s="666"/>
    </row>
    <row r="18" spans="1:4" x14ac:dyDescent="0.25">
      <c r="A18" s="665"/>
      <c r="B18" s="665" t="s">
        <v>653</v>
      </c>
      <c r="C18" s="666">
        <v>277205.48</v>
      </c>
      <c r="D18" s="666"/>
    </row>
    <row r="19" spans="1:4" x14ac:dyDescent="0.25">
      <c r="A19" s="665"/>
      <c r="B19" s="665" t="s">
        <v>527</v>
      </c>
      <c r="C19" s="666"/>
      <c r="D19" s="666">
        <v>1454300.01</v>
      </c>
    </row>
    <row r="20" spans="1:4" x14ac:dyDescent="0.25">
      <c r="A20" s="665"/>
      <c r="B20" s="665" t="s">
        <v>654</v>
      </c>
      <c r="C20" s="666"/>
      <c r="D20" s="666">
        <v>679648.82</v>
      </c>
    </row>
    <row r="21" spans="1:4" x14ac:dyDescent="0.25">
      <c r="A21" s="665"/>
      <c r="B21" s="665" t="s">
        <v>655</v>
      </c>
      <c r="C21" s="666">
        <v>528036.18999999994</v>
      </c>
      <c r="D21" s="666"/>
    </row>
    <row r="22" spans="1:4" x14ac:dyDescent="0.25">
      <c r="A22" s="665"/>
      <c r="B22" s="665" t="s">
        <v>1664</v>
      </c>
      <c r="C22" s="666">
        <v>0</v>
      </c>
      <c r="D22" s="666"/>
    </row>
    <row r="23" spans="1:4" x14ac:dyDescent="0.25">
      <c r="A23" s="665"/>
      <c r="B23" s="665" t="s">
        <v>1665</v>
      </c>
      <c r="C23" s="666"/>
      <c r="D23" s="666">
        <v>4766224.3899999997</v>
      </c>
    </row>
    <row r="24" spans="1:4" x14ac:dyDescent="0.25">
      <c r="A24" s="665"/>
      <c r="B24" s="665" t="s">
        <v>1666</v>
      </c>
      <c r="C24" s="666">
        <v>0</v>
      </c>
      <c r="D24" s="666"/>
    </row>
    <row r="25" spans="1:4" x14ac:dyDescent="0.25">
      <c r="A25" s="665"/>
      <c r="B25" s="665" t="s">
        <v>1667</v>
      </c>
      <c r="C25" s="666">
        <v>0</v>
      </c>
      <c r="D25" s="666"/>
    </row>
    <row r="26" spans="1:4" x14ac:dyDescent="0.25">
      <c r="A26" s="665"/>
      <c r="B26" s="665" t="s">
        <v>1668</v>
      </c>
      <c r="C26" s="666">
        <v>50000</v>
      </c>
      <c r="D26" s="666"/>
    </row>
    <row r="27" spans="1:4" x14ac:dyDescent="0.25">
      <c r="A27" s="665"/>
      <c r="B27" s="665" t="s">
        <v>326</v>
      </c>
      <c r="C27" s="666">
        <v>689783.99</v>
      </c>
      <c r="D27" s="666"/>
    </row>
    <row r="28" spans="1:4" x14ac:dyDescent="0.25">
      <c r="A28" s="665"/>
      <c r="B28" s="665" t="s">
        <v>327</v>
      </c>
      <c r="C28" s="666">
        <v>0</v>
      </c>
      <c r="D28" s="666"/>
    </row>
    <row r="29" spans="1:4" x14ac:dyDescent="0.25">
      <c r="A29" s="665"/>
      <c r="B29" s="665" t="s">
        <v>328</v>
      </c>
      <c r="C29" s="666">
        <v>13108.85</v>
      </c>
      <c r="D29" s="666"/>
    </row>
    <row r="30" spans="1:4" x14ac:dyDescent="0.25">
      <c r="A30" s="665"/>
      <c r="B30" s="665" t="s">
        <v>329</v>
      </c>
      <c r="C30" s="666">
        <v>0</v>
      </c>
      <c r="D30" s="666"/>
    </row>
    <row r="31" spans="1:4" x14ac:dyDescent="0.25">
      <c r="A31" s="665"/>
      <c r="B31" s="665" t="s">
        <v>330</v>
      </c>
      <c r="C31" s="666">
        <v>0</v>
      </c>
      <c r="D31" s="666"/>
    </row>
    <row r="32" spans="1:4" x14ac:dyDescent="0.25">
      <c r="A32" s="665"/>
      <c r="B32" s="665" t="s">
        <v>331</v>
      </c>
      <c r="C32" s="666">
        <v>0</v>
      </c>
      <c r="D32" s="666"/>
    </row>
    <row r="33" spans="1:4" x14ac:dyDescent="0.25">
      <c r="A33" s="665"/>
      <c r="B33" s="665" t="s">
        <v>657</v>
      </c>
      <c r="C33" s="666"/>
      <c r="D33" s="666">
        <v>4814.58</v>
      </c>
    </row>
    <row r="34" spans="1:4" x14ac:dyDescent="0.25">
      <c r="A34" s="665"/>
      <c r="B34" s="665" t="s">
        <v>658</v>
      </c>
      <c r="C34" s="666">
        <v>1522817.92</v>
      </c>
      <c r="D34" s="666"/>
    </row>
    <row r="35" spans="1:4" x14ac:dyDescent="0.25">
      <c r="A35" s="665"/>
      <c r="B35" s="665" t="s">
        <v>332</v>
      </c>
      <c r="C35" s="666">
        <v>39170</v>
      </c>
      <c r="D35" s="666"/>
    </row>
    <row r="36" spans="1:4" x14ac:dyDescent="0.25">
      <c r="A36" s="665"/>
      <c r="B36" s="665" t="s">
        <v>333</v>
      </c>
      <c r="C36" s="666">
        <v>0</v>
      </c>
      <c r="D36" s="666"/>
    </row>
    <row r="37" spans="1:4" x14ac:dyDescent="0.25">
      <c r="A37" s="665"/>
      <c r="B37" s="665" t="s">
        <v>334</v>
      </c>
      <c r="C37" s="666">
        <v>0</v>
      </c>
      <c r="D37" s="666"/>
    </row>
    <row r="38" spans="1:4" x14ac:dyDescent="0.25">
      <c r="A38" s="665"/>
      <c r="B38" s="665" t="s">
        <v>335</v>
      </c>
      <c r="C38" s="666">
        <v>0</v>
      </c>
      <c r="D38" s="666"/>
    </row>
    <row r="39" spans="1:4" x14ac:dyDescent="0.25">
      <c r="A39" s="665"/>
      <c r="B39" s="665" t="s">
        <v>336</v>
      </c>
      <c r="C39" s="666">
        <v>0</v>
      </c>
      <c r="D39" s="666"/>
    </row>
    <row r="40" spans="1:4" x14ac:dyDescent="0.25">
      <c r="A40" s="665"/>
      <c r="B40" s="665" t="s">
        <v>337</v>
      </c>
      <c r="C40" s="666">
        <v>6168.68</v>
      </c>
      <c r="D40" s="666"/>
    </row>
    <row r="41" spans="1:4" x14ac:dyDescent="0.25">
      <c r="A41" s="665"/>
      <c r="B41" s="665" t="s">
        <v>528</v>
      </c>
      <c r="C41" s="666">
        <v>0</v>
      </c>
      <c r="D41" s="666"/>
    </row>
    <row r="42" spans="1:4" x14ac:dyDescent="0.25">
      <c r="A42" s="665"/>
      <c r="B42" s="665" t="s">
        <v>659</v>
      </c>
      <c r="C42" s="666">
        <v>0</v>
      </c>
      <c r="D42" s="666"/>
    </row>
    <row r="43" spans="1:4" x14ac:dyDescent="0.25">
      <c r="A43" s="665"/>
      <c r="B43" s="665" t="s">
        <v>660</v>
      </c>
      <c r="C43" s="666">
        <v>0</v>
      </c>
      <c r="D43" s="666"/>
    </row>
    <row r="44" spans="1:4" x14ac:dyDescent="0.25">
      <c r="A44" s="665"/>
      <c r="B44" s="665" t="s">
        <v>529</v>
      </c>
      <c r="C44" s="666">
        <v>0</v>
      </c>
      <c r="D44" s="666"/>
    </row>
    <row r="45" spans="1:4" x14ac:dyDescent="0.25">
      <c r="A45" s="665"/>
      <c r="B45" s="665" t="s">
        <v>338</v>
      </c>
      <c r="C45" s="666"/>
      <c r="D45" s="666">
        <v>42098</v>
      </c>
    </row>
    <row r="46" spans="1:4" x14ac:dyDescent="0.25">
      <c r="A46" s="665"/>
      <c r="B46" s="665" t="s">
        <v>339</v>
      </c>
      <c r="C46" s="666">
        <v>0</v>
      </c>
      <c r="D46" s="666"/>
    </row>
    <row r="47" spans="1:4" x14ac:dyDescent="0.25">
      <c r="A47" s="665"/>
      <c r="B47" s="665" t="s">
        <v>340</v>
      </c>
      <c r="C47" s="666">
        <v>0</v>
      </c>
      <c r="D47" s="666"/>
    </row>
    <row r="48" spans="1:4" x14ac:dyDescent="0.25">
      <c r="A48" s="665"/>
      <c r="B48" s="665" t="s">
        <v>341</v>
      </c>
      <c r="C48" s="666">
        <v>1155649.26</v>
      </c>
      <c r="D48" s="666"/>
    </row>
    <row r="49" spans="1:4" x14ac:dyDescent="0.25">
      <c r="A49" s="665"/>
      <c r="B49" s="665" t="s">
        <v>342</v>
      </c>
      <c r="C49" s="666">
        <v>363779.5</v>
      </c>
      <c r="D49" s="666"/>
    </row>
    <row r="50" spans="1:4" x14ac:dyDescent="0.25">
      <c r="A50" s="665"/>
      <c r="B50" s="665" t="s">
        <v>343</v>
      </c>
      <c r="C50" s="666">
        <v>0</v>
      </c>
      <c r="D50" s="666"/>
    </row>
    <row r="51" spans="1:4" x14ac:dyDescent="0.25">
      <c r="A51" s="665"/>
      <c r="B51" s="665" t="s">
        <v>1669</v>
      </c>
      <c r="C51" s="666">
        <v>0</v>
      </c>
      <c r="D51" s="666"/>
    </row>
    <row r="52" spans="1:4" x14ac:dyDescent="0.25">
      <c r="A52" s="665"/>
      <c r="B52" s="665" t="s">
        <v>661</v>
      </c>
      <c r="C52" s="666">
        <v>0</v>
      </c>
      <c r="D52" s="666"/>
    </row>
    <row r="53" spans="1:4" x14ac:dyDescent="0.25">
      <c r="A53" s="665"/>
      <c r="B53" s="665" t="s">
        <v>1670</v>
      </c>
      <c r="C53" s="666">
        <v>19014</v>
      </c>
      <c r="D53" s="666"/>
    </row>
    <row r="54" spans="1:4" x14ac:dyDescent="0.25">
      <c r="A54" s="665"/>
      <c r="B54" s="665" t="s">
        <v>1671</v>
      </c>
      <c r="C54" s="666">
        <v>0</v>
      </c>
      <c r="D54" s="666"/>
    </row>
    <row r="55" spans="1:4" x14ac:dyDescent="0.25">
      <c r="A55" s="665"/>
      <c r="B55" s="665" t="s">
        <v>1672</v>
      </c>
      <c r="C55" s="666"/>
      <c r="D55" s="666">
        <v>10212.5</v>
      </c>
    </row>
    <row r="56" spans="1:4" x14ac:dyDescent="0.25">
      <c r="A56" s="665"/>
      <c r="B56" s="665" t="s">
        <v>1673</v>
      </c>
      <c r="C56" s="666">
        <v>2457.5</v>
      </c>
      <c r="D56" s="666"/>
    </row>
    <row r="57" spans="1:4" x14ac:dyDescent="0.25">
      <c r="A57" s="665"/>
      <c r="B57" s="665" t="s">
        <v>1674</v>
      </c>
      <c r="C57" s="666">
        <v>0</v>
      </c>
      <c r="D57" s="666"/>
    </row>
    <row r="58" spans="1:4" x14ac:dyDescent="0.25">
      <c r="A58" s="665"/>
      <c r="B58" s="665" t="s">
        <v>1675</v>
      </c>
      <c r="C58" s="666">
        <v>13348</v>
      </c>
      <c r="D58" s="666"/>
    </row>
    <row r="59" spans="1:4" x14ac:dyDescent="0.25">
      <c r="A59" s="665"/>
      <c r="B59" s="665" t="s">
        <v>1676</v>
      </c>
      <c r="C59" s="666">
        <v>55211</v>
      </c>
      <c r="D59" s="666"/>
    </row>
    <row r="60" spans="1:4" x14ac:dyDescent="0.25">
      <c r="A60" s="665"/>
      <c r="B60" s="665" t="s">
        <v>1677</v>
      </c>
      <c r="C60" s="666">
        <v>12235</v>
      </c>
      <c r="D60" s="666"/>
    </row>
    <row r="61" spans="1:4" x14ac:dyDescent="0.25">
      <c r="A61" s="665"/>
      <c r="B61" s="665" t="s">
        <v>1678</v>
      </c>
      <c r="C61" s="666"/>
      <c r="D61" s="666">
        <v>15380</v>
      </c>
    </row>
    <row r="62" spans="1:4" x14ac:dyDescent="0.25">
      <c r="A62" s="665"/>
      <c r="B62" s="665" t="s">
        <v>344</v>
      </c>
      <c r="C62" s="666">
        <v>0</v>
      </c>
      <c r="D62" s="666"/>
    </row>
    <row r="63" spans="1:4" x14ac:dyDescent="0.25">
      <c r="A63" s="665"/>
      <c r="B63" s="665" t="s">
        <v>97</v>
      </c>
      <c r="C63" s="666">
        <v>43578227.369999997</v>
      </c>
      <c r="D63" s="666"/>
    </row>
    <row r="64" spans="1:4" x14ac:dyDescent="0.25">
      <c r="A64" s="665"/>
      <c r="B64" s="665" t="s">
        <v>1524</v>
      </c>
      <c r="C64" s="666">
        <v>11200</v>
      </c>
      <c r="D64" s="666"/>
    </row>
    <row r="65" spans="1:4" x14ac:dyDescent="0.25">
      <c r="A65" s="665"/>
      <c r="B65" s="665" t="s">
        <v>345</v>
      </c>
      <c r="C65" s="666">
        <v>4284168.58</v>
      </c>
      <c r="D65" s="666"/>
    </row>
    <row r="66" spans="1:4" x14ac:dyDescent="0.25">
      <c r="A66" s="665"/>
      <c r="B66" s="665" t="s">
        <v>98</v>
      </c>
      <c r="C66" s="666">
        <v>0</v>
      </c>
      <c r="D66" s="666"/>
    </row>
    <row r="67" spans="1:4" x14ac:dyDescent="0.25">
      <c r="A67" s="665"/>
      <c r="B67" s="665" t="s">
        <v>903</v>
      </c>
      <c r="C67" s="666">
        <v>0</v>
      </c>
      <c r="D67" s="666"/>
    </row>
    <row r="68" spans="1:4" x14ac:dyDescent="0.25">
      <c r="A68" s="665"/>
      <c r="B68" s="665" t="s">
        <v>1679</v>
      </c>
      <c r="C68" s="666"/>
      <c r="D68" s="666">
        <v>3771595.65</v>
      </c>
    </row>
    <row r="69" spans="1:4" x14ac:dyDescent="0.25">
      <c r="A69" s="665"/>
      <c r="B69" s="665" t="s">
        <v>99</v>
      </c>
      <c r="C69" s="666"/>
      <c r="D69" s="666">
        <v>1172642.56</v>
      </c>
    </row>
    <row r="70" spans="1:4" x14ac:dyDescent="0.25">
      <c r="A70" s="665"/>
      <c r="B70" s="665" t="s">
        <v>346</v>
      </c>
      <c r="C70" s="666">
        <v>0</v>
      </c>
      <c r="D70" s="666"/>
    </row>
    <row r="71" spans="1:4" x14ac:dyDescent="0.25">
      <c r="A71" s="665"/>
      <c r="B71" s="665" t="s">
        <v>347</v>
      </c>
      <c r="C71" s="666">
        <v>0</v>
      </c>
      <c r="D71" s="666"/>
    </row>
    <row r="72" spans="1:4" x14ac:dyDescent="0.25">
      <c r="A72" s="665"/>
      <c r="B72" s="665" t="s">
        <v>530</v>
      </c>
      <c r="C72" s="666">
        <v>0</v>
      </c>
      <c r="D72" s="666"/>
    </row>
    <row r="73" spans="1:4" x14ac:dyDescent="0.25">
      <c r="A73" s="665"/>
      <c r="B73" s="665" t="s">
        <v>100</v>
      </c>
      <c r="C73" s="666">
        <v>3645959.18</v>
      </c>
      <c r="D73" s="666"/>
    </row>
    <row r="74" spans="1:4" x14ac:dyDescent="0.25">
      <c r="A74" s="665"/>
      <c r="B74" s="665" t="s">
        <v>101</v>
      </c>
      <c r="C74" s="666">
        <v>0</v>
      </c>
      <c r="D74" s="666"/>
    </row>
    <row r="75" spans="1:4" x14ac:dyDescent="0.25">
      <c r="A75" s="665"/>
      <c r="B75" s="665" t="s">
        <v>102</v>
      </c>
      <c r="C75" s="666">
        <v>1563295.6</v>
      </c>
      <c r="D75" s="666"/>
    </row>
    <row r="76" spans="1:4" x14ac:dyDescent="0.25">
      <c r="A76" s="665"/>
      <c r="B76" s="665" t="s">
        <v>267</v>
      </c>
      <c r="C76" s="666">
        <v>0</v>
      </c>
      <c r="D76" s="666"/>
    </row>
    <row r="77" spans="1:4" x14ac:dyDescent="0.25">
      <c r="A77" s="665"/>
      <c r="B77" s="665" t="s">
        <v>268</v>
      </c>
      <c r="C77" s="666">
        <v>2200</v>
      </c>
      <c r="D77" s="666"/>
    </row>
    <row r="78" spans="1:4" x14ac:dyDescent="0.25">
      <c r="A78" s="665"/>
      <c r="B78" s="665" t="s">
        <v>531</v>
      </c>
      <c r="C78" s="666">
        <v>3560155.11</v>
      </c>
      <c r="D78" s="666"/>
    </row>
    <row r="79" spans="1:4" x14ac:dyDescent="0.25">
      <c r="A79" s="665"/>
      <c r="B79" s="665" t="s">
        <v>103</v>
      </c>
      <c r="C79" s="666">
        <v>0</v>
      </c>
      <c r="D79" s="666"/>
    </row>
    <row r="80" spans="1:4" x14ac:dyDescent="0.25">
      <c r="A80" s="665"/>
      <c r="B80" s="665" t="s">
        <v>348</v>
      </c>
      <c r="C80" s="666">
        <v>370888</v>
      </c>
      <c r="D80" s="666"/>
    </row>
    <row r="81" spans="1:4" x14ac:dyDescent="0.25">
      <c r="A81" s="665"/>
      <c r="B81" s="665" t="s">
        <v>104</v>
      </c>
      <c r="C81" s="666">
        <v>472769.8</v>
      </c>
      <c r="D81" s="666"/>
    </row>
    <row r="82" spans="1:4" x14ac:dyDescent="0.25">
      <c r="A82" s="665"/>
      <c r="B82" s="665" t="s">
        <v>105</v>
      </c>
      <c r="C82" s="666">
        <v>569500</v>
      </c>
      <c r="D82" s="666"/>
    </row>
    <row r="83" spans="1:4" x14ac:dyDescent="0.25">
      <c r="A83" s="665"/>
      <c r="B83" s="665" t="s">
        <v>1680</v>
      </c>
      <c r="C83" s="666">
        <v>0</v>
      </c>
      <c r="D83" s="666"/>
    </row>
    <row r="84" spans="1:4" x14ac:dyDescent="0.25">
      <c r="A84" s="665"/>
      <c r="B84" s="665" t="s">
        <v>106</v>
      </c>
      <c r="C84" s="666">
        <v>1484322.02</v>
      </c>
      <c r="D84" s="666"/>
    </row>
    <row r="85" spans="1:4" x14ac:dyDescent="0.25">
      <c r="A85" s="665"/>
      <c r="B85" s="665" t="s">
        <v>662</v>
      </c>
      <c r="C85" s="666">
        <v>64258</v>
      </c>
      <c r="D85" s="666"/>
    </row>
    <row r="86" spans="1:4" x14ac:dyDescent="0.25">
      <c r="A86" s="665"/>
      <c r="B86" s="665" t="s">
        <v>663</v>
      </c>
      <c r="C86" s="666">
        <v>104981</v>
      </c>
      <c r="D86" s="666"/>
    </row>
    <row r="87" spans="1:4" x14ac:dyDescent="0.25">
      <c r="A87" s="665"/>
      <c r="B87" s="665" t="s">
        <v>664</v>
      </c>
      <c r="C87" s="666">
        <v>1145559.97</v>
      </c>
      <c r="D87" s="666"/>
    </row>
    <row r="88" spans="1:4" x14ac:dyDescent="0.25">
      <c r="A88" s="665"/>
      <c r="B88" s="665" t="s">
        <v>1681</v>
      </c>
      <c r="C88" s="666">
        <v>6050</v>
      </c>
      <c r="D88" s="666"/>
    </row>
    <row r="89" spans="1:4" x14ac:dyDescent="0.25">
      <c r="A89" s="665"/>
      <c r="B89" s="665" t="s">
        <v>1682</v>
      </c>
      <c r="C89" s="666">
        <v>0</v>
      </c>
      <c r="D89" s="666"/>
    </row>
    <row r="90" spans="1:4" x14ac:dyDescent="0.25">
      <c r="A90" s="665"/>
      <c r="B90" s="665" t="s">
        <v>107</v>
      </c>
      <c r="C90" s="666">
        <v>1068716.8999999999</v>
      </c>
      <c r="D90" s="666"/>
    </row>
    <row r="91" spans="1:4" x14ac:dyDescent="0.25">
      <c r="A91" s="665"/>
      <c r="B91" s="665" t="s">
        <v>349</v>
      </c>
      <c r="C91" s="666">
        <v>800</v>
      </c>
      <c r="D91" s="666"/>
    </row>
    <row r="92" spans="1:4" x14ac:dyDescent="0.25">
      <c r="A92" s="665"/>
      <c r="B92" s="665" t="s">
        <v>665</v>
      </c>
      <c r="C92" s="666">
        <v>1039925</v>
      </c>
      <c r="D92" s="666"/>
    </row>
    <row r="93" spans="1:4" x14ac:dyDescent="0.25">
      <c r="A93" s="665"/>
      <c r="B93" s="665" t="s">
        <v>532</v>
      </c>
      <c r="C93" s="666">
        <v>2000</v>
      </c>
      <c r="D93" s="666"/>
    </row>
    <row r="94" spans="1:4" x14ac:dyDescent="0.25">
      <c r="A94" s="665"/>
      <c r="B94" s="665" t="s">
        <v>108</v>
      </c>
      <c r="C94" s="666">
        <v>198349.51</v>
      </c>
      <c r="D94" s="666"/>
    </row>
    <row r="95" spans="1:4" x14ac:dyDescent="0.25">
      <c r="A95" s="665"/>
      <c r="B95" s="665" t="s">
        <v>109</v>
      </c>
      <c r="C95" s="666">
        <v>78587.89</v>
      </c>
      <c r="D95" s="666"/>
    </row>
    <row r="96" spans="1:4" x14ac:dyDescent="0.25">
      <c r="A96" s="665"/>
      <c r="B96" s="665" t="s">
        <v>533</v>
      </c>
      <c r="C96" s="666">
        <v>3567.5</v>
      </c>
      <c r="D96" s="666"/>
    </row>
    <row r="97" spans="1:4" x14ac:dyDescent="0.25">
      <c r="A97" s="665"/>
      <c r="B97" s="665" t="s">
        <v>666</v>
      </c>
      <c r="C97" s="666">
        <v>108080</v>
      </c>
      <c r="D97" s="666"/>
    </row>
    <row r="98" spans="1:4" x14ac:dyDescent="0.25">
      <c r="A98" s="665"/>
      <c r="B98" s="665" t="s">
        <v>110</v>
      </c>
      <c r="C98" s="666">
        <v>1230000</v>
      </c>
      <c r="D98" s="666"/>
    </row>
    <row r="99" spans="1:4" x14ac:dyDescent="0.25">
      <c r="A99" s="665"/>
      <c r="B99" s="665" t="s">
        <v>111</v>
      </c>
      <c r="C99" s="666">
        <v>14500</v>
      </c>
      <c r="D99" s="666"/>
    </row>
    <row r="100" spans="1:4" x14ac:dyDescent="0.25">
      <c r="A100" s="665"/>
      <c r="B100" s="665" t="s">
        <v>112</v>
      </c>
      <c r="C100" s="666">
        <v>64167</v>
      </c>
      <c r="D100" s="666"/>
    </row>
    <row r="101" spans="1:4" x14ac:dyDescent="0.25">
      <c r="A101" s="665"/>
      <c r="B101" s="665" t="s">
        <v>113</v>
      </c>
      <c r="C101" s="666">
        <v>15000</v>
      </c>
      <c r="D101" s="666"/>
    </row>
    <row r="102" spans="1:4" x14ac:dyDescent="0.25">
      <c r="A102" s="665"/>
      <c r="B102" s="665" t="s">
        <v>350</v>
      </c>
      <c r="C102" s="666">
        <v>72000</v>
      </c>
      <c r="D102" s="666"/>
    </row>
    <row r="103" spans="1:4" x14ac:dyDescent="0.25">
      <c r="A103" s="665"/>
      <c r="B103" s="665" t="s">
        <v>667</v>
      </c>
      <c r="C103" s="666">
        <v>64000</v>
      </c>
      <c r="D103" s="666"/>
    </row>
    <row r="104" spans="1:4" x14ac:dyDescent="0.25">
      <c r="A104" s="665"/>
      <c r="B104" s="665" t="s">
        <v>1683</v>
      </c>
      <c r="C104" s="666">
        <v>1000000</v>
      </c>
      <c r="D104" s="666"/>
    </row>
    <row r="105" spans="1:4" x14ac:dyDescent="0.25">
      <c r="A105" s="665"/>
      <c r="B105" s="665" t="s">
        <v>114</v>
      </c>
      <c r="C105" s="666">
        <v>82300</v>
      </c>
      <c r="D105" s="666"/>
    </row>
    <row r="106" spans="1:4" x14ac:dyDescent="0.25">
      <c r="A106" s="665"/>
      <c r="B106" s="665" t="s">
        <v>115</v>
      </c>
      <c r="C106" s="666">
        <v>2169580.9900000002</v>
      </c>
      <c r="D106" s="666"/>
    </row>
    <row r="107" spans="1:4" x14ac:dyDescent="0.25">
      <c r="A107" s="665"/>
      <c r="B107" s="665" t="s">
        <v>116</v>
      </c>
      <c r="C107" s="666">
        <v>237808</v>
      </c>
      <c r="D107" s="666"/>
    </row>
    <row r="108" spans="1:4" x14ac:dyDescent="0.25">
      <c r="A108" s="665"/>
      <c r="B108" s="665" t="s">
        <v>351</v>
      </c>
      <c r="C108" s="666">
        <v>565742.34</v>
      </c>
      <c r="D108" s="666"/>
    </row>
    <row r="109" spans="1:4" x14ac:dyDescent="0.25">
      <c r="A109" s="665"/>
      <c r="B109" s="665" t="s">
        <v>269</v>
      </c>
      <c r="C109" s="666">
        <v>202397.09</v>
      </c>
      <c r="D109" s="666"/>
    </row>
    <row r="110" spans="1:4" x14ac:dyDescent="0.25">
      <c r="A110" s="665"/>
      <c r="B110" s="665" t="s">
        <v>1684</v>
      </c>
      <c r="C110" s="666">
        <v>373561.88</v>
      </c>
      <c r="D110" s="666"/>
    </row>
    <row r="111" spans="1:4" x14ac:dyDescent="0.25">
      <c r="A111" s="665"/>
      <c r="B111" s="665" t="s">
        <v>1685</v>
      </c>
      <c r="C111" s="666">
        <v>982059.49</v>
      </c>
      <c r="D111" s="666"/>
    </row>
    <row r="112" spans="1:4" x14ac:dyDescent="0.25">
      <c r="A112" s="665"/>
      <c r="B112" s="665" t="s">
        <v>117</v>
      </c>
      <c r="C112" s="666">
        <v>40034921.460000001</v>
      </c>
      <c r="D112" s="666"/>
    </row>
    <row r="113" spans="1:4" x14ac:dyDescent="0.25">
      <c r="A113" s="665"/>
      <c r="B113" s="665" t="s">
        <v>270</v>
      </c>
      <c r="C113" s="666">
        <v>194929154.75</v>
      </c>
      <c r="D113" s="666"/>
    </row>
    <row r="114" spans="1:4" x14ac:dyDescent="0.25">
      <c r="A114" s="665"/>
      <c r="B114" s="665" t="s">
        <v>118</v>
      </c>
      <c r="C114" s="666">
        <v>23238457.329999998</v>
      </c>
      <c r="D114" s="666"/>
    </row>
    <row r="115" spans="1:4" x14ac:dyDescent="0.25">
      <c r="A115" s="665"/>
      <c r="B115" s="665" t="s">
        <v>1686</v>
      </c>
      <c r="C115" s="666">
        <v>31632</v>
      </c>
      <c r="D115" s="666"/>
    </row>
    <row r="116" spans="1:4" x14ac:dyDescent="0.25">
      <c r="A116" s="665"/>
      <c r="B116" s="665" t="s">
        <v>119</v>
      </c>
      <c r="C116" s="666">
        <v>0</v>
      </c>
      <c r="D116" s="666"/>
    </row>
    <row r="117" spans="1:4" x14ac:dyDescent="0.25">
      <c r="A117" s="665"/>
      <c r="B117" s="665" t="s">
        <v>271</v>
      </c>
      <c r="C117" s="666">
        <v>10702787.550000001</v>
      </c>
      <c r="D117" s="666"/>
    </row>
    <row r="118" spans="1:4" x14ac:dyDescent="0.25">
      <c r="A118" s="665"/>
      <c r="B118" s="665" t="s">
        <v>668</v>
      </c>
      <c r="C118" s="666">
        <v>136501</v>
      </c>
      <c r="D118" s="666"/>
    </row>
    <row r="119" spans="1:4" x14ac:dyDescent="0.25">
      <c r="A119" s="665"/>
      <c r="B119" s="665" t="s">
        <v>669</v>
      </c>
      <c r="C119" s="666">
        <v>10902230.76</v>
      </c>
      <c r="D119" s="666"/>
    </row>
    <row r="120" spans="1:4" x14ac:dyDescent="0.25">
      <c r="A120" s="665"/>
      <c r="B120" s="665" t="s">
        <v>773</v>
      </c>
      <c r="C120" s="666">
        <v>2598059.6</v>
      </c>
      <c r="D120" s="666"/>
    </row>
    <row r="121" spans="1:4" x14ac:dyDescent="0.25">
      <c r="A121" s="665"/>
      <c r="B121" s="665" t="s">
        <v>1687</v>
      </c>
      <c r="C121" s="666">
        <v>353050</v>
      </c>
      <c r="D121" s="666"/>
    </row>
    <row r="122" spans="1:4" x14ac:dyDescent="0.25">
      <c r="A122" s="665"/>
      <c r="B122" s="691" t="s">
        <v>120</v>
      </c>
      <c r="C122" s="692"/>
      <c r="D122" s="692">
        <v>874967</v>
      </c>
    </row>
    <row r="123" spans="1:4" x14ac:dyDescent="0.25">
      <c r="A123" s="665"/>
      <c r="B123" s="665" t="s">
        <v>1456</v>
      </c>
      <c r="C123" s="666"/>
      <c r="D123" s="666">
        <v>195000</v>
      </c>
    </row>
    <row r="124" spans="1:4" x14ac:dyDescent="0.25">
      <c r="A124" s="665"/>
      <c r="B124" s="665" t="s">
        <v>954</v>
      </c>
      <c r="C124" s="666">
        <v>323370.26</v>
      </c>
      <c r="D124" s="666"/>
    </row>
    <row r="125" spans="1:4" x14ac:dyDescent="0.25">
      <c r="A125" s="665"/>
      <c r="B125" s="665" t="s">
        <v>521</v>
      </c>
      <c r="C125" s="666">
        <v>0</v>
      </c>
      <c r="D125" s="666"/>
    </row>
    <row r="126" spans="1:4" x14ac:dyDescent="0.25">
      <c r="A126" s="665"/>
      <c r="B126" s="665" t="s">
        <v>1688</v>
      </c>
      <c r="C126" s="666">
        <v>16000</v>
      </c>
      <c r="D126" s="666"/>
    </row>
    <row r="127" spans="1:4" x14ac:dyDescent="0.25">
      <c r="A127" s="665"/>
      <c r="B127" s="665" t="s">
        <v>1689</v>
      </c>
      <c r="C127" s="666">
        <v>0</v>
      </c>
      <c r="D127" s="666"/>
    </row>
    <row r="128" spans="1:4" x14ac:dyDescent="0.25">
      <c r="A128" s="665"/>
      <c r="B128" s="665" t="s">
        <v>534</v>
      </c>
      <c r="C128" s="666">
        <v>2305600</v>
      </c>
      <c r="D128" s="666"/>
    </row>
    <row r="129" spans="1:4" x14ac:dyDescent="0.25">
      <c r="A129" s="665"/>
      <c r="B129" s="665" t="s">
        <v>121</v>
      </c>
      <c r="C129" s="666">
        <v>3681068</v>
      </c>
      <c r="D129" s="666"/>
    </row>
    <row r="130" spans="1:4" x14ac:dyDescent="0.25">
      <c r="A130" s="665"/>
      <c r="B130" s="665" t="s">
        <v>272</v>
      </c>
      <c r="C130" s="666">
        <v>23293909</v>
      </c>
      <c r="D130" s="666"/>
    </row>
    <row r="131" spans="1:4" x14ac:dyDescent="0.25">
      <c r="A131" s="665"/>
      <c r="B131" s="665" t="s">
        <v>273</v>
      </c>
      <c r="C131" s="666">
        <v>3389962</v>
      </c>
      <c r="D131" s="666"/>
    </row>
    <row r="132" spans="1:4" x14ac:dyDescent="0.25">
      <c r="A132" s="665"/>
      <c r="B132" s="665" t="s">
        <v>535</v>
      </c>
      <c r="C132" s="666">
        <v>2942736</v>
      </c>
      <c r="D132" s="666"/>
    </row>
    <row r="133" spans="1:4" x14ac:dyDescent="0.25">
      <c r="A133" s="665"/>
      <c r="B133" s="665" t="s">
        <v>536</v>
      </c>
      <c r="C133" s="666">
        <v>1191000</v>
      </c>
      <c r="D133" s="666"/>
    </row>
    <row r="134" spans="1:4" x14ac:dyDescent="0.25">
      <c r="A134" s="665"/>
      <c r="B134" s="665" t="s">
        <v>670</v>
      </c>
      <c r="C134" s="666">
        <v>104500</v>
      </c>
      <c r="D134" s="666"/>
    </row>
    <row r="135" spans="1:4" x14ac:dyDescent="0.25">
      <c r="A135" s="665"/>
      <c r="B135" s="665" t="s">
        <v>274</v>
      </c>
      <c r="C135" s="666">
        <v>12559000</v>
      </c>
      <c r="D135" s="666"/>
    </row>
    <row r="136" spans="1:4" x14ac:dyDescent="0.25">
      <c r="A136" s="665"/>
      <c r="B136" s="665" t="s">
        <v>275</v>
      </c>
      <c r="C136" s="666">
        <v>3768000</v>
      </c>
      <c r="D136" s="666"/>
    </row>
    <row r="137" spans="1:4" x14ac:dyDescent="0.25">
      <c r="A137" s="665"/>
      <c r="B137" s="665" t="s">
        <v>352</v>
      </c>
      <c r="C137" s="666">
        <v>46894401</v>
      </c>
      <c r="D137" s="666"/>
    </row>
    <row r="138" spans="1:4" x14ac:dyDescent="0.25">
      <c r="A138" s="665"/>
      <c r="B138" s="665" t="s">
        <v>1690</v>
      </c>
      <c r="C138" s="666">
        <v>10000000</v>
      </c>
      <c r="D138" s="666"/>
    </row>
    <row r="139" spans="1:4" x14ac:dyDescent="0.25">
      <c r="A139" s="665"/>
      <c r="B139" s="665" t="s">
        <v>122</v>
      </c>
      <c r="C139" s="666">
        <v>5549428.5</v>
      </c>
      <c r="D139" s="666"/>
    </row>
    <row r="140" spans="1:4" x14ac:dyDescent="0.25">
      <c r="A140" s="665"/>
      <c r="B140" s="665" t="s">
        <v>276</v>
      </c>
      <c r="C140" s="666">
        <v>0</v>
      </c>
      <c r="D140" s="666"/>
    </row>
    <row r="141" spans="1:4" x14ac:dyDescent="0.25">
      <c r="A141" s="665"/>
      <c r="B141" s="665" t="s">
        <v>277</v>
      </c>
      <c r="C141" s="666">
        <v>0</v>
      </c>
      <c r="D141" s="666"/>
    </row>
    <row r="142" spans="1:4" x14ac:dyDescent="0.25">
      <c r="A142" s="665"/>
      <c r="B142" s="665" t="s">
        <v>278</v>
      </c>
      <c r="C142" s="666">
        <v>0</v>
      </c>
      <c r="D142" s="666"/>
    </row>
    <row r="143" spans="1:4" x14ac:dyDescent="0.25">
      <c r="A143" s="665"/>
      <c r="B143" s="665" t="s">
        <v>123</v>
      </c>
      <c r="C143" s="666">
        <v>1215000</v>
      </c>
      <c r="D143" s="666"/>
    </row>
    <row r="144" spans="1:4" x14ac:dyDescent="0.25">
      <c r="A144" s="665"/>
      <c r="B144" s="665" t="s">
        <v>124</v>
      </c>
      <c r="C144" s="666">
        <v>973873</v>
      </c>
      <c r="D144" s="666"/>
    </row>
    <row r="145" spans="1:4" x14ac:dyDescent="0.25">
      <c r="A145" s="665"/>
      <c r="B145" s="665" t="s">
        <v>125</v>
      </c>
      <c r="C145" s="666">
        <v>11098350.4</v>
      </c>
      <c r="D145" s="666"/>
    </row>
    <row r="146" spans="1:4" x14ac:dyDescent="0.25">
      <c r="A146" s="665"/>
      <c r="B146" s="665" t="s">
        <v>126</v>
      </c>
      <c r="C146" s="666">
        <v>5941467.7400000002</v>
      </c>
      <c r="D146" s="666"/>
    </row>
    <row r="147" spans="1:4" x14ac:dyDescent="0.25">
      <c r="A147" s="665"/>
      <c r="B147" s="665" t="s">
        <v>127</v>
      </c>
      <c r="C147" s="666">
        <v>1151916</v>
      </c>
      <c r="D147" s="666"/>
    </row>
    <row r="148" spans="1:4" x14ac:dyDescent="0.25">
      <c r="A148" s="665"/>
      <c r="B148" s="665" t="s">
        <v>279</v>
      </c>
      <c r="C148" s="666">
        <v>9077116.2899999991</v>
      </c>
      <c r="D148" s="666"/>
    </row>
    <row r="149" spans="1:4" x14ac:dyDescent="0.25">
      <c r="A149" s="665"/>
      <c r="B149" s="665" t="s">
        <v>280</v>
      </c>
      <c r="C149" s="666">
        <v>1351039.9</v>
      </c>
      <c r="D149" s="666"/>
    </row>
    <row r="150" spans="1:4" x14ac:dyDescent="0.25">
      <c r="A150" s="665"/>
      <c r="B150" s="665" t="s">
        <v>281</v>
      </c>
      <c r="C150" s="666">
        <v>1701432.81</v>
      </c>
      <c r="D150" s="666"/>
    </row>
    <row r="151" spans="1:4" x14ac:dyDescent="0.25">
      <c r="A151" s="665"/>
      <c r="B151" s="691" t="s">
        <v>128</v>
      </c>
      <c r="C151" s="692"/>
      <c r="D151" s="692">
        <v>18228198.620000001</v>
      </c>
    </row>
    <row r="152" spans="1:4" x14ac:dyDescent="0.25">
      <c r="A152" s="665"/>
      <c r="B152" s="665" t="s">
        <v>1691</v>
      </c>
      <c r="C152" s="666">
        <v>647775</v>
      </c>
      <c r="D152" s="666"/>
    </row>
    <row r="153" spans="1:4" x14ac:dyDescent="0.25">
      <c r="A153" s="665"/>
      <c r="B153" s="665" t="s">
        <v>129</v>
      </c>
      <c r="C153" s="666">
        <v>9323685</v>
      </c>
      <c r="D153" s="666"/>
    </row>
    <row r="154" spans="1:4" x14ac:dyDescent="0.25">
      <c r="A154" s="665"/>
      <c r="B154" s="665" t="s">
        <v>1692</v>
      </c>
      <c r="C154" s="666">
        <v>2675000</v>
      </c>
      <c r="D154" s="666"/>
    </row>
    <row r="155" spans="1:4" x14ac:dyDescent="0.25">
      <c r="A155" s="665"/>
      <c r="B155" s="665" t="s">
        <v>130</v>
      </c>
      <c r="C155" s="666">
        <v>533200</v>
      </c>
      <c r="D155" s="666"/>
    </row>
    <row r="156" spans="1:4" x14ac:dyDescent="0.25">
      <c r="A156" s="665"/>
      <c r="B156" s="665" t="s">
        <v>282</v>
      </c>
      <c r="C156" s="666">
        <v>0</v>
      </c>
      <c r="D156" s="666"/>
    </row>
    <row r="157" spans="1:4" x14ac:dyDescent="0.25">
      <c r="A157" s="665"/>
      <c r="B157" s="665" t="s">
        <v>131</v>
      </c>
      <c r="C157" s="666">
        <v>3017100</v>
      </c>
      <c r="D157" s="666"/>
    </row>
    <row r="158" spans="1:4" x14ac:dyDescent="0.25">
      <c r="A158" s="665"/>
      <c r="B158" s="665" t="s">
        <v>353</v>
      </c>
      <c r="C158" s="666">
        <v>0</v>
      </c>
      <c r="D158" s="666"/>
    </row>
    <row r="159" spans="1:4" x14ac:dyDescent="0.25">
      <c r="A159" s="665"/>
      <c r="B159" s="665" t="s">
        <v>354</v>
      </c>
      <c r="C159" s="666">
        <v>136390</v>
      </c>
      <c r="D159" s="666"/>
    </row>
    <row r="160" spans="1:4" x14ac:dyDescent="0.25">
      <c r="A160" s="665"/>
      <c r="B160" s="665" t="s">
        <v>355</v>
      </c>
      <c r="C160" s="666">
        <v>0</v>
      </c>
      <c r="D160" s="666"/>
    </row>
    <row r="161" spans="1:4" x14ac:dyDescent="0.25">
      <c r="A161" s="665"/>
      <c r="B161" s="665" t="s">
        <v>356</v>
      </c>
      <c r="C161" s="666">
        <v>3927826</v>
      </c>
      <c r="D161" s="666"/>
    </row>
    <row r="162" spans="1:4" x14ac:dyDescent="0.25">
      <c r="A162" s="665"/>
      <c r="B162" s="665" t="s">
        <v>357</v>
      </c>
      <c r="C162" s="666">
        <v>2229013</v>
      </c>
      <c r="D162" s="666"/>
    </row>
    <row r="163" spans="1:4" x14ac:dyDescent="0.25">
      <c r="A163" s="665"/>
      <c r="B163" s="665" t="s">
        <v>671</v>
      </c>
      <c r="C163" s="666">
        <v>0</v>
      </c>
      <c r="D163" s="666"/>
    </row>
    <row r="164" spans="1:4" x14ac:dyDescent="0.25">
      <c r="A164" s="665"/>
      <c r="B164" s="665" t="s">
        <v>132</v>
      </c>
      <c r="C164" s="666">
        <v>287680</v>
      </c>
      <c r="D164" s="666"/>
    </row>
    <row r="165" spans="1:4" x14ac:dyDescent="0.25">
      <c r="A165" s="665"/>
      <c r="B165" s="691" t="s">
        <v>133</v>
      </c>
      <c r="C165" s="692"/>
      <c r="D165" s="692">
        <v>17943558.960000001</v>
      </c>
    </row>
    <row r="166" spans="1:4" x14ac:dyDescent="0.25">
      <c r="A166" s="665"/>
      <c r="B166" s="665" t="s">
        <v>1693</v>
      </c>
      <c r="C166" s="666">
        <v>39100</v>
      </c>
      <c r="D166" s="666"/>
    </row>
    <row r="167" spans="1:4" x14ac:dyDescent="0.25">
      <c r="A167" s="665"/>
      <c r="B167" s="665" t="s">
        <v>134</v>
      </c>
      <c r="C167" s="666">
        <v>10041370.85</v>
      </c>
      <c r="D167" s="666"/>
    </row>
    <row r="168" spans="1:4" x14ac:dyDescent="0.25">
      <c r="A168" s="665"/>
      <c r="B168" s="665" t="s">
        <v>135</v>
      </c>
      <c r="C168" s="666">
        <v>2970524.49</v>
      </c>
      <c r="D168" s="666"/>
    </row>
    <row r="169" spans="1:4" x14ac:dyDescent="0.25">
      <c r="A169" s="665"/>
      <c r="B169" s="665" t="s">
        <v>136</v>
      </c>
      <c r="C169" s="666">
        <v>866780.01</v>
      </c>
      <c r="D169" s="666"/>
    </row>
    <row r="170" spans="1:4" x14ac:dyDescent="0.25">
      <c r="A170" s="665"/>
      <c r="B170" s="665" t="s">
        <v>137</v>
      </c>
      <c r="C170" s="666">
        <v>1424536.28</v>
      </c>
      <c r="D170" s="666"/>
    </row>
    <row r="171" spans="1:4" x14ac:dyDescent="0.25">
      <c r="A171" s="665"/>
      <c r="B171" s="691" t="s">
        <v>138</v>
      </c>
      <c r="C171" s="692"/>
      <c r="D171" s="692">
        <v>11716445.57</v>
      </c>
    </row>
    <row r="172" spans="1:4" x14ac:dyDescent="0.25">
      <c r="A172" s="665"/>
      <c r="B172" s="665" t="s">
        <v>672</v>
      </c>
      <c r="C172" s="666">
        <v>5399150.6399999997</v>
      </c>
      <c r="D172" s="666"/>
    </row>
    <row r="173" spans="1:4" x14ac:dyDescent="0.25">
      <c r="A173" s="665"/>
      <c r="B173" s="665" t="s">
        <v>139</v>
      </c>
      <c r="C173" s="666">
        <v>3444357.18</v>
      </c>
      <c r="D173" s="666"/>
    </row>
    <row r="174" spans="1:4" x14ac:dyDescent="0.25">
      <c r="A174" s="665"/>
      <c r="B174" s="691" t="s">
        <v>140</v>
      </c>
      <c r="C174" s="692"/>
      <c r="D174" s="692">
        <v>6621306.9000000004</v>
      </c>
    </row>
    <row r="175" spans="1:4" x14ac:dyDescent="0.25">
      <c r="A175" s="665"/>
      <c r="B175" s="665" t="s">
        <v>358</v>
      </c>
      <c r="C175" s="666">
        <v>17610</v>
      </c>
      <c r="D175" s="666"/>
    </row>
    <row r="176" spans="1:4" x14ac:dyDescent="0.25">
      <c r="A176" s="665"/>
      <c r="B176" s="665" t="s">
        <v>141</v>
      </c>
      <c r="C176" s="666">
        <v>3982812.45</v>
      </c>
      <c r="D176" s="666"/>
    </row>
    <row r="177" spans="1:4" x14ac:dyDescent="0.25">
      <c r="A177" s="665"/>
      <c r="B177" s="691" t="s">
        <v>142</v>
      </c>
      <c r="C177" s="692"/>
      <c r="D177" s="692">
        <v>3667014.01</v>
      </c>
    </row>
    <row r="178" spans="1:4" x14ac:dyDescent="0.25">
      <c r="A178" s="665"/>
      <c r="B178" s="665" t="s">
        <v>143</v>
      </c>
      <c r="C178" s="666">
        <v>7086711.8399999999</v>
      </c>
      <c r="D178" s="666"/>
    </row>
    <row r="179" spans="1:4" x14ac:dyDescent="0.25">
      <c r="A179" s="665"/>
      <c r="B179" s="665" t="s">
        <v>144</v>
      </c>
      <c r="C179" s="666">
        <v>1245339.33</v>
      </c>
      <c r="D179" s="666"/>
    </row>
    <row r="180" spans="1:4" x14ac:dyDescent="0.25">
      <c r="A180" s="665"/>
      <c r="B180" s="665" t="s">
        <v>283</v>
      </c>
      <c r="C180" s="666">
        <v>1032531.92</v>
      </c>
      <c r="D180" s="666"/>
    </row>
    <row r="181" spans="1:4" x14ac:dyDescent="0.25">
      <c r="A181" s="665"/>
      <c r="B181" s="691" t="s">
        <v>145</v>
      </c>
      <c r="C181" s="692"/>
      <c r="D181" s="692">
        <v>8825776.5399999991</v>
      </c>
    </row>
    <row r="182" spans="1:4" x14ac:dyDescent="0.25">
      <c r="A182" s="665"/>
      <c r="B182" s="665" t="s">
        <v>1694</v>
      </c>
      <c r="C182" s="666">
        <v>1864</v>
      </c>
      <c r="D182" s="666"/>
    </row>
    <row r="183" spans="1:4" x14ac:dyDescent="0.25">
      <c r="A183" s="665"/>
      <c r="B183" s="665" t="s">
        <v>284</v>
      </c>
      <c r="C183" s="666">
        <v>4516783.0999999996</v>
      </c>
      <c r="D183" s="666"/>
    </row>
    <row r="184" spans="1:4" x14ac:dyDescent="0.25">
      <c r="A184" s="665"/>
      <c r="B184" s="665" t="s">
        <v>359</v>
      </c>
      <c r="C184" s="666">
        <v>105622.5</v>
      </c>
      <c r="D184" s="666"/>
    </row>
    <row r="185" spans="1:4" x14ac:dyDescent="0.25">
      <c r="A185" s="665"/>
      <c r="B185" s="665" t="s">
        <v>1695</v>
      </c>
      <c r="C185" s="666">
        <v>9976778</v>
      </c>
      <c r="D185" s="666"/>
    </row>
    <row r="186" spans="1:4" x14ac:dyDescent="0.25">
      <c r="A186" s="665"/>
      <c r="B186" s="691" t="s">
        <v>285</v>
      </c>
      <c r="C186" s="692"/>
      <c r="D186" s="692">
        <v>3743700.85</v>
      </c>
    </row>
    <row r="187" spans="1:4" x14ac:dyDescent="0.25">
      <c r="A187" s="665"/>
      <c r="B187" s="691" t="s">
        <v>1696</v>
      </c>
      <c r="C187" s="692"/>
      <c r="D187" s="692">
        <v>665119</v>
      </c>
    </row>
    <row r="188" spans="1:4" x14ac:dyDescent="0.25">
      <c r="A188" s="665"/>
      <c r="B188" s="665" t="s">
        <v>286</v>
      </c>
      <c r="C188" s="666">
        <v>0</v>
      </c>
      <c r="D188" s="666"/>
    </row>
    <row r="189" spans="1:4" x14ac:dyDescent="0.25">
      <c r="A189" s="665"/>
      <c r="B189" s="665" t="s">
        <v>287</v>
      </c>
      <c r="C189" s="666">
        <v>0</v>
      </c>
      <c r="D189" s="666"/>
    </row>
    <row r="190" spans="1:4" x14ac:dyDescent="0.25">
      <c r="A190" s="665"/>
      <c r="B190" s="665" t="s">
        <v>288</v>
      </c>
      <c r="C190" s="666">
        <v>0</v>
      </c>
      <c r="D190" s="666"/>
    </row>
    <row r="191" spans="1:4" x14ac:dyDescent="0.25">
      <c r="A191" s="665"/>
      <c r="B191" s="665" t="s">
        <v>360</v>
      </c>
      <c r="C191" s="666">
        <v>233100</v>
      </c>
      <c r="D191" s="666"/>
    </row>
    <row r="192" spans="1:4" x14ac:dyDescent="0.25">
      <c r="A192" s="665"/>
      <c r="B192" s="665" t="s">
        <v>361</v>
      </c>
      <c r="C192" s="666">
        <v>774735</v>
      </c>
      <c r="D192" s="666"/>
    </row>
    <row r="193" spans="1:4" x14ac:dyDescent="0.25">
      <c r="A193" s="665"/>
      <c r="B193" s="665" t="s">
        <v>362</v>
      </c>
      <c r="C193" s="666">
        <v>0</v>
      </c>
      <c r="D193" s="666"/>
    </row>
    <row r="194" spans="1:4" x14ac:dyDescent="0.25">
      <c r="A194" s="665"/>
      <c r="B194" s="665" t="s">
        <v>363</v>
      </c>
      <c r="C194" s="666">
        <v>5744703.1699999999</v>
      </c>
      <c r="D194" s="666"/>
    </row>
    <row r="195" spans="1:4" x14ac:dyDescent="0.25">
      <c r="A195" s="665"/>
      <c r="B195" s="665" t="s">
        <v>364</v>
      </c>
      <c r="C195" s="666">
        <v>1324113.5900000001</v>
      </c>
      <c r="D195" s="666"/>
    </row>
    <row r="196" spans="1:4" x14ac:dyDescent="0.25">
      <c r="A196" s="665"/>
      <c r="B196" s="665" t="s">
        <v>365</v>
      </c>
      <c r="C196" s="666">
        <v>706531.5</v>
      </c>
      <c r="D196" s="666"/>
    </row>
    <row r="197" spans="1:4" x14ac:dyDescent="0.25">
      <c r="A197" s="665"/>
      <c r="B197" s="665" t="s">
        <v>537</v>
      </c>
      <c r="C197" s="666">
        <v>2389341</v>
      </c>
      <c r="D197" s="666"/>
    </row>
    <row r="198" spans="1:4" x14ac:dyDescent="0.25">
      <c r="A198" s="665"/>
      <c r="B198" s="665" t="s">
        <v>538</v>
      </c>
      <c r="C198" s="666">
        <v>1726683</v>
      </c>
      <c r="D198" s="666"/>
    </row>
    <row r="199" spans="1:4" x14ac:dyDescent="0.25">
      <c r="A199" s="665"/>
      <c r="B199" s="665" t="s">
        <v>539</v>
      </c>
      <c r="C199" s="666">
        <v>4930857.12</v>
      </c>
      <c r="D199" s="666"/>
    </row>
    <row r="200" spans="1:4" x14ac:dyDescent="0.25">
      <c r="A200" s="665"/>
      <c r="B200" s="665" t="s">
        <v>1697</v>
      </c>
      <c r="C200" s="666">
        <v>457435</v>
      </c>
      <c r="D200" s="666"/>
    </row>
    <row r="201" spans="1:4" x14ac:dyDescent="0.25">
      <c r="A201" s="665"/>
      <c r="B201" s="665" t="s">
        <v>1698</v>
      </c>
      <c r="C201" s="666">
        <v>3412350</v>
      </c>
      <c r="D201" s="666"/>
    </row>
    <row r="202" spans="1:4" x14ac:dyDescent="0.25">
      <c r="A202" s="665"/>
      <c r="B202" s="665" t="s">
        <v>1699</v>
      </c>
      <c r="C202" s="666">
        <v>845571.77</v>
      </c>
      <c r="D202" s="666"/>
    </row>
    <row r="203" spans="1:4" x14ac:dyDescent="0.25">
      <c r="A203" s="665"/>
      <c r="B203" s="665" t="s">
        <v>1700</v>
      </c>
      <c r="C203" s="666">
        <v>7045584.3399999999</v>
      </c>
      <c r="D203" s="666"/>
    </row>
    <row r="204" spans="1:4" x14ac:dyDescent="0.25">
      <c r="A204" s="665"/>
      <c r="B204" s="665" t="s">
        <v>1701</v>
      </c>
      <c r="C204" s="666">
        <v>4600969</v>
      </c>
      <c r="D204" s="666"/>
    </row>
    <row r="205" spans="1:4" x14ac:dyDescent="0.25">
      <c r="A205" s="665"/>
      <c r="B205" s="665" t="s">
        <v>1702</v>
      </c>
      <c r="C205" s="666">
        <v>223100</v>
      </c>
      <c r="D205" s="666"/>
    </row>
    <row r="206" spans="1:4" x14ac:dyDescent="0.25">
      <c r="A206" s="665"/>
      <c r="B206" s="665" t="s">
        <v>366</v>
      </c>
      <c r="C206" s="666">
        <v>0</v>
      </c>
      <c r="D206" s="666"/>
    </row>
    <row r="207" spans="1:4" x14ac:dyDescent="0.25">
      <c r="A207" s="665"/>
      <c r="B207" s="665" t="s">
        <v>1703</v>
      </c>
      <c r="C207" s="666">
        <v>750</v>
      </c>
      <c r="D207" s="666"/>
    </row>
    <row r="208" spans="1:4" x14ac:dyDescent="0.25">
      <c r="A208" s="665"/>
      <c r="B208" s="665" t="s">
        <v>146</v>
      </c>
      <c r="C208" s="666">
        <v>2000000</v>
      </c>
      <c r="D208" s="666"/>
    </row>
    <row r="209" spans="1:4" x14ac:dyDescent="0.25">
      <c r="A209" s="665"/>
      <c r="B209" s="665" t="s">
        <v>772</v>
      </c>
      <c r="C209" s="666"/>
      <c r="D209" s="666">
        <v>2000000</v>
      </c>
    </row>
    <row r="210" spans="1:4" x14ac:dyDescent="0.25">
      <c r="A210" s="665"/>
      <c r="B210" s="665" t="s">
        <v>1045</v>
      </c>
      <c r="C210" s="666"/>
      <c r="D210" s="666">
        <v>395837</v>
      </c>
    </row>
    <row r="211" spans="1:4" x14ac:dyDescent="0.25">
      <c r="A211" s="665"/>
      <c r="B211" s="665" t="s">
        <v>147</v>
      </c>
      <c r="C211" s="666">
        <v>0</v>
      </c>
      <c r="D211" s="666"/>
    </row>
    <row r="212" spans="1:4" x14ac:dyDescent="0.25">
      <c r="A212" s="665"/>
      <c r="B212" s="665" t="s">
        <v>1704</v>
      </c>
      <c r="C212" s="666">
        <v>138105</v>
      </c>
      <c r="D212" s="666"/>
    </row>
    <row r="213" spans="1:4" x14ac:dyDescent="0.25">
      <c r="A213" s="665"/>
      <c r="B213" s="665" t="s">
        <v>148</v>
      </c>
      <c r="C213" s="666"/>
      <c r="D213" s="666">
        <v>54164068.119999997</v>
      </c>
    </row>
    <row r="214" spans="1:4" x14ac:dyDescent="0.25">
      <c r="A214" s="665"/>
      <c r="B214" s="665" t="s">
        <v>673</v>
      </c>
      <c r="C214" s="666">
        <v>65391.75</v>
      </c>
      <c r="D214" s="666"/>
    </row>
    <row r="215" spans="1:4" x14ac:dyDescent="0.25">
      <c r="A215" s="665"/>
      <c r="B215" s="665" t="s">
        <v>674</v>
      </c>
      <c r="C215" s="666"/>
      <c r="D215" s="666">
        <v>6256137.7300000004</v>
      </c>
    </row>
    <row r="216" spans="1:4" x14ac:dyDescent="0.25">
      <c r="A216" s="665"/>
      <c r="B216" s="665" t="s">
        <v>367</v>
      </c>
      <c r="C216" s="666"/>
      <c r="D216" s="666">
        <v>336099.34</v>
      </c>
    </row>
    <row r="217" spans="1:4" x14ac:dyDescent="0.25">
      <c r="A217" s="665"/>
      <c r="B217" s="665" t="s">
        <v>368</v>
      </c>
      <c r="C217" s="666"/>
      <c r="D217" s="666">
        <v>250652.26</v>
      </c>
    </row>
    <row r="218" spans="1:4" x14ac:dyDescent="0.25">
      <c r="A218" s="665"/>
      <c r="B218" s="665" t="s">
        <v>675</v>
      </c>
      <c r="C218" s="666">
        <v>0</v>
      </c>
      <c r="D218" s="666"/>
    </row>
    <row r="219" spans="1:4" x14ac:dyDescent="0.25">
      <c r="A219" s="665"/>
      <c r="B219" s="665" t="s">
        <v>849</v>
      </c>
      <c r="C219" s="666">
        <v>0</v>
      </c>
      <c r="D219" s="666"/>
    </row>
    <row r="220" spans="1:4" x14ac:dyDescent="0.25">
      <c r="A220" s="665"/>
      <c r="B220" s="665" t="s">
        <v>676</v>
      </c>
      <c r="C220" s="666">
        <v>0</v>
      </c>
      <c r="D220" s="666"/>
    </row>
    <row r="221" spans="1:4" x14ac:dyDescent="0.25">
      <c r="A221" s="665"/>
      <c r="B221" s="665" t="s">
        <v>677</v>
      </c>
      <c r="C221" s="666">
        <v>0</v>
      </c>
      <c r="D221" s="666"/>
    </row>
    <row r="222" spans="1:4" x14ac:dyDescent="0.25">
      <c r="A222" s="665"/>
      <c r="B222" s="665" t="s">
        <v>678</v>
      </c>
      <c r="C222" s="666">
        <v>0</v>
      </c>
      <c r="D222" s="666"/>
    </row>
    <row r="223" spans="1:4" x14ac:dyDescent="0.25">
      <c r="A223" s="665"/>
      <c r="B223" s="665" t="s">
        <v>679</v>
      </c>
      <c r="C223" s="666">
        <v>0</v>
      </c>
      <c r="D223" s="666"/>
    </row>
    <row r="224" spans="1:4" x14ac:dyDescent="0.25">
      <c r="A224" s="665"/>
      <c r="B224" s="665" t="s">
        <v>149</v>
      </c>
      <c r="C224" s="666"/>
      <c r="D224" s="666">
        <v>30215030.09</v>
      </c>
    </row>
    <row r="225" spans="1:4" x14ac:dyDescent="0.25">
      <c r="A225" s="665"/>
      <c r="B225" s="665" t="s">
        <v>150</v>
      </c>
      <c r="C225" s="666">
        <v>0</v>
      </c>
      <c r="D225" s="666"/>
    </row>
    <row r="226" spans="1:4" x14ac:dyDescent="0.25">
      <c r="A226" s="665"/>
      <c r="B226" s="665" t="s">
        <v>151</v>
      </c>
      <c r="C226" s="666">
        <v>0</v>
      </c>
      <c r="D226" s="666"/>
    </row>
    <row r="227" spans="1:4" x14ac:dyDescent="0.25">
      <c r="A227" s="665"/>
      <c r="B227" s="665" t="s">
        <v>152</v>
      </c>
      <c r="C227" s="666"/>
      <c r="D227" s="666">
        <v>85071.3</v>
      </c>
    </row>
    <row r="228" spans="1:4" x14ac:dyDescent="0.25">
      <c r="A228" s="665"/>
      <c r="B228" s="665" t="s">
        <v>153</v>
      </c>
      <c r="C228" s="666"/>
      <c r="D228" s="666">
        <v>47803.34</v>
      </c>
    </row>
    <row r="229" spans="1:4" x14ac:dyDescent="0.25">
      <c r="A229" s="665"/>
      <c r="B229" s="665" t="s">
        <v>154</v>
      </c>
      <c r="C229" s="666"/>
      <c r="D229" s="666">
        <v>3344994</v>
      </c>
    </row>
    <row r="230" spans="1:4" x14ac:dyDescent="0.25">
      <c r="A230" s="665"/>
      <c r="B230" s="665" t="s">
        <v>155</v>
      </c>
      <c r="C230" s="666">
        <v>2500</v>
      </c>
      <c r="D230" s="666"/>
    </row>
    <row r="231" spans="1:4" x14ac:dyDescent="0.25">
      <c r="A231" s="665"/>
      <c r="B231" s="665" t="s">
        <v>156</v>
      </c>
      <c r="C231" s="666"/>
      <c r="D231" s="666">
        <v>272000</v>
      </c>
    </row>
    <row r="232" spans="1:4" x14ac:dyDescent="0.25">
      <c r="A232" s="665"/>
      <c r="B232" s="665" t="s">
        <v>157</v>
      </c>
      <c r="C232" s="666">
        <v>0</v>
      </c>
      <c r="D232" s="666"/>
    </row>
    <row r="233" spans="1:4" x14ac:dyDescent="0.25">
      <c r="A233" s="665"/>
      <c r="B233" s="665" t="s">
        <v>1705</v>
      </c>
      <c r="C233" s="666">
        <v>0</v>
      </c>
      <c r="D233" s="666"/>
    </row>
    <row r="234" spans="1:4" x14ac:dyDescent="0.25">
      <c r="A234" s="665"/>
      <c r="B234" s="665" t="s">
        <v>158</v>
      </c>
      <c r="C234" s="666"/>
      <c r="D234" s="666">
        <v>26670.92</v>
      </c>
    </row>
    <row r="235" spans="1:4" x14ac:dyDescent="0.25">
      <c r="A235" s="665"/>
      <c r="B235" s="665" t="s">
        <v>159</v>
      </c>
      <c r="C235" s="666">
        <v>0</v>
      </c>
      <c r="D235" s="666"/>
    </row>
    <row r="236" spans="1:4" x14ac:dyDescent="0.25">
      <c r="A236" s="665"/>
      <c r="B236" s="665" t="s">
        <v>160</v>
      </c>
      <c r="C236" s="666">
        <v>0</v>
      </c>
      <c r="D236" s="666"/>
    </row>
    <row r="237" spans="1:4" x14ac:dyDescent="0.25">
      <c r="A237" s="665"/>
      <c r="B237" s="665" t="s">
        <v>1706</v>
      </c>
      <c r="C237" s="666"/>
      <c r="D237" s="666">
        <v>6000</v>
      </c>
    </row>
    <row r="238" spans="1:4" x14ac:dyDescent="0.25">
      <c r="A238" s="665"/>
      <c r="B238" s="665" t="s">
        <v>680</v>
      </c>
      <c r="C238" s="666">
        <v>301000</v>
      </c>
      <c r="D238" s="666"/>
    </row>
    <row r="239" spans="1:4" x14ac:dyDescent="0.25">
      <c r="A239" s="665"/>
      <c r="B239" s="665" t="s">
        <v>681</v>
      </c>
      <c r="C239" s="666"/>
      <c r="D239" s="666">
        <v>600892.18999999994</v>
      </c>
    </row>
    <row r="240" spans="1:4" x14ac:dyDescent="0.25">
      <c r="A240" s="665"/>
      <c r="B240" s="665" t="s">
        <v>1707</v>
      </c>
      <c r="C240" s="666">
        <v>0</v>
      </c>
      <c r="D240" s="666"/>
    </row>
    <row r="241" spans="1:4" x14ac:dyDescent="0.25">
      <c r="A241" s="665"/>
      <c r="B241" s="665" t="s">
        <v>1708</v>
      </c>
      <c r="C241" s="666">
        <v>92705.83</v>
      </c>
      <c r="D241" s="666"/>
    </row>
    <row r="242" spans="1:4" x14ac:dyDescent="0.25">
      <c r="A242" s="665"/>
      <c r="B242" s="665" t="s">
        <v>161</v>
      </c>
      <c r="C242" s="666">
        <v>0</v>
      </c>
      <c r="D242" s="666"/>
    </row>
    <row r="243" spans="1:4" x14ac:dyDescent="0.25">
      <c r="A243" s="665"/>
      <c r="B243" s="665" t="s">
        <v>162</v>
      </c>
      <c r="C243" s="666">
        <v>0</v>
      </c>
      <c r="D243" s="666"/>
    </row>
    <row r="244" spans="1:4" x14ac:dyDescent="0.25">
      <c r="A244" s="665"/>
      <c r="B244" s="665" t="s">
        <v>163</v>
      </c>
      <c r="C244" s="666">
        <v>0</v>
      </c>
      <c r="D244" s="666"/>
    </row>
    <row r="245" spans="1:4" x14ac:dyDescent="0.25">
      <c r="A245" s="665"/>
      <c r="B245" s="665" t="s">
        <v>1709</v>
      </c>
      <c r="C245" s="666">
        <v>0</v>
      </c>
      <c r="D245" s="666"/>
    </row>
    <row r="246" spans="1:4" x14ac:dyDescent="0.25">
      <c r="A246" s="665"/>
      <c r="B246" s="665" t="s">
        <v>1710</v>
      </c>
      <c r="C246" s="666">
        <v>0</v>
      </c>
      <c r="D246" s="666"/>
    </row>
    <row r="247" spans="1:4" x14ac:dyDescent="0.25">
      <c r="A247" s="665"/>
      <c r="B247" s="665" t="s">
        <v>369</v>
      </c>
      <c r="C247" s="666">
        <v>0</v>
      </c>
      <c r="D247" s="666"/>
    </row>
    <row r="248" spans="1:4" x14ac:dyDescent="0.25">
      <c r="A248" s="665"/>
      <c r="B248" s="665" t="s">
        <v>540</v>
      </c>
      <c r="C248" s="666">
        <v>38019467.450000003</v>
      </c>
      <c r="D248" s="666"/>
    </row>
    <row r="249" spans="1:4" x14ac:dyDescent="0.25">
      <c r="A249" s="665"/>
      <c r="B249" s="665" t="s">
        <v>1711</v>
      </c>
      <c r="C249" s="666">
        <v>152501.68</v>
      </c>
      <c r="D249" s="666"/>
    </row>
    <row r="250" spans="1:4" x14ac:dyDescent="0.25">
      <c r="A250" s="665"/>
      <c r="B250" s="665" t="s">
        <v>683</v>
      </c>
      <c r="C250" s="666">
        <v>0</v>
      </c>
      <c r="D250" s="666"/>
    </row>
    <row r="251" spans="1:4" x14ac:dyDescent="0.25">
      <c r="A251" s="665"/>
      <c r="B251" s="665" t="s">
        <v>1712</v>
      </c>
      <c r="C251" s="666"/>
      <c r="D251" s="666">
        <v>35240</v>
      </c>
    </row>
    <row r="252" spans="1:4" x14ac:dyDescent="0.25">
      <c r="A252" s="665"/>
      <c r="B252" s="665" t="s">
        <v>1713</v>
      </c>
      <c r="C252" s="666"/>
      <c r="D252" s="666">
        <v>220790.84</v>
      </c>
    </row>
    <row r="253" spans="1:4" x14ac:dyDescent="0.25">
      <c r="A253" s="665"/>
      <c r="B253" s="665" t="s">
        <v>1714</v>
      </c>
      <c r="C253" s="666">
        <v>0</v>
      </c>
      <c r="D253" s="666"/>
    </row>
    <row r="254" spans="1:4" x14ac:dyDescent="0.25">
      <c r="A254" s="665"/>
      <c r="B254" s="665" t="s">
        <v>166</v>
      </c>
      <c r="C254" s="666">
        <v>23030</v>
      </c>
      <c r="D254" s="666"/>
    </row>
    <row r="255" spans="1:4" x14ac:dyDescent="0.25">
      <c r="A255" s="665"/>
      <c r="B255" s="665" t="s">
        <v>541</v>
      </c>
      <c r="C255" s="666">
        <v>0</v>
      </c>
      <c r="D255" s="666"/>
    </row>
    <row r="256" spans="1:4" x14ac:dyDescent="0.25">
      <c r="A256" s="665"/>
      <c r="B256" s="665" t="s">
        <v>542</v>
      </c>
      <c r="C256" s="666"/>
      <c r="D256" s="666">
        <v>1874847</v>
      </c>
    </row>
    <row r="257" spans="1:4" x14ac:dyDescent="0.25">
      <c r="A257" s="665"/>
      <c r="B257" s="665" t="s">
        <v>637</v>
      </c>
      <c r="C257" s="666"/>
      <c r="D257" s="666">
        <v>8591487.0600000005</v>
      </c>
    </row>
    <row r="258" spans="1:4" x14ac:dyDescent="0.25">
      <c r="A258" s="665"/>
      <c r="B258" s="665" t="s">
        <v>167</v>
      </c>
      <c r="C258" s="666"/>
      <c r="D258" s="666">
        <v>96340074.5</v>
      </c>
    </row>
    <row r="259" spans="1:4" x14ac:dyDescent="0.25">
      <c r="A259" s="665"/>
      <c r="B259" s="665" t="s">
        <v>168</v>
      </c>
      <c r="C259" s="666"/>
      <c r="D259" s="666">
        <v>1137374.92</v>
      </c>
    </row>
    <row r="260" spans="1:4" x14ac:dyDescent="0.25">
      <c r="A260" s="665"/>
      <c r="B260" s="665" t="s">
        <v>638</v>
      </c>
      <c r="C260" s="666"/>
      <c r="D260" s="666">
        <v>107410242.23</v>
      </c>
    </row>
    <row r="261" spans="1:4" x14ac:dyDescent="0.25">
      <c r="A261" s="665"/>
      <c r="B261" s="665" t="s">
        <v>1715</v>
      </c>
      <c r="C261" s="666">
        <v>3318144.12</v>
      </c>
      <c r="D261" s="666"/>
    </row>
    <row r="262" spans="1:4" x14ac:dyDescent="0.25">
      <c r="A262" s="665"/>
      <c r="B262" s="665" t="s">
        <v>169</v>
      </c>
      <c r="C262" s="666">
        <v>0</v>
      </c>
      <c r="D262" s="666"/>
    </row>
    <row r="263" spans="1:4" x14ac:dyDescent="0.25">
      <c r="A263" s="665"/>
      <c r="B263" s="665" t="s">
        <v>522</v>
      </c>
      <c r="C263" s="666"/>
      <c r="D263" s="666">
        <v>10000</v>
      </c>
    </row>
    <row r="264" spans="1:4" x14ac:dyDescent="0.25">
      <c r="A264" s="665"/>
      <c r="B264" s="665" t="s">
        <v>1546</v>
      </c>
      <c r="C264" s="666"/>
      <c r="D264" s="666">
        <v>1000000</v>
      </c>
    </row>
    <row r="265" spans="1:4" x14ac:dyDescent="0.25">
      <c r="A265" s="665"/>
      <c r="B265" s="665" t="s">
        <v>1547</v>
      </c>
      <c r="C265" s="666"/>
      <c r="D265" s="666">
        <v>38608</v>
      </c>
    </row>
    <row r="266" spans="1:4" x14ac:dyDescent="0.25">
      <c r="A266" s="665"/>
      <c r="B266" s="665" t="s">
        <v>684</v>
      </c>
      <c r="C266" s="666"/>
      <c r="D266" s="666">
        <v>4609157.72</v>
      </c>
    </row>
    <row r="267" spans="1:4" x14ac:dyDescent="0.25">
      <c r="A267" s="665"/>
      <c r="B267" s="665" t="s">
        <v>685</v>
      </c>
      <c r="C267" s="666"/>
      <c r="D267" s="666">
        <v>13352356.07</v>
      </c>
    </row>
    <row r="268" spans="1:4" x14ac:dyDescent="0.25">
      <c r="A268" s="665"/>
      <c r="B268" s="665" t="s">
        <v>1716</v>
      </c>
      <c r="C268" s="666">
        <v>0</v>
      </c>
      <c r="D268" s="666"/>
    </row>
    <row r="269" spans="1:4" x14ac:dyDescent="0.25">
      <c r="A269" s="665"/>
      <c r="B269" s="665" t="s">
        <v>1717</v>
      </c>
      <c r="C269" s="666"/>
      <c r="D269" s="666">
        <v>11599969.24</v>
      </c>
    </row>
    <row r="270" spans="1:4" x14ac:dyDescent="0.25">
      <c r="A270" s="665"/>
      <c r="B270" s="665" t="s">
        <v>1718</v>
      </c>
      <c r="C270" s="666"/>
      <c r="D270" s="666">
        <v>12699028.67</v>
      </c>
    </row>
    <row r="271" spans="1:4" x14ac:dyDescent="0.25">
      <c r="A271" s="665"/>
      <c r="B271" s="665" t="s">
        <v>687</v>
      </c>
      <c r="C271" s="666">
        <v>0</v>
      </c>
      <c r="D271" s="666"/>
    </row>
    <row r="272" spans="1:4" x14ac:dyDescent="0.25">
      <c r="A272" s="665"/>
      <c r="B272" s="665" t="s">
        <v>1719</v>
      </c>
      <c r="C272" s="666"/>
      <c r="D272" s="666">
        <v>623893</v>
      </c>
    </row>
    <row r="273" spans="1:4" x14ac:dyDescent="0.25">
      <c r="A273" s="665"/>
      <c r="B273" s="665" t="s">
        <v>170</v>
      </c>
      <c r="C273" s="666">
        <v>0</v>
      </c>
      <c r="D273" s="666"/>
    </row>
    <row r="274" spans="1:4" x14ac:dyDescent="0.25">
      <c r="A274" s="665"/>
      <c r="B274" s="665" t="s">
        <v>171</v>
      </c>
      <c r="C274" s="666">
        <v>0</v>
      </c>
      <c r="D274" s="666"/>
    </row>
    <row r="275" spans="1:4" x14ac:dyDescent="0.25">
      <c r="A275" s="665"/>
      <c r="B275" s="665" t="s">
        <v>172</v>
      </c>
      <c r="C275" s="666">
        <v>0</v>
      </c>
      <c r="D275" s="666"/>
    </row>
    <row r="276" spans="1:4" x14ac:dyDescent="0.25">
      <c r="A276" s="665"/>
      <c r="B276" s="665" t="s">
        <v>1720</v>
      </c>
      <c r="C276" s="666"/>
      <c r="D276" s="666">
        <v>3112210.4</v>
      </c>
    </row>
    <row r="277" spans="1:4" x14ac:dyDescent="0.25">
      <c r="A277" s="665"/>
      <c r="B277" s="665" t="s">
        <v>1721</v>
      </c>
      <c r="C277" s="666"/>
      <c r="D277" s="666">
        <v>3018767</v>
      </c>
    </row>
    <row r="278" spans="1:4" x14ac:dyDescent="0.25">
      <c r="A278" s="665"/>
      <c r="B278" s="665" t="s">
        <v>1722</v>
      </c>
      <c r="C278" s="666"/>
      <c r="D278" s="666">
        <v>8067466.6100000003</v>
      </c>
    </row>
    <row r="279" spans="1:4" x14ac:dyDescent="0.25">
      <c r="A279" s="665"/>
      <c r="B279" s="665" t="s">
        <v>1723</v>
      </c>
      <c r="C279" s="666"/>
      <c r="D279" s="666">
        <v>1483227</v>
      </c>
    </row>
    <row r="280" spans="1:4" x14ac:dyDescent="0.25">
      <c r="A280" s="665"/>
      <c r="B280" s="665" t="s">
        <v>1724</v>
      </c>
      <c r="C280" s="666"/>
      <c r="D280" s="666">
        <v>4999495.21</v>
      </c>
    </row>
    <row r="281" spans="1:4" x14ac:dyDescent="0.25">
      <c r="A281" s="665"/>
      <c r="B281" s="665" t="s">
        <v>173</v>
      </c>
      <c r="C281" s="666">
        <v>0</v>
      </c>
      <c r="D281" s="666"/>
    </row>
    <row r="282" spans="1:4" x14ac:dyDescent="0.25">
      <c r="A282" s="665"/>
      <c r="B282" s="665" t="s">
        <v>174</v>
      </c>
      <c r="C282" s="666">
        <v>0</v>
      </c>
      <c r="D282" s="666"/>
    </row>
    <row r="283" spans="1:4" x14ac:dyDescent="0.25">
      <c r="A283" s="665"/>
      <c r="B283" s="665" t="s">
        <v>289</v>
      </c>
      <c r="C283" s="666">
        <v>0</v>
      </c>
      <c r="D283" s="666"/>
    </row>
    <row r="284" spans="1:4" x14ac:dyDescent="0.25">
      <c r="A284" s="665"/>
      <c r="B284" s="665" t="s">
        <v>290</v>
      </c>
      <c r="C284" s="666">
        <v>0</v>
      </c>
      <c r="D284" s="666"/>
    </row>
    <row r="285" spans="1:4" x14ac:dyDescent="0.25">
      <c r="A285" s="665"/>
      <c r="B285" s="665" t="s">
        <v>370</v>
      </c>
      <c r="C285" s="666">
        <v>0</v>
      </c>
      <c r="D285" s="666"/>
    </row>
    <row r="286" spans="1:4" x14ac:dyDescent="0.25">
      <c r="A286" s="665"/>
      <c r="B286" s="665" t="s">
        <v>371</v>
      </c>
      <c r="C286" s="666">
        <v>0</v>
      </c>
      <c r="D286" s="666"/>
    </row>
    <row r="287" spans="1:4" x14ac:dyDescent="0.25">
      <c r="A287" s="665"/>
      <c r="B287" s="665" t="s">
        <v>372</v>
      </c>
      <c r="C287" s="666">
        <v>0</v>
      </c>
      <c r="D287" s="666"/>
    </row>
    <row r="288" spans="1:4" x14ac:dyDescent="0.25">
      <c r="A288" s="665"/>
      <c r="B288" s="665" t="s">
        <v>373</v>
      </c>
      <c r="C288" s="666">
        <v>0</v>
      </c>
      <c r="D288" s="666"/>
    </row>
    <row r="289" spans="1:4" x14ac:dyDescent="0.25">
      <c r="A289" s="665"/>
      <c r="B289" s="665" t="s">
        <v>1725</v>
      </c>
      <c r="C289" s="666"/>
      <c r="D289" s="666">
        <v>2146011</v>
      </c>
    </row>
    <row r="290" spans="1:4" x14ac:dyDescent="0.25">
      <c r="A290" s="665"/>
      <c r="B290" s="665" t="s">
        <v>1726</v>
      </c>
      <c r="C290" s="666">
        <v>644705.51</v>
      </c>
      <c r="D290" s="666"/>
    </row>
    <row r="291" spans="1:4" x14ac:dyDescent="0.25">
      <c r="A291" s="665"/>
      <c r="B291" s="665" t="s">
        <v>1727</v>
      </c>
      <c r="C291" s="666"/>
      <c r="D291" s="666">
        <v>1907595</v>
      </c>
    </row>
    <row r="292" spans="1:4" x14ac:dyDescent="0.25">
      <c r="A292" s="665"/>
      <c r="B292" s="665" t="s">
        <v>1728</v>
      </c>
      <c r="C292" s="666">
        <v>573103.56000000006</v>
      </c>
      <c r="D292" s="666"/>
    </row>
    <row r="293" spans="1:4" x14ac:dyDescent="0.25">
      <c r="A293" s="665"/>
      <c r="B293" s="665" t="s">
        <v>545</v>
      </c>
      <c r="C293" s="666"/>
      <c r="D293" s="666">
        <v>7916666.9400000004</v>
      </c>
    </row>
    <row r="294" spans="1:4" x14ac:dyDescent="0.25">
      <c r="A294" s="665"/>
      <c r="B294" s="665" t="s">
        <v>1729</v>
      </c>
      <c r="C294" s="666"/>
      <c r="D294" s="666">
        <v>8882471.7699999996</v>
      </c>
    </row>
    <row r="295" spans="1:4" x14ac:dyDescent="0.25">
      <c r="A295" s="665"/>
      <c r="B295" s="665" t="s">
        <v>1730</v>
      </c>
      <c r="C295" s="666"/>
      <c r="D295" s="666">
        <v>534840</v>
      </c>
    </row>
    <row r="296" spans="1:4" x14ac:dyDescent="0.25">
      <c r="A296" s="665"/>
      <c r="B296" s="665" t="s">
        <v>1731</v>
      </c>
      <c r="C296" s="666"/>
      <c r="D296" s="666">
        <v>2702394.97</v>
      </c>
    </row>
    <row r="297" spans="1:4" x14ac:dyDescent="0.25">
      <c r="A297" s="665"/>
      <c r="B297" s="665" t="s">
        <v>1732</v>
      </c>
      <c r="C297" s="666"/>
      <c r="D297" s="666">
        <v>2025870</v>
      </c>
    </row>
    <row r="298" spans="1:4" x14ac:dyDescent="0.25">
      <c r="A298" s="665"/>
      <c r="B298" s="665" t="s">
        <v>1733</v>
      </c>
      <c r="C298" s="666">
        <v>458685.94</v>
      </c>
      <c r="D298" s="666"/>
    </row>
    <row r="299" spans="1:4" x14ac:dyDescent="0.25">
      <c r="A299" s="665"/>
      <c r="B299" s="665" t="s">
        <v>1734</v>
      </c>
      <c r="C299" s="666"/>
      <c r="D299" s="666">
        <v>24728190.48</v>
      </c>
    </row>
    <row r="300" spans="1:4" x14ac:dyDescent="0.25">
      <c r="A300" s="665"/>
      <c r="B300" s="665" t="s">
        <v>1735</v>
      </c>
      <c r="C300" s="666">
        <v>2574759.83</v>
      </c>
      <c r="D300" s="666"/>
    </row>
    <row r="301" spans="1:4" x14ac:dyDescent="0.25">
      <c r="A301" s="665"/>
      <c r="B301" s="665" t="s">
        <v>1736</v>
      </c>
      <c r="C301" s="666"/>
      <c r="D301" s="666">
        <v>7465797</v>
      </c>
    </row>
    <row r="302" spans="1:4" x14ac:dyDescent="0.25">
      <c r="A302" s="665"/>
      <c r="B302" s="665" t="s">
        <v>1737</v>
      </c>
      <c r="C302" s="666">
        <v>142352.51</v>
      </c>
      <c r="D302" s="666"/>
    </row>
    <row r="303" spans="1:4" x14ac:dyDescent="0.25">
      <c r="A303" s="665"/>
      <c r="B303" s="665" t="s">
        <v>1738</v>
      </c>
      <c r="C303" s="666">
        <v>142637.07</v>
      </c>
      <c r="D303" s="666"/>
    </row>
    <row r="304" spans="1:4" x14ac:dyDescent="0.25">
      <c r="A304" s="665"/>
      <c r="B304" s="665" t="s">
        <v>175</v>
      </c>
      <c r="C304" s="666">
        <v>0</v>
      </c>
      <c r="D304" s="666"/>
    </row>
    <row r="305" spans="1:4" x14ac:dyDescent="0.25">
      <c r="A305" s="665"/>
      <c r="B305" s="665" t="s">
        <v>176</v>
      </c>
      <c r="C305" s="666"/>
      <c r="D305" s="666">
        <v>2000020</v>
      </c>
    </row>
    <row r="306" spans="1:4" x14ac:dyDescent="0.25">
      <c r="A306" s="665"/>
      <c r="B306" s="665" t="s">
        <v>689</v>
      </c>
      <c r="C306" s="666">
        <v>0</v>
      </c>
      <c r="D306" s="666"/>
    </row>
    <row r="307" spans="1:4" x14ac:dyDescent="0.25">
      <c r="A307" s="665"/>
      <c r="B307" s="665" t="s">
        <v>690</v>
      </c>
      <c r="C307" s="666">
        <v>0</v>
      </c>
      <c r="D307" s="666"/>
    </row>
    <row r="308" spans="1:4" x14ac:dyDescent="0.25">
      <c r="A308" s="665"/>
      <c r="B308" s="665" t="s">
        <v>177</v>
      </c>
      <c r="C308" s="666"/>
      <c r="D308" s="666">
        <v>24639053.23</v>
      </c>
    </row>
    <row r="309" spans="1:4" x14ac:dyDescent="0.25">
      <c r="A309" s="665"/>
      <c r="B309" s="665" t="s">
        <v>1739</v>
      </c>
      <c r="C309" s="666">
        <v>0</v>
      </c>
      <c r="D309" s="666"/>
    </row>
    <row r="310" spans="1:4" x14ac:dyDescent="0.25">
      <c r="A310" s="665"/>
      <c r="B310" s="665" t="s">
        <v>178</v>
      </c>
      <c r="C310" s="666"/>
      <c r="D310" s="666">
        <v>116029441.66</v>
      </c>
    </row>
    <row r="311" spans="1:4" x14ac:dyDescent="0.25">
      <c r="A311" s="665"/>
      <c r="B311" s="665" t="s">
        <v>179</v>
      </c>
      <c r="C311" s="666"/>
      <c r="D311" s="666">
        <v>29506313.32</v>
      </c>
    </row>
    <row r="312" spans="1:4" x14ac:dyDescent="0.25">
      <c r="A312" s="665"/>
      <c r="B312" s="665" t="s">
        <v>180</v>
      </c>
      <c r="C312" s="666"/>
      <c r="D312" s="666">
        <v>3942391.18</v>
      </c>
    </row>
    <row r="313" spans="1:4" x14ac:dyDescent="0.25">
      <c r="A313" s="665"/>
      <c r="B313" s="665" t="s">
        <v>181</v>
      </c>
      <c r="C313" s="666"/>
      <c r="D313" s="666">
        <v>3128490.28</v>
      </c>
    </row>
    <row r="314" spans="1:4" x14ac:dyDescent="0.25">
      <c r="A314" s="665"/>
      <c r="B314" s="665" t="s">
        <v>182</v>
      </c>
      <c r="C314" s="666"/>
      <c r="D314" s="666">
        <v>12484055.800000001</v>
      </c>
    </row>
    <row r="315" spans="1:4" x14ac:dyDescent="0.25">
      <c r="A315" s="665"/>
      <c r="B315" s="665" t="s">
        <v>183</v>
      </c>
      <c r="C315" s="666"/>
      <c r="D315" s="666">
        <v>1074592.8400000001</v>
      </c>
    </row>
    <row r="316" spans="1:4" x14ac:dyDescent="0.25">
      <c r="A316" s="665"/>
      <c r="B316" s="665" t="s">
        <v>692</v>
      </c>
      <c r="C316" s="666">
        <v>113897.33</v>
      </c>
      <c r="D316" s="666"/>
    </row>
    <row r="317" spans="1:4" x14ac:dyDescent="0.25">
      <c r="A317" s="665"/>
      <c r="B317" s="665" t="s">
        <v>189</v>
      </c>
      <c r="C317" s="666">
        <v>9420126.4600000009</v>
      </c>
      <c r="D317" s="666"/>
    </row>
    <row r="318" spans="1:4" x14ac:dyDescent="0.25">
      <c r="A318" s="665"/>
      <c r="B318" s="665" t="s">
        <v>550</v>
      </c>
      <c r="C318" s="666">
        <v>3500</v>
      </c>
      <c r="D318" s="666"/>
    </row>
    <row r="319" spans="1:4" x14ac:dyDescent="0.25">
      <c r="A319" s="665"/>
      <c r="B319" s="665" t="s">
        <v>190</v>
      </c>
      <c r="C319" s="666">
        <v>970401</v>
      </c>
      <c r="D319" s="666"/>
    </row>
    <row r="320" spans="1:4" x14ac:dyDescent="0.25">
      <c r="A320" s="665"/>
      <c r="B320" s="665" t="s">
        <v>191</v>
      </c>
      <c r="C320" s="666">
        <v>74400</v>
      </c>
      <c r="D320" s="666"/>
    </row>
    <row r="321" spans="1:4" x14ac:dyDescent="0.25">
      <c r="A321" s="665"/>
      <c r="B321" s="665" t="s">
        <v>192</v>
      </c>
      <c r="C321" s="666">
        <v>1108810</v>
      </c>
      <c r="D321" s="666"/>
    </row>
    <row r="322" spans="1:4" x14ac:dyDescent="0.25">
      <c r="A322" s="665"/>
      <c r="B322" s="665" t="s">
        <v>552</v>
      </c>
      <c r="C322" s="666">
        <v>442333.36</v>
      </c>
      <c r="D322" s="666"/>
    </row>
    <row r="323" spans="1:4" x14ac:dyDescent="0.25">
      <c r="A323" s="665"/>
      <c r="B323" s="665" t="s">
        <v>559</v>
      </c>
      <c r="C323" s="666">
        <v>28000</v>
      </c>
      <c r="D323" s="666"/>
    </row>
    <row r="324" spans="1:4" x14ac:dyDescent="0.25">
      <c r="A324" s="665"/>
      <c r="B324" s="665" t="s">
        <v>560</v>
      </c>
      <c r="C324" s="666">
        <v>20000</v>
      </c>
      <c r="D324" s="666"/>
    </row>
    <row r="325" spans="1:4" x14ac:dyDescent="0.25">
      <c r="A325" s="665"/>
      <c r="B325" s="665" t="s">
        <v>561</v>
      </c>
      <c r="C325" s="666">
        <v>387000</v>
      </c>
      <c r="D325" s="666"/>
    </row>
    <row r="326" spans="1:4" x14ac:dyDescent="0.25">
      <c r="A326" s="665"/>
      <c r="B326" s="665" t="s">
        <v>389</v>
      </c>
      <c r="C326" s="666">
        <v>10120462.640000001</v>
      </c>
      <c r="D326" s="666"/>
    </row>
    <row r="327" spans="1:4" x14ac:dyDescent="0.25">
      <c r="A327" s="665"/>
      <c r="B327" s="665" t="s">
        <v>390</v>
      </c>
      <c r="C327" s="666">
        <v>820065.63</v>
      </c>
      <c r="D327" s="666"/>
    </row>
    <row r="328" spans="1:4" x14ac:dyDescent="0.25">
      <c r="A328" s="665"/>
      <c r="B328" s="665" t="s">
        <v>194</v>
      </c>
      <c r="C328" s="666">
        <v>119604.46</v>
      </c>
      <c r="D328" s="666"/>
    </row>
    <row r="329" spans="1:4" x14ac:dyDescent="0.25">
      <c r="A329" s="665"/>
      <c r="B329" s="665" t="s">
        <v>195</v>
      </c>
      <c r="C329" s="666">
        <v>1850</v>
      </c>
      <c r="D329" s="666"/>
    </row>
    <row r="330" spans="1:4" x14ac:dyDescent="0.25">
      <c r="A330" s="665"/>
      <c r="B330" s="665" t="s">
        <v>1740</v>
      </c>
      <c r="C330" s="666">
        <v>40555</v>
      </c>
      <c r="D330" s="666"/>
    </row>
    <row r="331" spans="1:4" x14ac:dyDescent="0.25">
      <c r="A331" s="665"/>
      <c r="B331" s="665" t="s">
        <v>196</v>
      </c>
      <c r="C331" s="666">
        <v>3156715</v>
      </c>
      <c r="D331" s="666"/>
    </row>
    <row r="332" spans="1:4" x14ac:dyDescent="0.25">
      <c r="A332" s="665"/>
      <c r="B332" s="665" t="s">
        <v>197</v>
      </c>
      <c r="C332" s="666">
        <v>388225.8</v>
      </c>
      <c r="D332" s="666"/>
    </row>
    <row r="333" spans="1:4" x14ac:dyDescent="0.25">
      <c r="A333" s="665"/>
      <c r="B333" s="665" t="s">
        <v>198</v>
      </c>
      <c r="C333" s="666">
        <v>97056.45</v>
      </c>
      <c r="D333" s="666"/>
    </row>
    <row r="334" spans="1:4" x14ac:dyDescent="0.25">
      <c r="A334" s="665"/>
      <c r="B334" s="665" t="s">
        <v>199</v>
      </c>
      <c r="C334" s="666">
        <v>951429.39</v>
      </c>
      <c r="D334" s="666"/>
    </row>
    <row r="335" spans="1:4" x14ac:dyDescent="0.25">
      <c r="A335" s="665"/>
      <c r="B335" s="665" t="s">
        <v>200</v>
      </c>
      <c r="C335" s="666">
        <v>493270.44</v>
      </c>
      <c r="D335" s="666"/>
    </row>
    <row r="336" spans="1:4" x14ac:dyDescent="0.25">
      <c r="A336" s="665"/>
      <c r="B336" s="665" t="s">
        <v>201</v>
      </c>
      <c r="C336" s="666">
        <v>148578.75</v>
      </c>
      <c r="D336" s="666"/>
    </row>
    <row r="337" spans="1:4" x14ac:dyDescent="0.25">
      <c r="A337" s="665"/>
      <c r="B337" s="665" t="s">
        <v>700</v>
      </c>
      <c r="C337" s="666">
        <v>1500</v>
      </c>
      <c r="D337" s="666"/>
    </row>
    <row r="338" spans="1:4" x14ac:dyDescent="0.25">
      <c r="A338" s="665"/>
      <c r="B338" s="665" t="s">
        <v>393</v>
      </c>
      <c r="C338" s="666">
        <v>6220</v>
      </c>
      <c r="D338" s="666"/>
    </row>
    <row r="339" spans="1:4" x14ac:dyDescent="0.25">
      <c r="A339" s="665"/>
      <c r="B339" s="665" t="s">
        <v>394</v>
      </c>
      <c r="C339" s="666">
        <v>115479.6</v>
      </c>
      <c r="D339" s="666"/>
    </row>
    <row r="340" spans="1:4" x14ac:dyDescent="0.25">
      <c r="A340" s="665"/>
      <c r="B340" s="665" t="s">
        <v>395</v>
      </c>
      <c r="C340" s="666">
        <v>17080</v>
      </c>
      <c r="D340" s="666"/>
    </row>
    <row r="341" spans="1:4" x14ac:dyDescent="0.25">
      <c r="A341" s="665"/>
      <c r="B341" s="665" t="s">
        <v>396</v>
      </c>
      <c r="C341" s="666">
        <v>103325.98</v>
      </c>
      <c r="D341" s="666"/>
    </row>
    <row r="342" spans="1:4" x14ac:dyDescent="0.25">
      <c r="A342" s="665"/>
      <c r="B342" s="665" t="s">
        <v>397</v>
      </c>
      <c r="C342" s="666">
        <v>11005.8</v>
      </c>
      <c r="D342" s="666"/>
    </row>
    <row r="343" spans="1:4" x14ac:dyDescent="0.25">
      <c r="A343" s="665"/>
      <c r="B343" s="665" t="s">
        <v>398</v>
      </c>
      <c r="C343" s="666">
        <v>33510</v>
      </c>
      <c r="D343" s="666"/>
    </row>
    <row r="344" spans="1:4" x14ac:dyDescent="0.25">
      <c r="A344" s="665"/>
      <c r="B344" s="665" t="s">
        <v>399</v>
      </c>
      <c r="C344" s="666">
        <v>351330.3</v>
      </c>
      <c r="D344" s="666"/>
    </row>
    <row r="345" spans="1:4" x14ac:dyDescent="0.25">
      <c r="A345" s="665"/>
      <c r="B345" s="665" t="s">
        <v>400</v>
      </c>
      <c r="C345" s="666">
        <v>52038</v>
      </c>
      <c r="D345" s="666"/>
    </row>
    <row r="346" spans="1:4" x14ac:dyDescent="0.25">
      <c r="A346" s="665"/>
      <c r="B346" s="665" t="s">
        <v>403</v>
      </c>
      <c r="C346" s="666">
        <v>583500</v>
      </c>
      <c r="D346" s="666"/>
    </row>
    <row r="347" spans="1:4" x14ac:dyDescent="0.25">
      <c r="A347" s="665"/>
      <c r="B347" s="665" t="s">
        <v>404</v>
      </c>
      <c r="C347" s="666">
        <v>70020</v>
      </c>
      <c r="D347" s="666"/>
    </row>
    <row r="348" spans="1:4" x14ac:dyDescent="0.25">
      <c r="A348" s="665"/>
      <c r="B348" s="665" t="s">
        <v>405</v>
      </c>
      <c r="C348" s="666">
        <v>17505</v>
      </c>
      <c r="D348" s="666"/>
    </row>
    <row r="349" spans="1:4" x14ac:dyDescent="0.25">
      <c r="A349" s="665"/>
      <c r="B349" s="665" t="s">
        <v>702</v>
      </c>
      <c r="C349" s="666">
        <v>421500</v>
      </c>
      <c r="D349" s="666"/>
    </row>
    <row r="350" spans="1:4" x14ac:dyDescent="0.25">
      <c r="A350" s="665"/>
      <c r="B350" s="665" t="s">
        <v>406</v>
      </c>
      <c r="C350" s="666">
        <v>16500</v>
      </c>
      <c r="D350" s="666"/>
    </row>
    <row r="351" spans="1:4" x14ac:dyDescent="0.25">
      <c r="A351" s="665"/>
      <c r="B351" s="665" t="s">
        <v>407</v>
      </c>
      <c r="C351" s="666">
        <v>93000</v>
      </c>
      <c r="D351" s="666"/>
    </row>
    <row r="352" spans="1:4" x14ac:dyDescent="0.25">
      <c r="A352" s="665"/>
      <c r="B352" s="665" t="s">
        <v>410</v>
      </c>
      <c r="C352" s="666">
        <v>14554.4</v>
      </c>
      <c r="D352" s="666"/>
    </row>
    <row r="353" spans="1:6" x14ac:dyDescent="0.25">
      <c r="A353" s="665"/>
      <c r="B353" s="665" t="s">
        <v>1741</v>
      </c>
      <c r="C353" s="666">
        <v>5455.95</v>
      </c>
      <c r="D353" s="666"/>
    </row>
    <row r="354" spans="1:6" x14ac:dyDescent="0.25">
      <c r="A354" s="665"/>
      <c r="B354" s="665" t="s">
        <v>412</v>
      </c>
      <c r="C354" s="666"/>
      <c r="D354" s="666">
        <v>6501.1</v>
      </c>
    </row>
    <row r="355" spans="1:6" x14ac:dyDescent="0.25">
      <c r="A355" s="665"/>
      <c r="B355" s="665" t="s">
        <v>704</v>
      </c>
      <c r="C355" s="666">
        <v>140320.17000000001</v>
      </c>
      <c r="D355" s="666"/>
    </row>
    <row r="356" spans="1:6" x14ac:dyDescent="0.25">
      <c r="A356" s="665"/>
      <c r="B356" s="665" t="s">
        <v>414</v>
      </c>
      <c r="C356" s="666">
        <v>77934</v>
      </c>
      <c r="D356" s="666"/>
    </row>
    <row r="357" spans="1:6" x14ac:dyDescent="0.25">
      <c r="A357" s="665"/>
      <c r="B357" s="665" t="s">
        <v>415</v>
      </c>
      <c r="C357" s="666">
        <v>6500</v>
      </c>
      <c r="D357" s="666"/>
    </row>
    <row r="358" spans="1:6" x14ac:dyDescent="0.25">
      <c r="A358" s="665"/>
      <c r="B358" s="665" t="s">
        <v>417</v>
      </c>
      <c r="C358" s="666">
        <v>39930</v>
      </c>
      <c r="D358" s="666"/>
    </row>
    <row r="359" spans="1:6" x14ac:dyDescent="0.25">
      <c r="A359" s="665"/>
      <c r="B359" s="665" t="s">
        <v>418</v>
      </c>
      <c r="C359" s="666">
        <v>2620</v>
      </c>
      <c r="D359" s="666"/>
    </row>
    <row r="360" spans="1:6" x14ac:dyDescent="0.25">
      <c r="A360" s="665"/>
      <c r="B360" s="665" t="s">
        <v>420</v>
      </c>
      <c r="C360" s="666">
        <v>138000</v>
      </c>
      <c r="D360" s="666"/>
    </row>
    <row r="361" spans="1:6" x14ac:dyDescent="0.25">
      <c r="A361" s="665"/>
      <c r="B361" s="665" t="s">
        <v>422</v>
      </c>
      <c r="C361" s="666">
        <v>78334.5</v>
      </c>
      <c r="D361" s="666"/>
    </row>
    <row r="362" spans="1:6" x14ac:dyDescent="0.25">
      <c r="A362" s="665"/>
      <c r="B362" s="665" t="s">
        <v>423</v>
      </c>
      <c r="C362" s="666">
        <v>4550</v>
      </c>
      <c r="D362" s="666"/>
    </row>
    <row r="363" spans="1:6" x14ac:dyDescent="0.25">
      <c r="A363" s="665"/>
      <c r="B363" s="665" t="s">
        <v>424</v>
      </c>
      <c r="C363" s="666">
        <v>87953</v>
      </c>
      <c r="D363" s="666"/>
    </row>
    <row r="364" spans="1:6" x14ac:dyDescent="0.25">
      <c r="A364" s="665"/>
      <c r="B364" s="665" t="s">
        <v>425</v>
      </c>
      <c r="C364" s="666">
        <v>14587</v>
      </c>
      <c r="D364" s="666"/>
    </row>
    <row r="365" spans="1:6" x14ac:dyDescent="0.25">
      <c r="A365" s="665"/>
      <c r="B365" s="665" t="s">
        <v>426</v>
      </c>
      <c r="C365" s="666">
        <v>430465.5</v>
      </c>
      <c r="D365" s="666"/>
    </row>
    <row r="366" spans="1:6" x14ac:dyDescent="0.25">
      <c r="A366" s="665"/>
      <c r="B366" s="665" t="s">
        <v>427</v>
      </c>
      <c r="C366" s="666">
        <v>2850</v>
      </c>
      <c r="D366" s="666"/>
    </row>
    <row r="367" spans="1:6" x14ac:dyDescent="0.25">
      <c r="A367" s="665"/>
      <c r="B367" s="685" t="s">
        <v>428</v>
      </c>
      <c r="C367" s="689">
        <v>430351.62</v>
      </c>
      <c r="D367" s="666"/>
      <c r="E367" s="679">
        <f>+C367</f>
        <v>430351.62</v>
      </c>
    </row>
    <row r="368" spans="1:6" x14ac:dyDescent="0.25">
      <c r="A368" s="665"/>
      <c r="B368" s="685" t="s">
        <v>429</v>
      </c>
      <c r="C368" s="689">
        <v>371067.75</v>
      </c>
      <c r="D368" s="666"/>
      <c r="F368" s="679">
        <f>+C368</f>
        <v>371067.75</v>
      </c>
    </row>
    <row r="369" spans="1:8" x14ac:dyDescent="0.25">
      <c r="A369" s="665"/>
      <c r="B369" s="685" t="s">
        <v>430</v>
      </c>
      <c r="C369" s="689">
        <v>169068.48</v>
      </c>
      <c r="D369" s="666"/>
      <c r="H369" s="679">
        <f>+C369</f>
        <v>169068.48</v>
      </c>
    </row>
    <row r="370" spans="1:8" x14ac:dyDescent="0.25">
      <c r="A370" s="665"/>
      <c r="B370" s="665" t="s">
        <v>431</v>
      </c>
      <c r="C370" s="666">
        <v>8600</v>
      </c>
      <c r="D370" s="666"/>
    </row>
    <row r="371" spans="1:8" x14ac:dyDescent="0.25">
      <c r="A371" s="665"/>
      <c r="B371" s="665" t="s">
        <v>435</v>
      </c>
      <c r="C371" s="666">
        <v>1163.1099999999999</v>
      </c>
      <c r="D371" s="666"/>
    </row>
    <row r="372" spans="1:8" x14ac:dyDescent="0.25">
      <c r="A372" s="665"/>
      <c r="B372" s="665" t="s">
        <v>439</v>
      </c>
      <c r="C372" s="666">
        <v>37000</v>
      </c>
      <c r="D372" s="666"/>
    </row>
    <row r="373" spans="1:8" x14ac:dyDescent="0.25">
      <c r="A373" s="665"/>
      <c r="B373" s="665" t="s">
        <v>1742</v>
      </c>
      <c r="C373" s="666">
        <v>910</v>
      </c>
      <c r="D373" s="666"/>
    </row>
    <row r="374" spans="1:8" x14ac:dyDescent="0.25">
      <c r="A374" s="665"/>
      <c r="B374" s="665" t="s">
        <v>441</v>
      </c>
      <c r="C374" s="666">
        <v>163071.79999999999</v>
      </c>
      <c r="D374" s="666"/>
    </row>
    <row r="375" spans="1:8" x14ac:dyDescent="0.25">
      <c r="A375" s="665"/>
      <c r="B375" s="665" t="s">
        <v>442</v>
      </c>
      <c r="C375" s="666">
        <v>25900</v>
      </c>
      <c r="D375" s="666"/>
    </row>
    <row r="376" spans="1:8" x14ac:dyDescent="0.25">
      <c r="A376" s="665"/>
      <c r="B376" s="665" t="s">
        <v>443</v>
      </c>
      <c r="C376" s="666">
        <v>57443.28</v>
      </c>
      <c r="D376" s="666"/>
    </row>
    <row r="377" spans="1:8" x14ac:dyDescent="0.25">
      <c r="A377" s="665"/>
      <c r="B377" s="665" t="s">
        <v>709</v>
      </c>
      <c r="C377" s="666">
        <v>173165</v>
      </c>
      <c r="D377" s="666"/>
    </row>
    <row r="378" spans="1:8" x14ac:dyDescent="0.25">
      <c r="A378" s="665"/>
      <c r="B378" s="665" t="s">
        <v>444</v>
      </c>
      <c r="C378" s="666">
        <v>7107</v>
      </c>
      <c r="D378" s="666"/>
    </row>
    <row r="379" spans="1:8" x14ac:dyDescent="0.25">
      <c r="A379" s="665"/>
      <c r="B379" s="665" t="s">
        <v>445</v>
      </c>
      <c r="C379" s="666">
        <v>21956.799999999999</v>
      </c>
      <c r="D379" s="666"/>
    </row>
    <row r="380" spans="1:8" x14ac:dyDescent="0.25">
      <c r="A380" s="665"/>
      <c r="B380" s="665" t="s">
        <v>446</v>
      </c>
      <c r="C380" s="666">
        <v>91500</v>
      </c>
      <c r="D380" s="666"/>
    </row>
    <row r="381" spans="1:8" x14ac:dyDescent="0.25">
      <c r="A381" s="665"/>
      <c r="B381" s="665" t="s">
        <v>710</v>
      </c>
      <c r="C381" s="666">
        <v>7400</v>
      </c>
      <c r="D381" s="666"/>
    </row>
    <row r="382" spans="1:8" x14ac:dyDescent="0.25">
      <c r="A382" s="665"/>
      <c r="B382" s="665" t="s">
        <v>564</v>
      </c>
      <c r="C382" s="666">
        <v>1430</v>
      </c>
      <c r="D382" s="666"/>
    </row>
    <row r="383" spans="1:8" x14ac:dyDescent="0.25">
      <c r="A383" s="665"/>
      <c r="B383" s="665" t="s">
        <v>447</v>
      </c>
      <c r="C383" s="666">
        <v>29535</v>
      </c>
      <c r="D383" s="666"/>
    </row>
    <row r="384" spans="1:8" x14ac:dyDescent="0.25">
      <c r="A384" s="665"/>
      <c r="B384" s="665" t="s">
        <v>712</v>
      </c>
      <c r="C384" s="666">
        <v>34403.89</v>
      </c>
      <c r="D384" s="666"/>
    </row>
    <row r="385" spans="1:4" x14ac:dyDescent="0.25">
      <c r="A385" s="665"/>
      <c r="B385" s="665" t="s">
        <v>448</v>
      </c>
      <c r="C385" s="666">
        <v>142500</v>
      </c>
      <c r="D385" s="666"/>
    </row>
    <row r="386" spans="1:4" x14ac:dyDescent="0.25">
      <c r="A386" s="665"/>
      <c r="B386" s="665" t="s">
        <v>449</v>
      </c>
      <c r="C386" s="666">
        <v>17100</v>
      </c>
      <c r="D386" s="666"/>
    </row>
    <row r="387" spans="1:4" x14ac:dyDescent="0.25">
      <c r="A387" s="665"/>
      <c r="B387" s="665" t="s">
        <v>450</v>
      </c>
      <c r="C387" s="666">
        <v>4275</v>
      </c>
      <c r="D387" s="666"/>
    </row>
    <row r="388" spans="1:4" x14ac:dyDescent="0.25">
      <c r="A388" s="665"/>
      <c r="B388" s="665" t="s">
        <v>451</v>
      </c>
      <c r="C388" s="666">
        <v>52500</v>
      </c>
      <c r="D388" s="666"/>
    </row>
    <row r="389" spans="1:4" x14ac:dyDescent="0.25">
      <c r="A389" s="665"/>
      <c r="B389" s="665" t="s">
        <v>453</v>
      </c>
      <c r="C389" s="666"/>
      <c r="D389" s="666">
        <v>3246.48</v>
      </c>
    </row>
    <row r="390" spans="1:4" x14ac:dyDescent="0.25">
      <c r="A390" s="665"/>
      <c r="B390" s="665" t="s">
        <v>455</v>
      </c>
      <c r="C390" s="666">
        <v>6523.93</v>
      </c>
      <c r="D390" s="666"/>
    </row>
    <row r="391" spans="1:4" x14ac:dyDescent="0.25">
      <c r="A391" s="665"/>
      <c r="B391" s="665" t="s">
        <v>714</v>
      </c>
      <c r="C391" s="666">
        <v>12000</v>
      </c>
      <c r="D391" s="666"/>
    </row>
    <row r="392" spans="1:4" x14ac:dyDescent="0.25">
      <c r="A392" s="665"/>
      <c r="B392" s="665" t="s">
        <v>456</v>
      </c>
      <c r="C392" s="666">
        <v>27500</v>
      </c>
      <c r="D392" s="666"/>
    </row>
    <row r="393" spans="1:4" x14ac:dyDescent="0.25">
      <c r="A393" s="665"/>
      <c r="B393" s="665" t="s">
        <v>457</v>
      </c>
      <c r="C393" s="666">
        <v>90775</v>
      </c>
      <c r="D393" s="666"/>
    </row>
    <row r="394" spans="1:4" x14ac:dyDescent="0.25">
      <c r="A394" s="665"/>
      <c r="B394" s="665" t="s">
        <v>566</v>
      </c>
      <c r="C394" s="666">
        <v>20780</v>
      </c>
      <c r="D394" s="666"/>
    </row>
    <row r="395" spans="1:4" x14ac:dyDescent="0.25">
      <c r="A395" s="665"/>
      <c r="B395" s="665" t="s">
        <v>459</v>
      </c>
      <c r="C395" s="666">
        <v>1000</v>
      </c>
      <c r="D395" s="666"/>
    </row>
    <row r="396" spans="1:4" x14ac:dyDescent="0.25">
      <c r="A396" s="665"/>
      <c r="B396" s="665" t="s">
        <v>460</v>
      </c>
      <c r="C396" s="666">
        <v>38642</v>
      </c>
      <c r="D396" s="666"/>
    </row>
    <row r="397" spans="1:4" x14ac:dyDescent="0.25">
      <c r="A397" s="665"/>
      <c r="B397" s="665" t="s">
        <v>461</v>
      </c>
      <c r="C397" s="666">
        <v>89420</v>
      </c>
      <c r="D397" s="666"/>
    </row>
    <row r="398" spans="1:4" x14ac:dyDescent="0.25">
      <c r="A398" s="665"/>
      <c r="B398" s="665" t="s">
        <v>462</v>
      </c>
      <c r="C398" s="666">
        <v>8190</v>
      </c>
      <c r="D398" s="666"/>
    </row>
    <row r="399" spans="1:4" x14ac:dyDescent="0.25">
      <c r="A399" s="665"/>
      <c r="B399" s="665" t="s">
        <v>715</v>
      </c>
      <c r="C399" s="666">
        <v>52020</v>
      </c>
      <c r="D399" s="666"/>
    </row>
    <row r="400" spans="1:4" x14ac:dyDescent="0.25">
      <c r="A400" s="665"/>
      <c r="B400" s="665" t="s">
        <v>463</v>
      </c>
      <c r="C400" s="666">
        <v>4000</v>
      </c>
      <c r="D400" s="666"/>
    </row>
    <row r="401" spans="1:9" x14ac:dyDescent="0.25">
      <c r="A401" s="665"/>
      <c r="B401" s="685" t="s">
        <v>464</v>
      </c>
      <c r="C401" s="689">
        <v>172185.93</v>
      </c>
      <c r="D401" s="666"/>
      <c r="E401" s="679">
        <f>+C401</f>
        <v>172185.93</v>
      </c>
    </row>
    <row r="402" spans="1:9" x14ac:dyDescent="0.25">
      <c r="A402" s="665"/>
      <c r="B402" s="685" t="s">
        <v>465</v>
      </c>
      <c r="C402" s="689">
        <v>189816.93</v>
      </c>
      <c r="D402" s="666"/>
      <c r="I402" s="679">
        <f>+C402</f>
        <v>189816.93</v>
      </c>
    </row>
    <row r="403" spans="1:9" x14ac:dyDescent="0.25">
      <c r="A403" s="665"/>
      <c r="B403" s="665" t="s">
        <v>466</v>
      </c>
      <c r="C403" s="666">
        <v>5330</v>
      </c>
      <c r="D403" s="666"/>
    </row>
    <row r="404" spans="1:9" x14ac:dyDescent="0.25">
      <c r="A404" s="665"/>
      <c r="B404" s="665" t="s">
        <v>467</v>
      </c>
      <c r="C404" s="666">
        <v>35188.68</v>
      </c>
      <c r="D404" s="666"/>
    </row>
    <row r="405" spans="1:9" x14ac:dyDescent="0.25">
      <c r="A405" s="665"/>
      <c r="B405" s="665" t="s">
        <v>468</v>
      </c>
      <c r="C405" s="666">
        <v>2950</v>
      </c>
      <c r="D405" s="666"/>
    </row>
    <row r="406" spans="1:9" x14ac:dyDescent="0.25">
      <c r="A406" s="665"/>
      <c r="B406" s="665" t="s">
        <v>469</v>
      </c>
      <c r="C406" s="666">
        <v>14300</v>
      </c>
      <c r="D406" s="666"/>
    </row>
    <row r="407" spans="1:9" x14ac:dyDescent="0.25">
      <c r="A407" s="665"/>
      <c r="B407" s="665" t="s">
        <v>569</v>
      </c>
      <c r="C407" s="666">
        <v>37704</v>
      </c>
      <c r="D407" s="666"/>
    </row>
    <row r="408" spans="1:9" x14ac:dyDescent="0.25">
      <c r="A408" s="665"/>
      <c r="B408" s="665" t="s">
        <v>571</v>
      </c>
      <c r="C408" s="666"/>
      <c r="D408" s="666">
        <v>907</v>
      </c>
    </row>
    <row r="409" spans="1:9" x14ac:dyDescent="0.25">
      <c r="A409" s="665"/>
      <c r="B409" s="665" t="s">
        <v>572</v>
      </c>
      <c r="C409" s="666">
        <v>9300</v>
      </c>
      <c r="D409" s="666"/>
    </row>
    <row r="410" spans="1:9" x14ac:dyDescent="0.25">
      <c r="A410" s="665"/>
      <c r="B410" s="665" t="s">
        <v>472</v>
      </c>
      <c r="C410" s="666">
        <v>3517</v>
      </c>
      <c r="D410" s="666"/>
    </row>
    <row r="411" spans="1:9" x14ac:dyDescent="0.25">
      <c r="A411" s="665"/>
      <c r="B411" s="665" t="s">
        <v>473</v>
      </c>
      <c r="C411" s="666">
        <v>117045</v>
      </c>
      <c r="D411" s="666"/>
    </row>
    <row r="412" spans="1:9" x14ac:dyDescent="0.25">
      <c r="A412" s="665"/>
      <c r="B412" s="685" t="s">
        <v>474</v>
      </c>
      <c r="C412" s="689">
        <v>28357.200000000001</v>
      </c>
      <c r="D412" s="666"/>
      <c r="E412" s="679">
        <f>+C412</f>
        <v>28357.200000000001</v>
      </c>
    </row>
    <row r="413" spans="1:9" x14ac:dyDescent="0.25">
      <c r="A413" s="665"/>
      <c r="B413" s="665" t="s">
        <v>591</v>
      </c>
      <c r="C413" s="666">
        <v>153459</v>
      </c>
      <c r="D413" s="666"/>
    </row>
    <row r="414" spans="1:9" x14ac:dyDescent="0.25">
      <c r="A414" s="665"/>
      <c r="B414" s="665" t="s">
        <v>592</v>
      </c>
      <c r="C414" s="666">
        <v>2225</v>
      </c>
      <c r="D414" s="666"/>
    </row>
    <row r="415" spans="1:9" x14ac:dyDescent="0.25">
      <c r="A415" s="665"/>
      <c r="B415" s="665" t="s">
        <v>593</v>
      </c>
      <c r="C415" s="666">
        <v>94987</v>
      </c>
      <c r="D415" s="666"/>
    </row>
    <row r="416" spans="1:9" x14ac:dyDescent="0.25">
      <c r="A416" s="665"/>
      <c r="B416" s="665" t="s">
        <v>718</v>
      </c>
      <c r="C416" s="666">
        <v>718.7</v>
      </c>
    </row>
    <row r="417" spans="1:4" x14ac:dyDescent="0.25">
      <c r="A417" s="665"/>
      <c r="B417" s="665" t="s">
        <v>595</v>
      </c>
      <c r="C417" s="666">
        <v>199171.83</v>
      </c>
      <c r="D417" s="666"/>
    </row>
    <row r="418" spans="1:4" x14ac:dyDescent="0.25">
      <c r="A418" s="665"/>
      <c r="B418" s="665" t="s">
        <v>596</v>
      </c>
      <c r="C418" s="666">
        <v>18000</v>
      </c>
      <c r="D418" s="666"/>
    </row>
    <row r="419" spans="1:4" x14ac:dyDescent="0.25">
      <c r="A419" s="665"/>
      <c r="B419" s="665" t="s">
        <v>597</v>
      </c>
      <c r="C419" s="666">
        <v>4500</v>
      </c>
      <c r="D419" s="666"/>
    </row>
    <row r="420" spans="1:4" x14ac:dyDescent="0.25">
      <c r="A420" s="665"/>
      <c r="B420" s="665" t="s">
        <v>598</v>
      </c>
      <c r="C420" s="666">
        <v>107493.1</v>
      </c>
      <c r="D420" s="666"/>
    </row>
    <row r="421" spans="1:4" x14ac:dyDescent="0.25">
      <c r="A421" s="665"/>
      <c r="B421" s="665" t="s">
        <v>599</v>
      </c>
      <c r="C421" s="666">
        <v>225000</v>
      </c>
      <c r="D421" s="666"/>
    </row>
    <row r="422" spans="1:4" x14ac:dyDescent="0.25">
      <c r="A422" s="665"/>
      <c r="B422" s="665" t="s">
        <v>1743</v>
      </c>
      <c r="C422" s="666">
        <v>27000</v>
      </c>
      <c r="D422" s="666"/>
    </row>
    <row r="423" spans="1:4" x14ac:dyDescent="0.25">
      <c r="A423" s="665"/>
      <c r="B423" s="665" t="s">
        <v>1744</v>
      </c>
      <c r="C423" s="666">
        <v>6750</v>
      </c>
      <c r="D423" s="666"/>
    </row>
    <row r="424" spans="1:4" x14ac:dyDescent="0.25">
      <c r="A424" s="665"/>
      <c r="B424" s="665" t="s">
        <v>208</v>
      </c>
      <c r="C424" s="666">
        <v>1500000</v>
      </c>
      <c r="D424" s="666"/>
    </row>
    <row r="425" spans="1:4" x14ac:dyDescent="0.25">
      <c r="A425" s="665"/>
      <c r="B425" s="665" t="s">
        <v>210</v>
      </c>
      <c r="C425" s="666">
        <v>14100</v>
      </c>
      <c r="D425" s="666"/>
    </row>
    <row r="426" spans="1:4" x14ac:dyDescent="0.25">
      <c r="A426" s="665"/>
      <c r="B426" s="665" t="s">
        <v>211</v>
      </c>
      <c r="C426" s="666">
        <v>8034</v>
      </c>
      <c r="D426" s="666"/>
    </row>
    <row r="427" spans="1:4" x14ac:dyDescent="0.25">
      <c r="A427" s="665"/>
      <c r="B427" s="665" t="s">
        <v>293</v>
      </c>
      <c r="C427" s="666">
        <v>0</v>
      </c>
      <c r="D427" s="666"/>
    </row>
    <row r="428" spans="1:4" x14ac:dyDescent="0.25">
      <c r="A428" s="665"/>
      <c r="B428" s="665" t="s">
        <v>213</v>
      </c>
      <c r="C428" s="666">
        <v>0</v>
      </c>
      <c r="D428" s="666"/>
    </row>
    <row r="429" spans="1:4" x14ac:dyDescent="0.25">
      <c r="A429" s="665"/>
      <c r="B429" s="665" t="s">
        <v>214</v>
      </c>
      <c r="C429" s="666">
        <v>24480</v>
      </c>
      <c r="D429" s="666"/>
    </row>
    <row r="430" spans="1:4" x14ac:dyDescent="0.25">
      <c r="A430" s="665"/>
      <c r="B430" s="665" t="s">
        <v>215</v>
      </c>
      <c r="C430" s="666">
        <v>203000</v>
      </c>
      <c r="D430" s="666"/>
    </row>
    <row r="431" spans="1:4" x14ac:dyDescent="0.25">
      <c r="A431" s="665"/>
      <c r="B431" s="665" t="s">
        <v>216</v>
      </c>
      <c r="C431" s="666">
        <v>0</v>
      </c>
      <c r="D431" s="666"/>
    </row>
    <row r="432" spans="1:4" x14ac:dyDescent="0.25">
      <c r="A432" s="665"/>
      <c r="B432" s="665" t="s">
        <v>217</v>
      </c>
      <c r="C432" s="666">
        <v>2340</v>
      </c>
      <c r="D432" s="666"/>
    </row>
    <row r="433" spans="1:4" x14ac:dyDescent="0.25">
      <c r="A433" s="665"/>
      <c r="B433" s="665" t="s">
        <v>294</v>
      </c>
      <c r="C433" s="666">
        <v>0</v>
      </c>
      <c r="D433" s="666"/>
    </row>
    <row r="434" spans="1:4" x14ac:dyDescent="0.25">
      <c r="A434" s="665"/>
      <c r="B434" s="665" t="s">
        <v>727</v>
      </c>
      <c r="C434" s="666">
        <v>0</v>
      </c>
      <c r="D434" s="666"/>
    </row>
    <row r="435" spans="1:4" x14ac:dyDescent="0.25">
      <c r="A435" s="665"/>
      <c r="B435" s="665" t="s">
        <v>729</v>
      </c>
      <c r="C435" s="666">
        <v>18010</v>
      </c>
      <c r="D435" s="666"/>
    </row>
    <row r="436" spans="1:4" x14ac:dyDescent="0.25">
      <c r="A436" s="665"/>
      <c r="B436" s="665" t="s">
        <v>481</v>
      </c>
      <c r="C436" s="666">
        <v>0</v>
      </c>
      <c r="D436" s="666"/>
    </row>
    <row r="437" spans="1:4" x14ac:dyDescent="0.25">
      <c r="A437" s="665"/>
      <c r="B437" s="665" t="s">
        <v>1745</v>
      </c>
      <c r="C437" s="666">
        <v>0</v>
      </c>
      <c r="D437" s="666"/>
    </row>
    <row r="438" spans="1:4" x14ac:dyDescent="0.25">
      <c r="A438" s="665"/>
      <c r="B438" s="665" t="s">
        <v>218</v>
      </c>
      <c r="C438" s="666">
        <v>0</v>
      </c>
      <c r="D438" s="666"/>
    </row>
    <row r="439" spans="1:4" x14ac:dyDescent="0.25">
      <c r="A439" s="665"/>
      <c r="B439" s="665" t="s">
        <v>219</v>
      </c>
      <c r="C439" s="666">
        <v>0</v>
      </c>
      <c r="D439" s="666"/>
    </row>
    <row r="440" spans="1:4" x14ac:dyDescent="0.25">
      <c r="A440" s="665"/>
      <c r="B440" s="665" t="s">
        <v>220</v>
      </c>
      <c r="C440" s="666">
        <v>0</v>
      </c>
      <c r="D440" s="666"/>
    </row>
    <row r="441" spans="1:4" x14ac:dyDescent="0.25">
      <c r="A441" s="665"/>
      <c r="B441" s="665" t="s">
        <v>221</v>
      </c>
      <c r="C441" s="666">
        <v>0</v>
      </c>
      <c r="D441" s="666"/>
    </row>
    <row r="442" spans="1:4" x14ac:dyDescent="0.25">
      <c r="A442" s="665"/>
      <c r="B442" s="665" t="s">
        <v>604</v>
      </c>
      <c r="C442" s="666">
        <v>0</v>
      </c>
      <c r="D442" s="666"/>
    </row>
    <row r="443" spans="1:4" x14ac:dyDescent="0.25">
      <c r="A443" s="665"/>
      <c r="B443" s="665" t="s">
        <v>730</v>
      </c>
      <c r="C443" s="666">
        <v>0</v>
      </c>
      <c r="D443" s="666"/>
    </row>
    <row r="444" spans="1:4" x14ac:dyDescent="0.25">
      <c r="A444" s="665"/>
      <c r="B444" s="665" t="s">
        <v>224</v>
      </c>
      <c r="C444" s="666">
        <v>0</v>
      </c>
      <c r="D444" s="666"/>
    </row>
    <row r="445" spans="1:4" x14ac:dyDescent="0.25">
      <c r="A445" s="665"/>
      <c r="B445" s="665" t="s">
        <v>225</v>
      </c>
      <c r="C445" s="666">
        <v>0</v>
      </c>
      <c r="D445" s="666"/>
    </row>
    <row r="446" spans="1:4" x14ac:dyDescent="0.25">
      <c r="A446" s="665"/>
      <c r="B446" s="665" t="s">
        <v>226</v>
      </c>
      <c r="C446" s="666">
        <v>0</v>
      </c>
      <c r="D446" s="666"/>
    </row>
    <row r="447" spans="1:4" x14ac:dyDescent="0.25">
      <c r="A447" s="665"/>
      <c r="B447" s="665" t="s">
        <v>227</v>
      </c>
      <c r="C447" s="666">
        <v>0</v>
      </c>
      <c r="D447" s="666"/>
    </row>
    <row r="448" spans="1:4" x14ac:dyDescent="0.25">
      <c r="A448" s="665"/>
      <c r="B448" s="665" t="s">
        <v>731</v>
      </c>
      <c r="C448" s="666">
        <v>0</v>
      </c>
      <c r="D448" s="666"/>
    </row>
    <row r="449" spans="1:10" x14ac:dyDescent="0.25">
      <c r="A449" s="665"/>
      <c r="B449" s="665" t="s">
        <v>1746</v>
      </c>
      <c r="C449" s="666">
        <v>0</v>
      </c>
      <c r="D449" s="666"/>
    </row>
    <row r="450" spans="1:10" x14ac:dyDescent="0.25">
      <c r="A450" s="665"/>
      <c r="B450" s="665" t="s">
        <v>1747</v>
      </c>
      <c r="C450" s="666">
        <v>0</v>
      </c>
      <c r="D450" s="666"/>
    </row>
    <row r="451" spans="1:10" x14ac:dyDescent="0.25">
      <c r="A451" s="665"/>
      <c r="B451" s="665" t="s">
        <v>732</v>
      </c>
      <c r="C451" s="666">
        <v>15000</v>
      </c>
      <c r="D451" s="666"/>
    </row>
    <row r="452" spans="1:10" x14ac:dyDescent="0.25">
      <c r="A452" s="665"/>
      <c r="B452" s="665" t="s">
        <v>228</v>
      </c>
      <c r="C452" s="666">
        <v>0</v>
      </c>
      <c r="D452" s="666"/>
    </row>
    <row r="453" spans="1:10" x14ac:dyDescent="0.25">
      <c r="A453" s="665"/>
      <c r="B453" s="665" t="s">
        <v>733</v>
      </c>
      <c r="C453" s="666">
        <v>0</v>
      </c>
      <c r="D453" s="666"/>
    </row>
    <row r="454" spans="1:10" x14ac:dyDescent="0.25">
      <c r="A454" s="665"/>
      <c r="B454" s="665" t="s">
        <v>230</v>
      </c>
      <c r="C454" s="666">
        <v>0</v>
      </c>
      <c r="D454" s="666"/>
    </row>
    <row r="455" spans="1:10" x14ac:dyDescent="0.25">
      <c r="A455" s="665"/>
      <c r="B455" s="665" t="s">
        <v>295</v>
      </c>
      <c r="C455" s="666">
        <v>0</v>
      </c>
      <c r="D455" s="666"/>
    </row>
    <row r="456" spans="1:10" x14ac:dyDescent="0.25">
      <c r="A456" s="665"/>
      <c r="B456" s="665" t="s">
        <v>734</v>
      </c>
      <c r="C456" s="666">
        <v>0</v>
      </c>
      <c r="D456" s="666"/>
    </row>
    <row r="457" spans="1:10" x14ac:dyDescent="0.25">
      <c r="A457" s="665"/>
      <c r="B457" s="665" t="s">
        <v>735</v>
      </c>
      <c r="C457" s="666">
        <v>0</v>
      </c>
      <c r="D457" s="666"/>
    </row>
    <row r="458" spans="1:10" x14ac:dyDescent="0.25">
      <c r="A458" s="665"/>
      <c r="B458" s="665" t="s">
        <v>736</v>
      </c>
      <c r="C458" s="666">
        <v>0</v>
      </c>
      <c r="D458" s="666"/>
    </row>
    <row r="459" spans="1:10" x14ac:dyDescent="0.25">
      <c r="A459" s="665"/>
      <c r="B459" s="665" t="s">
        <v>1748</v>
      </c>
      <c r="C459" s="666">
        <v>0</v>
      </c>
      <c r="D459" s="666"/>
    </row>
    <row r="460" spans="1:10" x14ac:dyDescent="0.25">
      <c r="A460" s="665"/>
      <c r="B460" s="665" t="s">
        <v>1749</v>
      </c>
      <c r="C460" s="666">
        <v>0</v>
      </c>
      <c r="D460" s="666"/>
    </row>
    <row r="461" spans="1:10" x14ac:dyDescent="0.25">
      <c r="A461" s="665"/>
      <c r="B461" s="665" t="s">
        <v>1750</v>
      </c>
      <c r="C461" s="666">
        <v>0</v>
      </c>
      <c r="D461" s="666"/>
    </row>
    <row r="462" spans="1:10" x14ac:dyDescent="0.25">
      <c r="A462" s="665"/>
      <c r="B462" s="685" t="s">
        <v>231</v>
      </c>
      <c r="C462" s="689">
        <v>366274.47</v>
      </c>
      <c r="D462" s="666"/>
      <c r="F462" s="679">
        <f>+C462</f>
        <v>366274.47</v>
      </c>
    </row>
    <row r="463" spans="1:10" x14ac:dyDescent="0.25">
      <c r="A463" s="665"/>
      <c r="B463" s="685" t="s">
        <v>232</v>
      </c>
      <c r="C463" s="689">
        <v>182178.48</v>
      </c>
      <c r="D463" s="666"/>
      <c r="G463" s="679">
        <f>+C463</f>
        <v>182178.48</v>
      </c>
    </row>
    <row r="464" spans="1:10" x14ac:dyDescent="0.25">
      <c r="A464" s="665"/>
      <c r="B464" s="685" t="s">
        <v>233</v>
      </c>
      <c r="C464" s="689">
        <v>439412.31</v>
      </c>
      <c r="D464" s="666"/>
      <c r="J464" s="679">
        <f>+C464</f>
        <v>439412.31</v>
      </c>
    </row>
    <row r="465" spans="1:13" x14ac:dyDescent="0.25">
      <c r="A465" s="665"/>
      <c r="B465" s="685" t="s">
        <v>234</v>
      </c>
      <c r="C465" s="689">
        <v>150714.15</v>
      </c>
      <c r="D465" s="666"/>
      <c r="L465" s="679">
        <f>+C465</f>
        <v>150714.15</v>
      </c>
    </row>
    <row r="466" spans="1:13" x14ac:dyDescent="0.25">
      <c r="A466" s="665"/>
      <c r="B466" s="665" t="s">
        <v>235</v>
      </c>
      <c r="C466" s="666">
        <v>7130</v>
      </c>
      <c r="D466" s="666"/>
    </row>
    <row r="467" spans="1:13" x14ac:dyDescent="0.25">
      <c r="A467" s="665"/>
      <c r="B467" s="665" t="s">
        <v>237</v>
      </c>
      <c r="C467" s="666">
        <v>196026.73</v>
      </c>
      <c r="D467" s="666"/>
    </row>
    <row r="468" spans="1:13" x14ac:dyDescent="0.25">
      <c r="A468" s="665"/>
      <c r="B468" s="665" t="s">
        <v>238</v>
      </c>
      <c r="C468" s="666">
        <v>74561.5</v>
      </c>
      <c r="D468" s="666"/>
    </row>
    <row r="469" spans="1:13" x14ac:dyDescent="0.25">
      <c r="A469" s="665"/>
      <c r="B469" s="665" t="s">
        <v>239</v>
      </c>
      <c r="C469" s="666">
        <v>2797422.34</v>
      </c>
      <c r="D469" s="666"/>
    </row>
    <row r="470" spans="1:13" x14ac:dyDescent="0.25">
      <c r="A470" s="665"/>
      <c r="B470" s="665" t="s">
        <v>482</v>
      </c>
      <c r="C470" s="666">
        <v>51603.81</v>
      </c>
      <c r="D470" s="666"/>
    </row>
    <row r="471" spans="1:13" x14ac:dyDescent="0.25">
      <c r="A471" s="665"/>
      <c r="B471" s="665" t="s">
        <v>606</v>
      </c>
      <c r="C471" s="666">
        <v>92.38</v>
      </c>
      <c r="D471" s="666"/>
    </row>
    <row r="472" spans="1:13" x14ac:dyDescent="0.25">
      <c r="A472" s="665"/>
      <c r="B472" s="665" t="s">
        <v>1751</v>
      </c>
      <c r="C472" s="666">
        <v>51745.66</v>
      </c>
      <c r="D472" s="666"/>
    </row>
    <row r="473" spans="1:13" x14ac:dyDescent="0.25">
      <c r="A473" s="665"/>
      <c r="B473" s="665" t="s">
        <v>1752</v>
      </c>
      <c r="C473" s="666">
        <v>7920</v>
      </c>
      <c r="D473" s="666"/>
    </row>
    <row r="474" spans="1:13" x14ac:dyDescent="0.25">
      <c r="A474" s="665"/>
      <c r="B474" s="665" t="s">
        <v>1753</v>
      </c>
      <c r="C474" s="666">
        <v>145000</v>
      </c>
      <c r="D474" s="666"/>
    </row>
    <row r="475" spans="1:13" x14ac:dyDescent="0.25">
      <c r="A475" s="665"/>
      <c r="B475" s="665" t="s">
        <v>1754</v>
      </c>
      <c r="C475" s="666">
        <v>1200</v>
      </c>
      <c r="D475" s="666"/>
    </row>
    <row r="476" spans="1:13" x14ac:dyDescent="0.25">
      <c r="A476" s="665"/>
      <c r="B476" s="665" t="s">
        <v>1755</v>
      </c>
      <c r="C476" s="666">
        <v>1566</v>
      </c>
      <c r="D476" s="666"/>
    </row>
    <row r="477" spans="1:13" x14ac:dyDescent="0.25">
      <c r="A477" s="665"/>
      <c r="B477" s="665" t="s">
        <v>1756</v>
      </c>
      <c r="C477" s="666">
        <v>300</v>
      </c>
      <c r="D477" s="666"/>
    </row>
    <row r="478" spans="1:13" x14ac:dyDescent="0.25">
      <c r="A478" s="665"/>
      <c r="B478" s="665" t="s">
        <v>1757</v>
      </c>
      <c r="C478" s="666">
        <v>761513.75</v>
      </c>
      <c r="D478" s="666"/>
    </row>
    <row r="479" spans="1:13" x14ac:dyDescent="0.25">
      <c r="A479" s="665"/>
      <c r="B479" s="665" t="s">
        <v>243</v>
      </c>
      <c r="C479" s="666"/>
      <c r="D479" s="666">
        <v>5706.1</v>
      </c>
    </row>
    <row r="480" spans="1:13" ht="15.75" thickBot="1" x14ac:dyDescent="0.3">
      <c r="A480" s="665"/>
      <c r="B480" s="665" t="s">
        <v>738</v>
      </c>
      <c r="C480" s="669"/>
      <c r="D480" s="669">
        <v>2243.59</v>
      </c>
      <c r="E480" s="690">
        <f>SUM(E369:E479)</f>
        <v>200543.13</v>
      </c>
      <c r="F480" s="690">
        <f>SUM(F369:F479)</f>
        <v>366274.47</v>
      </c>
      <c r="G480" s="690">
        <f>SUM(G369:G479)</f>
        <v>182178.48</v>
      </c>
      <c r="H480" s="690">
        <f>SUM(H369:H479)</f>
        <v>169068.48</v>
      </c>
      <c r="I480" s="690">
        <f t="shared" ref="I480:M480" si="0">SUM(I369:I479)</f>
        <v>189816.93</v>
      </c>
      <c r="J480" s="690">
        <f t="shared" si="0"/>
        <v>439412.31</v>
      </c>
      <c r="K480" s="690">
        <f t="shared" si="0"/>
        <v>0</v>
      </c>
      <c r="L480" s="690">
        <f t="shared" si="0"/>
        <v>150714.15</v>
      </c>
      <c r="M480" s="690">
        <f t="shared" si="0"/>
        <v>0</v>
      </c>
    </row>
    <row r="481" spans="1:4" s="673" customFormat="1" ht="12.75" thickTop="1" thickBot="1" x14ac:dyDescent="0.25">
      <c r="A481" s="665" t="s">
        <v>1758</v>
      </c>
      <c r="B481" s="665"/>
      <c r="C481" s="672">
        <f>ROUND(SUM(C3:C480),5)</f>
        <v>715631718.75</v>
      </c>
      <c r="D481" s="672">
        <f>ROUND(SUM(D3:D480),5)</f>
        <v>715630281.35000002</v>
      </c>
    </row>
    <row r="482" spans="1:4" ht="15.75" thickTop="1" x14ac:dyDescent="0.25"/>
  </sheetData>
  <autoFilter ref="A1:D482" xr:uid="{9A2A61CF-D81C-413F-B601-CE1859CF6AE7}"/>
  <pageMargins left="0.7" right="0.7" top="0.75" bottom="0.75" header="0.1" footer="0.3"/>
  <pageSetup orientation="portrait" r:id="rId1"/>
  <headerFooter>
    <oddHeader>&amp;L&amp;"Arial,Bold"&amp;8 1:16 AM
&amp;"Arial,Bold"&amp;8 04/26/18
&amp;"Arial,Bold"&amp;8 Accrual Basis&amp;C&amp;"Arial,Bold"&amp;12 Tropical Fish International (Pvt) Limited
&amp;"Arial,Bold"&amp;14 Trial Balance
&amp;"Arial,Bold"&amp;10 As of March 31, 2018</oddHeader>
    <oddFooter>&amp;R&amp;"Arial,Bold"&amp;8 Page &amp;P of &amp;N</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9F29BA-96D1-43B7-A199-C8A2B227ECAF}">
  <sheetPr filterMode="1"/>
  <dimension ref="A1:S299"/>
  <sheetViews>
    <sheetView workbookViewId="0">
      <pane xSplit="7" ySplit="1" topLeftCell="H139" activePane="bottomRight" state="frozenSplit"/>
      <selection pane="topRight" activeCell="H1" sqref="H1"/>
      <selection pane="bottomLeft" activeCell="A2" sqref="A2"/>
      <selection pane="bottomRight" activeCell="I126" sqref="I126"/>
    </sheetView>
  </sheetViews>
  <sheetFormatPr defaultRowHeight="15" x14ac:dyDescent="0.25"/>
  <cols>
    <col min="1" max="6" width="3" style="674" customWidth="1"/>
    <col min="7" max="7" width="36.85546875" style="674" customWidth="1"/>
    <col min="8" max="8" width="11.7109375" style="675" bestFit="1" customWidth="1"/>
    <col min="9" max="9" width="15.28515625" style="667" bestFit="1" customWidth="1"/>
    <col min="10" max="12" width="14.28515625" style="667" bestFit="1" customWidth="1"/>
    <col min="13" max="13" width="13.28515625" style="667" bestFit="1" customWidth="1"/>
    <col min="14" max="14" width="14.28515625" style="667" bestFit="1" customWidth="1"/>
    <col min="15" max="15" width="13.28515625" style="667" bestFit="1" customWidth="1"/>
    <col min="16" max="16" width="5.140625" style="667" bestFit="1" customWidth="1"/>
    <col min="17" max="17" width="13.28515625" style="667" bestFit="1" customWidth="1"/>
    <col min="18" max="18" width="14.5703125" style="667" customWidth="1"/>
    <col min="19" max="16384" width="9.140625" style="667"/>
  </cols>
  <sheetData>
    <row r="1" spans="1:18" s="664" customFormat="1" ht="64.5" thickBot="1" x14ac:dyDescent="0.3">
      <c r="A1" s="662"/>
      <c r="B1" s="662"/>
      <c r="C1" s="662"/>
      <c r="D1" s="662"/>
      <c r="E1" s="662"/>
      <c r="F1" s="662"/>
      <c r="G1" s="662"/>
      <c r="H1" s="663" t="s">
        <v>1660</v>
      </c>
      <c r="I1" s="600" t="s">
        <v>1633</v>
      </c>
      <c r="J1" s="600" t="s">
        <v>1634</v>
      </c>
      <c r="K1" s="600" t="s">
        <v>1635</v>
      </c>
      <c r="L1" s="600" t="s">
        <v>1636</v>
      </c>
      <c r="M1" s="600" t="s">
        <v>1637</v>
      </c>
      <c r="N1" s="600" t="s">
        <v>1638</v>
      </c>
      <c r="O1" s="600" t="s">
        <v>1639</v>
      </c>
      <c r="P1" s="600" t="s">
        <v>1640</v>
      </c>
      <c r="Q1" s="600" t="s">
        <v>1641</v>
      </c>
      <c r="R1" s="600" t="s">
        <v>1642</v>
      </c>
    </row>
    <row r="2" spans="1:18" ht="15.75" hidden="1" thickTop="1" x14ac:dyDescent="0.25">
      <c r="A2" s="665" t="s">
        <v>60</v>
      </c>
      <c r="B2" s="665"/>
      <c r="C2" s="665"/>
      <c r="D2" s="665"/>
      <c r="E2" s="665"/>
      <c r="F2" s="665"/>
      <c r="G2" s="665"/>
      <c r="H2" s="666"/>
    </row>
    <row r="3" spans="1:18" ht="15.75" hidden="1" thickTop="1" x14ac:dyDescent="0.25">
      <c r="A3" s="665"/>
      <c r="B3" s="665" t="s">
        <v>50</v>
      </c>
      <c r="C3" s="665"/>
      <c r="D3" s="665"/>
      <c r="E3" s="665"/>
      <c r="F3" s="665"/>
      <c r="G3" s="665"/>
      <c r="H3" s="666"/>
    </row>
    <row r="4" spans="1:18" ht="15.75" hidden="1" thickTop="1" x14ac:dyDescent="0.25">
      <c r="A4" s="665"/>
      <c r="B4" s="665"/>
      <c r="C4" s="665" t="s">
        <v>857</v>
      </c>
      <c r="D4" s="665"/>
      <c r="E4" s="665"/>
      <c r="F4" s="665"/>
      <c r="G4" s="665"/>
      <c r="H4" s="666"/>
    </row>
    <row r="5" spans="1:18" ht="15.75" hidden="1" thickTop="1" x14ac:dyDescent="0.25">
      <c r="A5" s="665"/>
      <c r="B5" s="665"/>
      <c r="C5" s="665"/>
      <c r="D5" s="665" t="s">
        <v>651</v>
      </c>
      <c r="E5" s="665"/>
      <c r="F5" s="665"/>
      <c r="G5" s="665"/>
      <c r="H5" s="666"/>
    </row>
    <row r="6" spans="1:18" ht="15.75" hidden="1" thickTop="1" x14ac:dyDescent="0.25">
      <c r="A6" s="665"/>
      <c r="B6" s="665"/>
      <c r="C6" s="665"/>
      <c r="D6" s="665"/>
      <c r="E6" s="665" t="s">
        <v>858</v>
      </c>
      <c r="F6" s="665"/>
      <c r="G6" s="665"/>
      <c r="H6" s="666">
        <v>24945.66</v>
      </c>
    </row>
    <row r="7" spans="1:18" ht="15.75" hidden="1" thickTop="1" x14ac:dyDescent="0.25">
      <c r="A7" s="665"/>
      <c r="B7" s="665"/>
      <c r="C7" s="665"/>
      <c r="D7" s="665"/>
      <c r="E7" s="665" t="s">
        <v>859</v>
      </c>
      <c r="F7" s="665"/>
      <c r="G7" s="665"/>
      <c r="H7" s="666">
        <v>60155.44</v>
      </c>
    </row>
    <row r="8" spans="1:18" ht="15.75" hidden="1" thickTop="1" x14ac:dyDescent="0.25">
      <c r="A8" s="665"/>
      <c r="B8" s="665"/>
      <c r="C8" s="665"/>
      <c r="D8" s="665"/>
      <c r="E8" s="665" t="s">
        <v>860</v>
      </c>
      <c r="F8" s="665"/>
      <c r="G8" s="665"/>
      <c r="H8" s="666">
        <v>57684.34</v>
      </c>
    </row>
    <row r="9" spans="1:18" ht="15.75" hidden="1" thickTop="1" x14ac:dyDescent="0.25">
      <c r="A9" s="665"/>
      <c r="B9" s="665"/>
      <c r="C9" s="665"/>
      <c r="D9" s="665"/>
      <c r="E9" s="665" t="s">
        <v>861</v>
      </c>
      <c r="F9" s="665"/>
      <c r="G9" s="665"/>
      <c r="H9" s="666">
        <v>41267.379999999997</v>
      </c>
    </row>
    <row r="10" spans="1:18" ht="15.75" hidden="1" thickTop="1" x14ac:dyDescent="0.25">
      <c r="A10" s="665"/>
      <c r="B10" s="665"/>
      <c r="C10" s="665"/>
      <c r="D10" s="665"/>
      <c r="E10" s="665" t="s">
        <v>862</v>
      </c>
      <c r="F10" s="665"/>
      <c r="G10" s="665"/>
      <c r="H10" s="666">
        <v>8018217.0599999996</v>
      </c>
    </row>
    <row r="11" spans="1:18" ht="15.75" hidden="1" thickTop="1" x14ac:dyDescent="0.25">
      <c r="A11" s="665"/>
      <c r="B11" s="665"/>
      <c r="C11" s="665"/>
      <c r="D11" s="665"/>
      <c r="E11" s="665" t="s">
        <v>865</v>
      </c>
      <c r="F11" s="665"/>
      <c r="G11" s="665"/>
      <c r="H11" s="666">
        <v>-16548.009999999998</v>
      </c>
    </row>
    <row r="12" spans="1:18" ht="15.75" hidden="1" thickTop="1" x14ac:dyDescent="0.25">
      <c r="A12" s="665"/>
      <c r="B12" s="665"/>
      <c r="C12" s="665"/>
      <c r="D12" s="665"/>
      <c r="E12" s="665" t="s">
        <v>866</v>
      </c>
      <c r="F12" s="665"/>
      <c r="G12" s="665"/>
      <c r="H12" s="666">
        <v>8950.74</v>
      </c>
    </row>
    <row r="13" spans="1:18" ht="15.75" hidden="1" thickTop="1" x14ac:dyDescent="0.25">
      <c r="A13" s="665"/>
      <c r="B13" s="665"/>
      <c r="C13" s="665"/>
      <c r="D13" s="665"/>
      <c r="E13" s="665" t="s">
        <v>867</v>
      </c>
      <c r="F13" s="665"/>
      <c r="G13" s="665"/>
      <c r="H13" s="666">
        <v>-50</v>
      </c>
    </row>
    <row r="14" spans="1:18" ht="15.75" hidden="1" thickTop="1" x14ac:dyDescent="0.25">
      <c r="A14" s="665"/>
      <c r="B14" s="665"/>
      <c r="C14" s="665"/>
      <c r="D14" s="665"/>
      <c r="E14" s="665" t="s">
        <v>868</v>
      </c>
      <c r="F14" s="665"/>
      <c r="G14" s="665"/>
      <c r="H14" s="666">
        <v>199900</v>
      </c>
    </row>
    <row r="15" spans="1:18" ht="15.75" hidden="1" thickTop="1" x14ac:dyDescent="0.25">
      <c r="A15" s="665"/>
      <c r="B15" s="665"/>
      <c r="C15" s="665"/>
      <c r="D15" s="665"/>
      <c r="E15" s="665" t="s">
        <v>869</v>
      </c>
      <c r="F15" s="665"/>
      <c r="G15" s="665"/>
      <c r="H15" s="666">
        <v>277205.48</v>
      </c>
    </row>
    <row r="16" spans="1:18" ht="15.75" hidden="1" thickTop="1" x14ac:dyDescent="0.25">
      <c r="A16" s="665"/>
      <c r="B16" s="665"/>
      <c r="C16" s="665"/>
      <c r="D16" s="665"/>
      <c r="E16" s="665" t="s">
        <v>870</v>
      </c>
      <c r="F16" s="665"/>
      <c r="G16" s="665"/>
      <c r="H16" s="666">
        <v>-500.57</v>
      </c>
    </row>
    <row r="17" spans="1:8" ht="15.75" hidden="1" thickTop="1" x14ac:dyDescent="0.25">
      <c r="A17" s="665"/>
      <c r="B17" s="665"/>
      <c r="C17" s="665"/>
      <c r="D17" s="665"/>
      <c r="E17" s="665" t="s">
        <v>871</v>
      </c>
      <c r="F17" s="665"/>
      <c r="G17" s="665"/>
      <c r="H17" s="666">
        <v>-1359827.87</v>
      </c>
    </row>
    <row r="18" spans="1:8" ht="15.75" hidden="1" thickTop="1" x14ac:dyDescent="0.25">
      <c r="A18" s="665"/>
      <c r="B18" s="665"/>
      <c r="C18" s="665"/>
      <c r="D18" s="665"/>
      <c r="E18" s="665" t="s">
        <v>872</v>
      </c>
      <c r="F18" s="665"/>
      <c r="G18" s="665"/>
      <c r="H18" s="666">
        <v>526116.96</v>
      </c>
    </row>
    <row r="19" spans="1:8" ht="15.75" hidden="1" thickTop="1" x14ac:dyDescent="0.25">
      <c r="A19" s="665"/>
      <c r="B19" s="665"/>
      <c r="C19" s="665"/>
      <c r="D19" s="665"/>
      <c r="E19" s="665" t="s">
        <v>874</v>
      </c>
      <c r="F19" s="665"/>
      <c r="G19" s="665"/>
      <c r="H19" s="666">
        <v>-2160693.11</v>
      </c>
    </row>
    <row r="20" spans="1:8" ht="15.75" hidden="1" thickTop="1" x14ac:dyDescent="0.25">
      <c r="A20" s="665"/>
      <c r="B20" s="665"/>
      <c r="C20" s="665"/>
      <c r="D20" s="665"/>
      <c r="E20" s="665" t="s">
        <v>1515</v>
      </c>
      <c r="F20" s="665"/>
      <c r="G20" s="665"/>
      <c r="H20" s="666">
        <v>50000</v>
      </c>
    </row>
    <row r="21" spans="1:8" ht="15.75" hidden="1" thickTop="1" x14ac:dyDescent="0.25">
      <c r="A21" s="665"/>
      <c r="B21" s="665"/>
      <c r="C21" s="665"/>
      <c r="D21" s="665"/>
      <c r="E21" s="665" t="s">
        <v>876</v>
      </c>
      <c r="F21" s="665"/>
      <c r="G21" s="665"/>
      <c r="H21" s="666">
        <v>720107.99</v>
      </c>
    </row>
    <row r="22" spans="1:8" ht="15.75" hidden="1" thickTop="1" x14ac:dyDescent="0.25">
      <c r="A22" s="665"/>
      <c r="B22" s="665"/>
      <c r="C22" s="665"/>
      <c r="D22" s="665"/>
      <c r="E22" s="665" t="s">
        <v>877</v>
      </c>
      <c r="F22" s="665"/>
      <c r="G22" s="665"/>
      <c r="H22" s="666"/>
    </row>
    <row r="23" spans="1:8" ht="15.75" hidden="1" thickTop="1" x14ac:dyDescent="0.25">
      <c r="A23" s="665"/>
      <c r="B23" s="665"/>
      <c r="C23" s="665"/>
      <c r="D23" s="665"/>
      <c r="E23" s="665"/>
      <c r="F23" s="665" t="s">
        <v>878</v>
      </c>
      <c r="G23" s="665"/>
      <c r="H23" s="666">
        <v>27573.919999999998</v>
      </c>
    </row>
    <row r="24" spans="1:8" ht="15.75" hidden="1" thickTop="1" x14ac:dyDescent="0.25">
      <c r="A24" s="665"/>
      <c r="B24" s="665"/>
      <c r="C24" s="665"/>
      <c r="D24" s="665"/>
      <c r="E24" s="665"/>
      <c r="F24" s="665" t="s">
        <v>881</v>
      </c>
      <c r="G24" s="665"/>
      <c r="H24" s="666">
        <v>799.86</v>
      </c>
    </row>
    <row r="25" spans="1:8" ht="15.75" hidden="1" thickTop="1" x14ac:dyDescent="0.25">
      <c r="A25" s="665"/>
      <c r="B25" s="665"/>
      <c r="C25" s="665"/>
      <c r="D25" s="665"/>
      <c r="E25" s="665"/>
      <c r="F25" s="665" t="s">
        <v>882</v>
      </c>
      <c r="G25" s="665"/>
      <c r="H25" s="666">
        <v>1528942.92</v>
      </c>
    </row>
    <row r="26" spans="1:8" ht="15.75" hidden="1" thickTop="1" x14ac:dyDescent="0.25">
      <c r="A26" s="665"/>
      <c r="B26" s="665"/>
      <c r="C26" s="665"/>
      <c r="D26" s="665"/>
      <c r="E26" s="665"/>
      <c r="F26" s="665" t="s">
        <v>883</v>
      </c>
      <c r="G26" s="665"/>
      <c r="H26" s="666">
        <v>-83211.710000000006</v>
      </c>
    </row>
    <row r="27" spans="1:8" ht="15.75" hidden="1" thickTop="1" x14ac:dyDescent="0.25">
      <c r="A27" s="665"/>
      <c r="B27" s="665"/>
      <c r="C27" s="665"/>
      <c r="D27" s="665"/>
      <c r="E27" s="665"/>
      <c r="F27" s="665" t="s">
        <v>884</v>
      </c>
      <c r="G27" s="665"/>
      <c r="H27" s="666">
        <v>204513.19</v>
      </c>
    </row>
    <row r="28" spans="1:8" ht="15.75" hidden="1" thickTop="1" x14ac:dyDescent="0.25">
      <c r="A28" s="665"/>
      <c r="B28" s="665"/>
      <c r="C28" s="665"/>
      <c r="D28" s="665"/>
      <c r="E28" s="665"/>
      <c r="F28" s="665" t="s">
        <v>888</v>
      </c>
      <c r="G28" s="665"/>
      <c r="H28" s="666">
        <v>7644</v>
      </c>
    </row>
    <row r="29" spans="1:8" ht="15.75" hidden="1" thickTop="1" x14ac:dyDescent="0.25">
      <c r="A29" s="665"/>
      <c r="B29" s="665"/>
      <c r="C29" s="665"/>
      <c r="D29" s="665"/>
      <c r="E29" s="665"/>
      <c r="F29" s="665" t="s">
        <v>889</v>
      </c>
      <c r="G29" s="665"/>
      <c r="H29" s="666">
        <v>6155</v>
      </c>
    </row>
    <row r="30" spans="1:8" ht="15.75" hidden="1" thickTop="1" x14ac:dyDescent="0.25">
      <c r="A30" s="665"/>
      <c r="B30" s="665"/>
      <c r="C30" s="665"/>
      <c r="D30" s="665"/>
      <c r="E30" s="665"/>
      <c r="F30" s="665" t="s">
        <v>891</v>
      </c>
      <c r="G30" s="665"/>
      <c r="H30" s="666">
        <v>1155649.26</v>
      </c>
    </row>
    <row r="31" spans="1:8" ht="15.75" hidden="1" thickTop="1" x14ac:dyDescent="0.25">
      <c r="A31" s="665"/>
      <c r="B31" s="665"/>
      <c r="C31" s="665"/>
      <c r="D31" s="665"/>
      <c r="E31" s="665"/>
      <c r="F31" s="665" t="s">
        <v>892</v>
      </c>
      <c r="G31" s="665"/>
      <c r="H31" s="666">
        <v>363779.5</v>
      </c>
    </row>
    <row r="32" spans="1:8" ht="15.75" hidden="1" thickTop="1" x14ac:dyDescent="0.25">
      <c r="A32" s="665"/>
      <c r="B32" s="665"/>
      <c r="C32" s="665"/>
      <c r="D32" s="665"/>
      <c r="E32" s="665"/>
      <c r="F32" s="665" t="s">
        <v>893</v>
      </c>
      <c r="G32" s="665"/>
      <c r="H32" s="666">
        <v>565</v>
      </c>
    </row>
    <row r="33" spans="1:8" ht="16.5" hidden="1" thickTop="1" thickBot="1" x14ac:dyDescent="0.3">
      <c r="A33" s="665"/>
      <c r="B33" s="665"/>
      <c r="C33" s="665"/>
      <c r="D33" s="665"/>
      <c r="E33" s="665"/>
      <c r="F33" s="665" t="s">
        <v>894</v>
      </c>
      <c r="G33" s="665"/>
      <c r="H33" s="668">
        <v>-11292.8</v>
      </c>
    </row>
    <row r="34" spans="1:8" ht="15.75" hidden="1" thickTop="1" x14ac:dyDescent="0.25">
      <c r="A34" s="665"/>
      <c r="B34" s="665"/>
      <c r="C34" s="665"/>
      <c r="D34" s="665"/>
      <c r="E34" s="665" t="s">
        <v>896</v>
      </c>
      <c r="F34" s="665"/>
      <c r="G34" s="665"/>
      <c r="H34" s="666">
        <f>ROUND(SUM(H22:H33),5)</f>
        <v>3201118.14</v>
      </c>
    </row>
    <row r="35" spans="1:8" ht="15.75" hidden="1" thickTop="1" x14ac:dyDescent="0.25">
      <c r="A35" s="665"/>
      <c r="B35" s="665"/>
      <c r="C35" s="665"/>
      <c r="D35" s="665"/>
      <c r="E35" s="665" t="s">
        <v>897</v>
      </c>
      <c r="F35" s="665"/>
      <c r="G35" s="665"/>
      <c r="H35" s="669">
        <v>-28120</v>
      </c>
    </row>
    <row r="36" spans="1:8" ht="16.5" hidden="1" thickTop="1" thickBot="1" x14ac:dyDescent="0.3">
      <c r="A36" s="665"/>
      <c r="B36" s="665"/>
      <c r="C36" s="665"/>
      <c r="D36" s="665" t="s">
        <v>898</v>
      </c>
      <c r="E36" s="665"/>
      <c r="F36" s="665"/>
      <c r="G36" s="665"/>
      <c r="H36" s="670">
        <f>ROUND(SUM(H5:H21)+SUM(H34:H35),5)</f>
        <v>9619929.6300000008</v>
      </c>
    </row>
    <row r="37" spans="1:8" ht="15.75" hidden="1" thickTop="1" x14ac:dyDescent="0.25">
      <c r="A37" s="665"/>
      <c r="B37" s="665"/>
      <c r="C37" s="665" t="s">
        <v>899</v>
      </c>
      <c r="D37" s="665"/>
      <c r="E37" s="665"/>
      <c r="F37" s="665"/>
      <c r="G37" s="665"/>
      <c r="H37" s="666">
        <f>ROUND(H4+H36,5)</f>
        <v>9619929.6300000008</v>
      </c>
    </row>
    <row r="38" spans="1:8" ht="15.75" hidden="1" thickTop="1" x14ac:dyDescent="0.25">
      <c r="A38" s="665"/>
      <c r="B38" s="665"/>
      <c r="C38" s="665" t="s">
        <v>900</v>
      </c>
      <c r="D38" s="665"/>
      <c r="E38" s="665"/>
      <c r="F38" s="665"/>
      <c r="G38" s="665"/>
      <c r="H38" s="666"/>
    </row>
    <row r="39" spans="1:8" ht="16.5" hidden="1" thickTop="1" thickBot="1" x14ac:dyDescent="0.3">
      <c r="A39" s="665"/>
      <c r="B39" s="665"/>
      <c r="C39" s="665"/>
      <c r="D39" s="665" t="s">
        <v>97</v>
      </c>
      <c r="E39" s="665"/>
      <c r="F39" s="665"/>
      <c r="G39" s="665"/>
      <c r="H39" s="668">
        <v>62318040.219999999</v>
      </c>
    </row>
    <row r="40" spans="1:8" ht="15.75" hidden="1" thickTop="1" x14ac:dyDescent="0.25">
      <c r="A40" s="665"/>
      <c r="B40" s="665"/>
      <c r="C40" s="665" t="s">
        <v>901</v>
      </c>
      <c r="D40" s="665"/>
      <c r="E40" s="665"/>
      <c r="F40" s="665"/>
      <c r="G40" s="665"/>
      <c r="H40" s="666">
        <f>ROUND(SUM(H38:H39),5)</f>
        <v>62318040.219999999</v>
      </c>
    </row>
    <row r="41" spans="1:8" ht="15.75" hidden="1" thickTop="1" x14ac:dyDescent="0.25">
      <c r="A41" s="665"/>
      <c r="B41" s="665"/>
      <c r="C41" s="665" t="s">
        <v>902</v>
      </c>
      <c r="D41" s="665"/>
      <c r="E41" s="665"/>
      <c r="F41" s="665"/>
      <c r="G41" s="665"/>
      <c r="H41" s="666"/>
    </row>
    <row r="42" spans="1:8" ht="15.75" hidden="1" thickTop="1" x14ac:dyDescent="0.25">
      <c r="A42" s="665"/>
      <c r="B42" s="665"/>
      <c r="C42" s="665"/>
      <c r="D42" s="665" t="s">
        <v>1524</v>
      </c>
      <c r="E42" s="665"/>
      <c r="F42" s="665"/>
      <c r="G42" s="665"/>
      <c r="H42" s="666">
        <v>11200</v>
      </c>
    </row>
    <row r="43" spans="1:8" ht="15.75" hidden="1" thickTop="1" x14ac:dyDescent="0.25">
      <c r="A43" s="665"/>
      <c r="B43" s="665"/>
      <c r="C43" s="665"/>
      <c r="D43" s="665" t="s">
        <v>345</v>
      </c>
      <c r="E43" s="665"/>
      <c r="F43" s="665"/>
      <c r="G43" s="665"/>
      <c r="H43" s="666">
        <v>4167933.87</v>
      </c>
    </row>
    <row r="44" spans="1:8" ht="15.75" hidden="1" thickTop="1" x14ac:dyDescent="0.25">
      <c r="A44" s="665"/>
      <c r="B44" s="665"/>
      <c r="C44" s="665"/>
      <c r="D44" s="665" t="s">
        <v>903</v>
      </c>
      <c r="E44" s="665"/>
      <c r="F44" s="665"/>
      <c r="G44" s="665"/>
      <c r="H44" s="666"/>
    </row>
    <row r="45" spans="1:8" ht="15.75" hidden="1" thickTop="1" x14ac:dyDescent="0.25">
      <c r="A45" s="665"/>
      <c r="B45" s="665"/>
      <c r="C45" s="665"/>
      <c r="D45" s="665"/>
      <c r="E45" s="665" t="s">
        <v>904</v>
      </c>
      <c r="F45" s="665"/>
      <c r="G45" s="665"/>
      <c r="H45" s="666">
        <v>-3771595.65</v>
      </c>
    </row>
    <row r="46" spans="1:8" ht="15.75" hidden="1" thickTop="1" x14ac:dyDescent="0.25">
      <c r="A46" s="665"/>
      <c r="B46" s="665"/>
      <c r="C46" s="665"/>
      <c r="D46" s="665"/>
      <c r="E46" s="665" t="s">
        <v>905</v>
      </c>
      <c r="F46" s="665"/>
      <c r="G46" s="665"/>
      <c r="H46" s="666">
        <v>2347388.7000000002</v>
      </c>
    </row>
    <row r="47" spans="1:8" ht="15.75" hidden="1" thickTop="1" x14ac:dyDescent="0.25">
      <c r="A47" s="665"/>
      <c r="B47" s="665"/>
      <c r="C47" s="665"/>
      <c r="D47" s="665"/>
      <c r="E47" s="665" t="s">
        <v>906</v>
      </c>
      <c r="F47" s="665"/>
      <c r="G47" s="665"/>
      <c r="H47" s="666">
        <v>3645959.18</v>
      </c>
    </row>
    <row r="48" spans="1:8" ht="15.75" hidden="1" thickTop="1" x14ac:dyDescent="0.25">
      <c r="A48" s="665"/>
      <c r="B48" s="665"/>
      <c r="C48" s="665"/>
      <c r="D48" s="665"/>
      <c r="E48" s="665" t="s">
        <v>907</v>
      </c>
      <c r="F48" s="665"/>
      <c r="G48" s="665"/>
      <c r="H48" s="666">
        <v>2005628.96</v>
      </c>
    </row>
    <row r="49" spans="1:8" ht="15.75" hidden="1" thickTop="1" x14ac:dyDescent="0.25">
      <c r="A49" s="665"/>
      <c r="B49" s="665"/>
      <c r="C49" s="665"/>
      <c r="D49" s="665"/>
      <c r="E49" s="665" t="s">
        <v>1525</v>
      </c>
      <c r="F49" s="665"/>
      <c r="G49" s="665"/>
      <c r="H49" s="666">
        <v>2200</v>
      </c>
    </row>
    <row r="50" spans="1:8" ht="15.75" hidden="1" thickTop="1" x14ac:dyDescent="0.25">
      <c r="A50" s="665"/>
      <c r="B50" s="665"/>
      <c r="C50" s="665"/>
      <c r="D50" s="665"/>
      <c r="E50" s="665" t="s">
        <v>908</v>
      </c>
      <c r="F50" s="665"/>
      <c r="G50" s="665"/>
      <c r="H50" s="666">
        <v>3560155.11</v>
      </c>
    </row>
    <row r="51" spans="1:8" ht="15.75" hidden="1" thickTop="1" x14ac:dyDescent="0.25">
      <c r="A51" s="665"/>
      <c r="B51" s="665"/>
      <c r="C51" s="665"/>
      <c r="D51" s="665"/>
      <c r="E51" s="665" t="s">
        <v>909</v>
      </c>
      <c r="F51" s="665"/>
      <c r="G51" s="665"/>
      <c r="H51" s="666"/>
    </row>
    <row r="52" spans="1:8" ht="15.75" hidden="1" thickTop="1" x14ac:dyDescent="0.25">
      <c r="A52" s="665"/>
      <c r="B52" s="665"/>
      <c r="C52" s="665"/>
      <c r="D52" s="665"/>
      <c r="E52" s="665"/>
      <c r="F52" s="665" t="s">
        <v>910</v>
      </c>
      <c r="G52" s="665"/>
      <c r="H52" s="666">
        <v>56269.8</v>
      </c>
    </row>
    <row r="53" spans="1:8" ht="15.75" hidden="1" thickTop="1" x14ac:dyDescent="0.25">
      <c r="A53" s="665"/>
      <c r="B53" s="665"/>
      <c r="C53" s="665"/>
      <c r="D53" s="665"/>
      <c r="E53" s="665"/>
      <c r="F53" s="665" t="s">
        <v>911</v>
      </c>
      <c r="G53" s="665"/>
      <c r="H53" s="666">
        <v>559500</v>
      </c>
    </row>
    <row r="54" spans="1:8" ht="15.75" hidden="1" thickTop="1" x14ac:dyDescent="0.25">
      <c r="A54" s="665"/>
      <c r="B54" s="665"/>
      <c r="C54" s="665"/>
      <c r="D54" s="665"/>
      <c r="E54" s="665"/>
      <c r="F54" s="665" t="s">
        <v>912</v>
      </c>
      <c r="G54" s="665"/>
      <c r="H54" s="666"/>
    </row>
    <row r="55" spans="1:8" ht="15.75" hidden="1" thickTop="1" x14ac:dyDescent="0.25">
      <c r="A55" s="665"/>
      <c r="B55" s="665"/>
      <c r="C55" s="665"/>
      <c r="D55" s="665"/>
      <c r="E55" s="665"/>
      <c r="F55" s="665"/>
      <c r="G55" s="665" t="s">
        <v>913</v>
      </c>
      <c r="H55" s="666">
        <v>-5625</v>
      </c>
    </row>
    <row r="56" spans="1:8" ht="15.75" hidden="1" thickTop="1" x14ac:dyDescent="0.25">
      <c r="A56" s="665"/>
      <c r="B56" s="665"/>
      <c r="C56" s="665"/>
      <c r="D56" s="665"/>
      <c r="E56" s="665"/>
      <c r="F56" s="665"/>
      <c r="G56" s="665" t="s">
        <v>914</v>
      </c>
      <c r="H56" s="666">
        <v>10665.42</v>
      </c>
    </row>
    <row r="57" spans="1:8" ht="15.75" hidden="1" thickTop="1" x14ac:dyDescent="0.25">
      <c r="A57" s="665"/>
      <c r="B57" s="665"/>
      <c r="C57" s="665"/>
      <c r="D57" s="665"/>
      <c r="E57" s="665"/>
      <c r="F57" s="665"/>
      <c r="G57" s="665" t="s">
        <v>915</v>
      </c>
      <c r="H57" s="666">
        <v>1147931.97</v>
      </c>
    </row>
    <row r="58" spans="1:8" ht="16.5" hidden="1" thickTop="1" thickBot="1" x14ac:dyDescent="0.3">
      <c r="A58" s="665"/>
      <c r="B58" s="665"/>
      <c r="C58" s="665"/>
      <c r="D58" s="665"/>
      <c r="E58" s="665"/>
      <c r="F58" s="665"/>
      <c r="G58" s="665" t="s">
        <v>916</v>
      </c>
      <c r="H58" s="668">
        <v>1484322.02</v>
      </c>
    </row>
    <row r="59" spans="1:8" ht="15.75" hidden="1" thickTop="1" x14ac:dyDescent="0.25">
      <c r="A59" s="665"/>
      <c r="B59" s="665"/>
      <c r="C59" s="665"/>
      <c r="D59" s="665"/>
      <c r="E59" s="665"/>
      <c r="F59" s="665" t="s">
        <v>917</v>
      </c>
      <c r="G59" s="665"/>
      <c r="H59" s="666">
        <f>ROUND(SUM(H54:H58),5)</f>
        <v>2637294.41</v>
      </c>
    </row>
    <row r="60" spans="1:8" ht="15.75" hidden="1" thickTop="1" x14ac:dyDescent="0.25">
      <c r="A60" s="665"/>
      <c r="B60" s="665"/>
      <c r="C60" s="665"/>
      <c r="D60" s="665"/>
      <c r="E60" s="665"/>
      <c r="F60" s="665" t="s">
        <v>918</v>
      </c>
      <c r="G60" s="665"/>
      <c r="H60" s="666">
        <v>1068716.8999999999</v>
      </c>
    </row>
    <row r="61" spans="1:8" ht="15.75" hidden="1" thickTop="1" x14ac:dyDescent="0.25">
      <c r="A61" s="665"/>
      <c r="B61" s="665"/>
      <c r="C61" s="665"/>
      <c r="D61" s="665"/>
      <c r="E61" s="665"/>
      <c r="F61" s="665" t="s">
        <v>919</v>
      </c>
      <c r="G61" s="665"/>
      <c r="H61" s="666"/>
    </row>
    <row r="62" spans="1:8" ht="15.75" hidden="1" thickTop="1" x14ac:dyDescent="0.25">
      <c r="A62" s="665"/>
      <c r="B62" s="665"/>
      <c r="C62" s="665"/>
      <c r="D62" s="665"/>
      <c r="E62" s="665"/>
      <c r="F62" s="665"/>
      <c r="G62" s="665" t="s">
        <v>920</v>
      </c>
      <c r="H62" s="666">
        <v>1039925</v>
      </c>
    </row>
    <row r="63" spans="1:8" ht="16.5" hidden="1" thickTop="1" thickBot="1" x14ac:dyDescent="0.3">
      <c r="A63" s="665"/>
      <c r="B63" s="665"/>
      <c r="C63" s="665"/>
      <c r="D63" s="665"/>
      <c r="E63" s="665"/>
      <c r="F63" s="665"/>
      <c r="G63" s="665" t="s">
        <v>921</v>
      </c>
      <c r="H63" s="668">
        <v>800</v>
      </c>
    </row>
    <row r="64" spans="1:8" ht="15.75" hidden="1" thickTop="1" x14ac:dyDescent="0.25">
      <c r="A64" s="665"/>
      <c r="B64" s="665"/>
      <c r="C64" s="665"/>
      <c r="D64" s="665"/>
      <c r="E64" s="665"/>
      <c r="F64" s="665" t="s">
        <v>922</v>
      </c>
      <c r="G64" s="665"/>
      <c r="H64" s="666">
        <f>ROUND(SUM(H61:H63),5)</f>
        <v>1040725</v>
      </c>
    </row>
    <row r="65" spans="1:8" ht="15.75" hidden="1" thickTop="1" x14ac:dyDescent="0.25">
      <c r="A65" s="665"/>
      <c r="B65" s="665"/>
      <c r="C65" s="665"/>
      <c r="D65" s="665"/>
      <c r="E65" s="665"/>
      <c r="F65" s="665" t="s">
        <v>923</v>
      </c>
      <c r="G65" s="665"/>
      <c r="H65" s="666">
        <v>2000</v>
      </c>
    </row>
    <row r="66" spans="1:8" ht="16.5" hidden="1" thickTop="1" thickBot="1" x14ac:dyDescent="0.3">
      <c r="A66" s="665"/>
      <c r="B66" s="665"/>
      <c r="C66" s="665"/>
      <c r="D66" s="665"/>
      <c r="E66" s="665"/>
      <c r="F66" s="665" t="s">
        <v>924</v>
      </c>
      <c r="G66" s="665"/>
      <c r="H66" s="668">
        <v>370888</v>
      </c>
    </row>
    <row r="67" spans="1:8" ht="15.75" hidden="1" thickTop="1" x14ac:dyDescent="0.25">
      <c r="A67" s="665"/>
      <c r="B67" s="665"/>
      <c r="C67" s="665"/>
      <c r="D67" s="665"/>
      <c r="E67" s="665" t="s">
        <v>925</v>
      </c>
      <c r="F67" s="665"/>
      <c r="G67" s="665"/>
      <c r="H67" s="666">
        <f>ROUND(SUM(H51:H53)+SUM(H59:H60)+SUM(H64:H66),5)</f>
        <v>5735394.1100000003</v>
      </c>
    </row>
    <row r="68" spans="1:8" ht="15.75" hidden="1" thickTop="1" x14ac:dyDescent="0.25">
      <c r="A68" s="665"/>
      <c r="B68" s="665"/>
      <c r="C68" s="665"/>
      <c r="D68" s="665"/>
      <c r="E68" s="665" t="s">
        <v>926</v>
      </c>
      <c r="F68" s="665"/>
      <c r="G68" s="665"/>
      <c r="H68" s="666">
        <v>216349.51</v>
      </c>
    </row>
    <row r="69" spans="1:8" ht="15.75" hidden="1" thickTop="1" x14ac:dyDescent="0.25">
      <c r="A69" s="665"/>
      <c r="B69" s="665"/>
      <c r="C69" s="665"/>
      <c r="D69" s="665"/>
      <c r="E69" s="665" t="s">
        <v>927</v>
      </c>
      <c r="F69" s="665"/>
      <c r="G69" s="665"/>
      <c r="H69" s="666">
        <v>78587.89</v>
      </c>
    </row>
    <row r="70" spans="1:8" ht="15.75" hidden="1" thickTop="1" x14ac:dyDescent="0.25">
      <c r="A70" s="665"/>
      <c r="B70" s="665"/>
      <c r="C70" s="665"/>
      <c r="D70" s="665"/>
      <c r="E70" s="665" t="s">
        <v>928</v>
      </c>
      <c r="F70" s="665"/>
      <c r="G70" s="665"/>
      <c r="H70" s="666">
        <v>3567.5</v>
      </c>
    </row>
    <row r="71" spans="1:8" ht="15.75" hidden="1" thickTop="1" x14ac:dyDescent="0.25">
      <c r="A71" s="665"/>
      <c r="B71" s="665"/>
      <c r="C71" s="665"/>
      <c r="D71" s="665"/>
      <c r="E71" s="665" t="s">
        <v>929</v>
      </c>
      <c r="F71" s="665"/>
      <c r="G71" s="665"/>
      <c r="H71" s="666"/>
    </row>
    <row r="72" spans="1:8" ht="15.75" hidden="1" thickTop="1" x14ac:dyDescent="0.25">
      <c r="A72" s="665"/>
      <c r="B72" s="665"/>
      <c r="C72" s="665"/>
      <c r="D72" s="665"/>
      <c r="E72" s="665"/>
      <c r="F72" s="665" t="s">
        <v>930</v>
      </c>
      <c r="G72" s="665"/>
      <c r="H72" s="666">
        <v>1230000</v>
      </c>
    </row>
    <row r="73" spans="1:8" ht="15.75" hidden="1" thickTop="1" x14ac:dyDescent="0.25">
      <c r="A73" s="665"/>
      <c r="B73" s="665"/>
      <c r="C73" s="665"/>
      <c r="D73" s="665"/>
      <c r="E73" s="665"/>
      <c r="F73" s="665" t="s">
        <v>931</v>
      </c>
      <c r="G73" s="665"/>
      <c r="H73" s="666">
        <v>14500</v>
      </c>
    </row>
    <row r="74" spans="1:8" ht="15.75" hidden="1" thickTop="1" x14ac:dyDescent="0.25">
      <c r="A74" s="665"/>
      <c r="B74" s="665"/>
      <c r="C74" s="665"/>
      <c r="D74" s="665"/>
      <c r="E74" s="665"/>
      <c r="F74" s="665" t="s">
        <v>932</v>
      </c>
      <c r="G74" s="665"/>
      <c r="H74" s="666">
        <v>64167</v>
      </c>
    </row>
    <row r="75" spans="1:8" ht="15.75" hidden="1" thickTop="1" x14ac:dyDescent="0.25">
      <c r="A75" s="665"/>
      <c r="B75" s="665"/>
      <c r="C75" s="665"/>
      <c r="D75" s="665"/>
      <c r="E75" s="665"/>
      <c r="F75" s="665" t="s">
        <v>933</v>
      </c>
      <c r="G75" s="665"/>
      <c r="H75" s="666">
        <v>15000</v>
      </c>
    </row>
    <row r="76" spans="1:8" ht="15.75" hidden="1" thickTop="1" x14ac:dyDescent="0.25">
      <c r="A76" s="665"/>
      <c r="B76" s="665"/>
      <c r="C76" s="665"/>
      <c r="D76" s="665"/>
      <c r="E76" s="665"/>
      <c r="F76" s="665" t="s">
        <v>934</v>
      </c>
      <c r="G76" s="665"/>
      <c r="H76" s="666">
        <v>72000</v>
      </c>
    </row>
    <row r="77" spans="1:8" ht="15.75" hidden="1" thickTop="1" x14ac:dyDescent="0.25">
      <c r="A77" s="665"/>
      <c r="B77" s="665"/>
      <c r="C77" s="665"/>
      <c r="D77" s="665"/>
      <c r="E77" s="665"/>
      <c r="F77" s="665" t="s">
        <v>935</v>
      </c>
      <c r="G77" s="665"/>
      <c r="H77" s="666">
        <v>64000</v>
      </c>
    </row>
    <row r="78" spans="1:8" ht="15.75" hidden="1" thickTop="1" x14ac:dyDescent="0.25">
      <c r="A78" s="665"/>
      <c r="B78" s="665"/>
      <c r="C78" s="665"/>
      <c r="D78" s="665"/>
      <c r="E78" s="665"/>
      <c r="F78" s="665" t="s">
        <v>1527</v>
      </c>
      <c r="G78" s="665"/>
      <c r="H78" s="666">
        <v>1000000</v>
      </c>
    </row>
    <row r="79" spans="1:8" ht="15.75" hidden="1" thickTop="1" x14ac:dyDescent="0.25">
      <c r="A79" s="665"/>
      <c r="B79" s="665"/>
      <c r="C79" s="665"/>
      <c r="D79" s="665"/>
      <c r="E79" s="665"/>
      <c r="F79" s="665" t="s">
        <v>936</v>
      </c>
      <c r="G79" s="665"/>
      <c r="H79" s="666">
        <v>82300</v>
      </c>
    </row>
    <row r="80" spans="1:8" ht="16.5" hidden="1" thickTop="1" thickBot="1" x14ac:dyDescent="0.3">
      <c r="A80" s="665"/>
      <c r="B80" s="665"/>
      <c r="C80" s="665"/>
      <c r="D80" s="665"/>
      <c r="E80" s="665"/>
      <c r="F80" s="665" t="s">
        <v>937</v>
      </c>
      <c r="G80" s="665"/>
      <c r="H80" s="668">
        <v>108080</v>
      </c>
    </row>
    <row r="81" spans="1:8" ht="15.75" hidden="1" thickTop="1" x14ac:dyDescent="0.25">
      <c r="A81" s="665"/>
      <c r="B81" s="665"/>
      <c r="C81" s="665"/>
      <c r="D81" s="665"/>
      <c r="E81" s="665" t="s">
        <v>938</v>
      </c>
      <c r="F81" s="665"/>
      <c r="G81" s="665"/>
      <c r="H81" s="666">
        <f>ROUND(SUM(H71:H80),5)</f>
        <v>2650047</v>
      </c>
    </row>
    <row r="82" spans="1:8" ht="15.75" hidden="1" thickTop="1" x14ac:dyDescent="0.25">
      <c r="A82" s="665"/>
      <c r="B82" s="665"/>
      <c r="C82" s="665"/>
      <c r="D82" s="665"/>
      <c r="E82" s="665" t="s">
        <v>939</v>
      </c>
      <c r="F82" s="665"/>
      <c r="G82" s="665"/>
      <c r="H82" s="666">
        <v>2169580.9900000002</v>
      </c>
    </row>
    <row r="83" spans="1:8" ht="15.75" hidden="1" thickTop="1" x14ac:dyDescent="0.25">
      <c r="A83" s="665"/>
      <c r="B83" s="665"/>
      <c r="C83" s="665"/>
      <c r="D83" s="665"/>
      <c r="E83" s="665" t="s">
        <v>940</v>
      </c>
      <c r="F83" s="665"/>
      <c r="G83" s="665"/>
      <c r="H83" s="666">
        <v>237808</v>
      </c>
    </row>
    <row r="84" spans="1:8" ht="15.75" hidden="1" thickTop="1" x14ac:dyDescent="0.25">
      <c r="A84" s="665"/>
      <c r="B84" s="665"/>
      <c r="C84" s="665"/>
      <c r="D84" s="665"/>
      <c r="E84" s="665" t="s">
        <v>941</v>
      </c>
      <c r="F84" s="665"/>
      <c r="G84" s="665"/>
      <c r="H84" s="666"/>
    </row>
    <row r="85" spans="1:8" ht="15.75" hidden="1" thickTop="1" x14ac:dyDescent="0.25">
      <c r="A85" s="665"/>
      <c r="B85" s="665"/>
      <c r="C85" s="665"/>
      <c r="D85" s="665"/>
      <c r="E85" s="665"/>
      <c r="F85" s="665" t="s">
        <v>942</v>
      </c>
      <c r="G85" s="665"/>
      <c r="H85" s="666">
        <v>558932.66</v>
      </c>
    </row>
    <row r="86" spans="1:8" ht="15.75" hidden="1" thickTop="1" x14ac:dyDescent="0.25">
      <c r="A86" s="665"/>
      <c r="B86" s="665"/>
      <c r="C86" s="665"/>
      <c r="D86" s="665"/>
      <c r="E86" s="665"/>
      <c r="F86" s="665" t="s">
        <v>943</v>
      </c>
      <c r="G86" s="665"/>
      <c r="H86" s="666">
        <v>202397.09</v>
      </c>
    </row>
    <row r="87" spans="1:8" ht="15.75" hidden="1" thickTop="1" x14ac:dyDescent="0.25">
      <c r="A87" s="665"/>
      <c r="B87" s="665"/>
      <c r="C87" s="665"/>
      <c r="D87" s="665"/>
      <c r="E87" s="665"/>
      <c r="F87" s="665" t="s">
        <v>944</v>
      </c>
      <c r="G87" s="665"/>
      <c r="H87" s="666">
        <v>373561.88</v>
      </c>
    </row>
    <row r="88" spans="1:8" ht="16.5" hidden="1" thickTop="1" thickBot="1" x14ac:dyDescent="0.3">
      <c r="A88" s="665"/>
      <c r="B88" s="665"/>
      <c r="C88" s="665"/>
      <c r="D88" s="665"/>
      <c r="E88" s="665"/>
      <c r="F88" s="665" t="s">
        <v>1528</v>
      </c>
      <c r="G88" s="665"/>
      <c r="H88" s="668">
        <v>982059.49</v>
      </c>
    </row>
    <row r="89" spans="1:8" ht="15.75" hidden="1" thickTop="1" x14ac:dyDescent="0.25">
      <c r="A89" s="665"/>
      <c r="B89" s="665"/>
      <c r="C89" s="665"/>
      <c r="D89" s="665"/>
      <c r="E89" s="665" t="s">
        <v>945</v>
      </c>
      <c r="F89" s="665"/>
      <c r="G89" s="665"/>
      <c r="H89" s="666">
        <f>ROUND(SUM(H84:H88),5)</f>
        <v>2116951.12</v>
      </c>
    </row>
    <row r="90" spans="1:8" ht="15.75" hidden="1" thickTop="1" x14ac:dyDescent="0.25">
      <c r="A90" s="665"/>
      <c r="B90" s="665"/>
      <c r="C90" s="665"/>
      <c r="D90" s="665"/>
      <c r="E90" s="665" t="s">
        <v>946</v>
      </c>
      <c r="F90" s="665"/>
      <c r="G90" s="665"/>
      <c r="H90" s="666">
        <v>40022604.960000001</v>
      </c>
    </row>
    <row r="91" spans="1:8" ht="15.75" hidden="1" thickTop="1" x14ac:dyDescent="0.25">
      <c r="A91" s="665"/>
      <c r="B91" s="665"/>
      <c r="C91" s="665"/>
      <c r="D91" s="665"/>
      <c r="E91" s="665" t="s">
        <v>947</v>
      </c>
      <c r="F91" s="665"/>
      <c r="G91" s="665"/>
      <c r="H91" s="666">
        <v>168279713.34</v>
      </c>
    </row>
    <row r="92" spans="1:8" ht="15.75" hidden="1" thickTop="1" x14ac:dyDescent="0.25">
      <c r="A92" s="665"/>
      <c r="B92" s="665"/>
      <c r="C92" s="665"/>
      <c r="D92" s="665"/>
      <c r="E92" s="665" t="s">
        <v>948</v>
      </c>
      <c r="F92" s="665"/>
      <c r="G92" s="665"/>
      <c r="H92" s="666">
        <v>23234567.579999998</v>
      </c>
    </row>
    <row r="93" spans="1:8" ht="15.75" hidden="1" thickTop="1" x14ac:dyDescent="0.25">
      <c r="A93" s="665"/>
      <c r="B93" s="665"/>
      <c r="C93" s="665"/>
      <c r="D93" s="665"/>
      <c r="E93" s="665" t="s">
        <v>1529</v>
      </c>
      <c r="F93" s="665"/>
      <c r="G93" s="665"/>
      <c r="H93" s="666">
        <v>31632</v>
      </c>
    </row>
    <row r="94" spans="1:8" ht="15.75" hidden="1" thickTop="1" x14ac:dyDescent="0.25">
      <c r="A94" s="665"/>
      <c r="B94" s="665"/>
      <c r="C94" s="665"/>
      <c r="D94" s="665"/>
      <c r="E94" s="665" t="s">
        <v>949</v>
      </c>
      <c r="F94" s="665"/>
      <c r="G94" s="665"/>
      <c r="H94" s="666">
        <v>10690471.050000001</v>
      </c>
    </row>
    <row r="95" spans="1:8" ht="15.75" hidden="1" thickTop="1" x14ac:dyDescent="0.25">
      <c r="A95" s="665"/>
      <c r="B95" s="665"/>
      <c r="C95" s="665"/>
      <c r="D95" s="665"/>
      <c r="E95" s="665" t="s">
        <v>950</v>
      </c>
      <c r="F95" s="665"/>
      <c r="G95" s="665"/>
      <c r="H95" s="666">
        <v>136501</v>
      </c>
    </row>
    <row r="96" spans="1:8" ht="15.75" hidden="1" thickTop="1" x14ac:dyDescent="0.25">
      <c r="A96" s="665"/>
      <c r="B96" s="665"/>
      <c r="C96" s="665"/>
      <c r="D96" s="665"/>
      <c r="E96" s="665" t="s">
        <v>951</v>
      </c>
      <c r="F96" s="665"/>
      <c r="G96" s="665"/>
      <c r="H96" s="666">
        <v>10902230.76</v>
      </c>
    </row>
    <row r="97" spans="1:9" ht="15.75" hidden="1" thickTop="1" x14ac:dyDescent="0.25">
      <c r="A97" s="665"/>
      <c r="B97" s="665"/>
      <c r="C97" s="665"/>
      <c r="D97" s="665"/>
      <c r="E97" s="665" t="s">
        <v>952</v>
      </c>
      <c r="F97" s="665"/>
      <c r="G97" s="665"/>
      <c r="H97" s="666">
        <v>2598059.6</v>
      </c>
    </row>
    <row r="98" spans="1:9" ht="15.75" hidden="1" thickTop="1" x14ac:dyDescent="0.25">
      <c r="A98" s="665"/>
      <c r="B98" s="665"/>
      <c r="C98" s="665"/>
      <c r="D98" s="665"/>
      <c r="E98" s="665" t="s">
        <v>1530</v>
      </c>
      <c r="F98" s="665"/>
      <c r="G98" s="665"/>
      <c r="H98" s="666">
        <v>353050</v>
      </c>
    </row>
    <row r="99" spans="1:9" ht="16.5" hidden="1" thickTop="1" thickBot="1" x14ac:dyDescent="0.3">
      <c r="A99" s="665"/>
      <c r="B99" s="665"/>
      <c r="C99" s="665"/>
      <c r="D99" s="665"/>
      <c r="E99" s="665" t="s">
        <v>1531</v>
      </c>
      <c r="F99" s="665"/>
      <c r="G99" s="665"/>
      <c r="H99" s="668">
        <v>-874967</v>
      </c>
    </row>
    <row r="100" spans="1:9" ht="15.75" hidden="1" thickTop="1" x14ac:dyDescent="0.25">
      <c r="A100" s="665"/>
      <c r="B100" s="665"/>
      <c r="C100" s="665"/>
      <c r="D100" s="665" t="s">
        <v>953</v>
      </c>
      <c r="E100" s="665"/>
      <c r="F100" s="665"/>
      <c r="G100" s="665"/>
      <c r="H100" s="666">
        <f>ROUND(SUM(H44:H50)+SUM(H67:H70)+SUM(H81:H83)+SUM(H89:H99),5)</f>
        <v>276371885.70999998</v>
      </c>
    </row>
    <row r="101" spans="1:9" ht="15.75" hidden="1" thickTop="1" x14ac:dyDescent="0.25">
      <c r="A101" s="665"/>
      <c r="B101" s="665"/>
      <c r="C101" s="665"/>
      <c r="D101" s="665" t="s">
        <v>1456</v>
      </c>
      <c r="E101" s="665"/>
      <c r="F101" s="665"/>
      <c r="G101" s="665"/>
      <c r="H101" s="666">
        <v>-150000</v>
      </c>
    </row>
    <row r="102" spans="1:9" ht="15.75" hidden="1" thickTop="1" x14ac:dyDescent="0.25">
      <c r="A102" s="665"/>
      <c r="B102" s="665"/>
      <c r="C102" s="665"/>
      <c r="D102" s="665" t="s">
        <v>954</v>
      </c>
      <c r="E102" s="665"/>
      <c r="F102" s="665"/>
      <c r="G102" s="665"/>
      <c r="H102" s="669">
        <v>323370.26</v>
      </c>
    </row>
    <row r="103" spans="1:9" ht="16.5" hidden="1" thickTop="1" thickBot="1" x14ac:dyDescent="0.3">
      <c r="A103" s="665"/>
      <c r="B103" s="665"/>
      <c r="C103" s="665" t="s">
        <v>955</v>
      </c>
      <c r="D103" s="665"/>
      <c r="E103" s="665"/>
      <c r="F103" s="665"/>
      <c r="G103" s="665"/>
      <c r="H103" s="670">
        <f>ROUND(SUM(H41:H43)+SUM(H100:H102),5)</f>
        <v>280724389.83999997</v>
      </c>
    </row>
    <row r="104" spans="1:9" ht="15.75" hidden="1" thickTop="1" x14ac:dyDescent="0.25">
      <c r="A104" s="665"/>
      <c r="B104" s="665" t="s">
        <v>1</v>
      </c>
      <c r="C104" s="665"/>
      <c r="D104" s="665"/>
      <c r="E104" s="665"/>
      <c r="F104" s="665"/>
      <c r="G104" s="665"/>
      <c r="H104" s="666">
        <f>ROUND(H3+H37+H40+H103,5)</f>
        <v>352662359.69</v>
      </c>
    </row>
    <row r="105" spans="1:9" ht="15.75" hidden="1" thickTop="1" x14ac:dyDescent="0.25">
      <c r="A105" s="665"/>
      <c r="B105" s="665" t="s">
        <v>956</v>
      </c>
      <c r="C105" s="665"/>
      <c r="D105" s="665"/>
      <c r="E105" s="665"/>
      <c r="F105" s="665"/>
      <c r="G105" s="665"/>
      <c r="H105" s="666"/>
    </row>
    <row r="106" spans="1:9" ht="15.75" hidden="1" thickTop="1" x14ac:dyDescent="0.25">
      <c r="A106" s="665"/>
      <c r="B106" s="665"/>
      <c r="C106" s="665" t="s">
        <v>521</v>
      </c>
      <c r="D106" s="665"/>
      <c r="E106" s="665"/>
      <c r="F106" s="665"/>
      <c r="G106" s="665"/>
      <c r="H106" s="666"/>
    </row>
    <row r="107" spans="1:9" ht="15.75" hidden="1" thickTop="1" x14ac:dyDescent="0.25">
      <c r="A107" s="665"/>
      <c r="B107" s="665"/>
      <c r="C107" s="665"/>
      <c r="D107" s="665" t="s">
        <v>957</v>
      </c>
      <c r="E107" s="665"/>
      <c r="F107" s="665"/>
      <c r="G107" s="665"/>
      <c r="H107" s="666"/>
    </row>
    <row r="108" spans="1:9" ht="15.75" hidden="1" thickTop="1" x14ac:dyDescent="0.25">
      <c r="A108" s="665"/>
      <c r="B108" s="665"/>
      <c r="C108" s="665"/>
      <c r="D108" s="665"/>
      <c r="E108" s="665" t="s">
        <v>958</v>
      </c>
      <c r="F108" s="665"/>
      <c r="G108" s="665"/>
      <c r="H108" s="666"/>
    </row>
    <row r="109" spans="1:9" ht="15.75" thickTop="1" x14ac:dyDescent="0.25">
      <c r="A109" s="665"/>
      <c r="B109" s="665"/>
      <c r="C109" s="665"/>
      <c r="D109" s="665"/>
      <c r="E109" s="665"/>
      <c r="F109" s="665" t="s">
        <v>959</v>
      </c>
      <c r="G109" s="686"/>
      <c r="H109" s="666">
        <v>2305600</v>
      </c>
      <c r="I109" s="679">
        <f>+H109</f>
        <v>2305600</v>
      </c>
    </row>
    <row r="110" spans="1:9" x14ac:dyDescent="0.25">
      <c r="A110" s="665"/>
      <c r="B110" s="665"/>
      <c r="C110" s="665"/>
      <c r="D110" s="665"/>
      <c r="E110" s="665"/>
      <c r="F110" s="665" t="s">
        <v>960</v>
      </c>
      <c r="G110" s="686"/>
      <c r="H110" s="666">
        <v>3681068</v>
      </c>
      <c r="I110" s="679">
        <f t="shared" ref="I110:I118" si="0">+H110</f>
        <v>3681068</v>
      </c>
    </row>
    <row r="111" spans="1:9" x14ac:dyDescent="0.25">
      <c r="A111" s="665"/>
      <c r="B111" s="665"/>
      <c r="C111" s="665"/>
      <c r="D111" s="665"/>
      <c r="E111" s="665"/>
      <c r="F111" s="665" t="s">
        <v>961</v>
      </c>
      <c r="G111" s="686"/>
      <c r="H111" s="666">
        <v>23293909</v>
      </c>
      <c r="I111" s="679">
        <f t="shared" si="0"/>
        <v>23293909</v>
      </c>
    </row>
    <row r="112" spans="1:9" x14ac:dyDescent="0.25">
      <c r="A112" s="665"/>
      <c r="B112" s="665"/>
      <c r="C112" s="665"/>
      <c r="D112" s="665"/>
      <c r="E112" s="665"/>
      <c r="F112" s="665" t="s">
        <v>962</v>
      </c>
      <c r="G112" s="686"/>
      <c r="H112" s="666">
        <v>3389962</v>
      </c>
      <c r="I112" s="679">
        <f t="shared" si="0"/>
        <v>3389962</v>
      </c>
    </row>
    <row r="113" spans="1:10" x14ac:dyDescent="0.25">
      <c r="A113" s="665"/>
      <c r="B113" s="665"/>
      <c r="C113" s="665"/>
      <c r="D113" s="665"/>
      <c r="E113" s="665"/>
      <c r="F113" s="665" t="s">
        <v>963</v>
      </c>
      <c r="G113" s="686"/>
      <c r="H113" s="666">
        <v>2942736</v>
      </c>
      <c r="I113" s="679">
        <f t="shared" si="0"/>
        <v>2942736</v>
      </c>
    </row>
    <row r="114" spans="1:10" x14ac:dyDescent="0.25">
      <c r="A114" s="665"/>
      <c r="B114" s="665"/>
      <c r="C114" s="665"/>
      <c r="D114" s="665"/>
      <c r="E114" s="665"/>
      <c r="F114" s="665" t="s">
        <v>964</v>
      </c>
      <c r="G114" s="686"/>
      <c r="H114" s="666">
        <v>1191000</v>
      </c>
      <c r="I114" s="679">
        <f t="shared" si="0"/>
        <v>1191000</v>
      </c>
    </row>
    <row r="115" spans="1:10" x14ac:dyDescent="0.25">
      <c r="A115" s="665"/>
      <c r="B115" s="665"/>
      <c r="C115" s="665"/>
      <c r="D115" s="665"/>
      <c r="E115" s="665"/>
      <c r="F115" s="665" t="s">
        <v>965</v>
      </c>
      <c r="G115" s="686"/>
      <c r="H115" s="666">
        <v>104500</v>
      </c>
      <c r="I115" s="679">
        <f t="shared" si="0"/>
        <v>104500</v>
      </c>
    </row>
    <row r="116" spans="1:10" x14ac:dyDescent="0.25">
      <c r="A116" s="665"/>
      <c r="B116" s="665"/>
      <c r="C116" s="665"/>
      <c r="D116" s="665"/>
      <c r="E116" s="665"/>
      <c r="F116" s="665" t="s">
        <v>966</v>
      </c>
      <c r="G116" s="686"/>
      <c r="H116" s="666">
        <v>12559000</v>
      </c>
      <c r="I116" s="679">
        <f t="shared" si="0"/>
        <v>12559000</v>
      </c>
    </row>
    <row r="117" spans="1:10" x14ac:dyDescent="0.25">
      <c r="A117" s="665"/>
      <c r="B117" s="665"/>
      <c r="C117" s="665"/>
      <c r="D117" s="665"/>
      <c r="E117" s="665"/>
      <c r="F117" s="665" t="s">
        <v>967</v>
      </c>
      <c r="G117" s="686"/>
      <c r="H117" s="666">
        <v>3768000</v>
      </c>
      <c r="I117" s="679">
        <f t="shared" si="0"/>
        <v>3768000</v>
      </c>
    </row>
    <row r="118" spans="1:10" x14ac:dyDescent="0.25">
      <c r="A118" s="665"/>
      <c r="B118" s="665"/>
      <c r="C118" s="665"/>
      <c r="D118" s="665"/>
      <c r="E118" s="665"/>
      <c r="F118" s="665" t="s">
        <v>968</v>
      </c>
      <c r="G118" s="686"/>
      <c r="H118" s="666">
        <v>46894401</v>
      </c>
      <c r="I118" s="679">
        <f t="shared" si="0"/>
        <v>46894401</v>
      </c>
    </row>
    <row r="119" spans="1:10" x14ac:dyDescent="0.25">
      <c r="A119" s="665"/>
      <c r="B119" s="665"/>
      <c r="C119" s="665"/>
      <c r="D119" s="665"/>
      <c r="E119" s="665"/>
      <c r="F119" s="665" t="s">
        <v>1532</v>
      </c>
      <c r="G119" s="686"/>
      <c r="H119" s="666">
        <v>10000000</v>
      </c>
      <c r="I119" s="679">
        <f>+H119</f>
        <v>10000000</v>
      </c>
      <c r="J119" s="679"/>
    </row>
    <row r="120" spans="1:10" x14ac:dyDescent="0.25">
      <c r="A120" s="665"/>
      <c r="B120" s="665"/>
      <c r="C120" s="665"/>
      <c r="D120" s="665"/>
      <c r="E120" s="665"/>
      <c r="F120" s="665" t="s">
        <v>969</v>
      </c>
      <c r="G120" s="686"/>
      <c r="H120" s="666">
        <v>5549428.5</v>
      </c>
      <c r="J120" s="679">
        <f t="shared" ref="J120:J128" si="1">+H120</f>
        <v>5549428.5</v>
      </c>
    </row>
    <row r="121" spans="1:10" x14ac:dyDescent="0.25">
      <c r="A121" s="665"/>
      <c r="B121" s="665"/>
      <c r="C121" s="665"/>
      <c r="D121" s="665"/>
      <c r="E121" s="665"/>
      <c r="F121" s="665" t="s">
        <v>970</v>
      </c>
      <c r="G121" s="686"/>
      <c r="H121" s="666">
        <v>1215000</v>
      </c>
      <c r="J121" s="679">
        <f t="shared" si="1"/>
        <v>1215000</v>
      </c>
    </row>
    <row r="122" spans="1:10" x14ac:dyDescent="0.25">
      <c r="A122" s="665"/>
      <c r="B122" s="665"/>
      <c r="C122" s="665"/>
      <c r="D122" s="665"/>
      <c r="E122" s="665"/>
      <c r="F122" s="665" t="s">
        <v>971</v>
      </c>
      <c r="G122" s="686"/>
      <c r="H122" s="666">
        <v>973873</v>
      </c>
      <c r="J122" s="679">
        <f t="shared" si="1"/>
        <v>973873</v>
      </c>
    </row>
    <row r="123" spans="1:10" x14ac:dyDescent="0.25">
      <c r="A123" s="665"/>
      <c r="B123" s="665"/>
      <c r="C123" s="665"/>
      <c r="D123" s="665"/>
      <c r="E123" s="665"/>
      <c r="F123" s="665" t="s">
        <v>972</v>
      </c>
      <c r="G123" s="686"/>
      <c r="H123" s="666">
        <v>11098350.4</v>
      </c>
      <c r="J123" s="679">
        <f t="shared" si="1"/>
        <v>11098350.4</v>
      </c>
    </row>
    <row r="124" spans="1:10" x14ac:dyDescent="0.25">
      <c r="A124" s="665"/>
      <c r="B124" s="665"/>
      <c r="C124" s="665"/>
      <c r="D124" s="665"/>
      <c r="E124" s="665"/>
      <c r="F124" s="665" t="s">
        <v>973</v>
      </c>
      <c r="G124" s="686"/>
      <c r="H124" s="666">
        <v>5941467.7400000002</v>
      </c>
      <c r="J124" s="679">
        <f t="shared" si="1"/>
        <v>5941467.7400000002</v>
      </c>
    </row>
    <row r="125" spans="1:10" x14ac:dyDescent="0.25">
      <c r="A125" s="665"/>
      <c r="B125" s="665"/>
      <c r="C125" s="665"/>
      <c r="D125" s="665"/>
      <c r="E125" s="665"/>
      <c r="F125" s="665" t="s">
        <v>974</v>
      </c>
      <c r="G125" s="686"/>
      <c r="H125" s="666">
        <v>1151916</v>
      </c>
      <c r="J125" s="679">
        <f t="shared" si="1"/>
        <v>1151916</v>
      </c>
    </row>
    <row r="126" spans="1:10" x14ac:dyDescent="0.25">
      <c r="A126" s="665"/>
      <c r="B126" s="665"/>
      <c r="C126" s="665"/>
      <c r="D126" s="665"/>
      <c r="E126" s="665"/>
      <c r="F126" s="665" t="s">
        <v>975</v>
      </c>
      <c r="G126" s="686"/>
      <c r="H126" s="666">
        <v>9077116.2899999991</v>
      </c>
      <c r="J126" s="679">
        <f t="shared" si="1"/>
        <v>9077116.2899999991</v>
      </c>
    </row>
    <row r="127" spans="1:10" x14ac:dyDescent="0.25">
      <c r="A127" s="665"/>
      <c r="B127" s="665"/>
      <c r="C127" s="665"/>
      <c r="D127" s="665"/>
      <c r="E127" s="665"/>
      <c r="F127" s="665" t="s">
        <v>976</v>
      </c>
      <c r="G127" s="686"/>
      <c r="H127" s="666">
        <v>1351039.9</v>
      </c>
      <c r="J127" s="679">
        <f t="shared" si="1"/>
        <v>1351039.9</v>
      </c>
    </row>
    <row r="128" spans="1:10" x14ac:dyDescent="0.25">
      <c r="A128" s="665"/>
      <c r="B128" s="665"/>
      <c r="C128" s="665"/>
      <c r="D128" s="665"/>
      <c r="E128" s="665"/>
      <c r="F128" s="665" t="s">
        <v>977</v>
      </c>
      <c r="G128" s="686"/>
      <c r="H128" s="666">
        <v>1701432.81</v>
      </c>
      <c r="J128" s="679">
        <f t="shared" si="1"/>
        <v>1701432.81</v>
      </c>
    </row>
    <row r="129" spans="1:18" x14ac:dyDescent="0.25">
      <c r="A129" s="665"/>
      <c r="B129" s="665"/>
      <c r="C129" s="665"/>
      <c r="D129" s="665"/>
      <c r="E129" s="665"/>
      <c r="F129" s="665" t="s">
        <v>978</v>
      </c>
      <c r="G129" s="686"/>
      <c r="H129" s="680">
        <v>-17597303.870000001</v>
      </c>
    </row>
    <row r="130" spans="1:18" ht="15.75" thickBot="1" x14ac:dyDescent="0.3">
      <c r="A130" s="665"/>
      <c r="B130" s="665"/>
      <c r="C130" s="665"/>
      <c r="D130" s="665"/>
      <c r="E130" s="665"/>
      <c r="F130" s="665" t="s">
        <v>979</v>
      </c>
      <c r="G130" s="686"/>
      <c r="H130" s="668">
        <v>647775</v>
      </c>
      <c r="J130" s="679">
        <f>+H130</f>
        <v>647775</v>
      </c>
    </row>
    <row r="131" spans="1:18" hidden="1" x14ac:dyDescent="0.25">
      <c r="A131" s="665"/>
      <c r="B131" s="665"/>
      <c r="C131" s="665"/>
      <c r="D131" s="665"/>
      <c r="E131" s="665" t="s">
        <v>980</v>
      </c>
      <c r="F131" s="665"/>
      <c r="G131" s="665"/>
      <c r="H131" s="666">
        <f>ROUND(SUM(H108:H130),5)</f>
        <v>131240271.77</v>
      </c>
    </row>
    <row r="132" spans="1:18" hidden="1" x14ac:dyDescent="0.25">
      <c r="A132" s="665"/>
      <c r="B132" s="665"/>
      <c r="C132" s="665"/>
      <c r="D132" s="665"/>
      <c r="E132" s="665" t="s">
        <v>981</v>
      </c>
      <c r="F132" s="665"/>
      <c r="G132" s="665"/>
      <c r="H132" s="666"/>
    </row>
    <row r="133" spans="1:18" x14ac:dyDescent="0.25">
      <c r="A133" s="665"/>
      <c r="B133" s="665"/>
      <c r="C133" s="665"/>
      <c r="D133" s="665"/>
      <c r="E133" s="665"/>
      <c r="F133" s="665" t="s">
        <v>982</v>
      </c>
      <c r="G133" s="686"/>
      <c r="H133" s="666">
        <v>9323685</v>
      </c>
      <c r="K133" s="679">
        <f>+H133</f>
        <v>9323685</v>
      </c>
    </row>
    <row r="134" spans="1:18" x14ac:dyDescent="0.25">
      <c r="A134" s="665"/>
      <c r="B134" s="665"/>
      <c r="C134" s="665"/>
      <c r="D134" s="665"/>
      <c r="E134" s="665"/>
      <c r="F134" s="665" t="s">
        <v>1533</v>
      </c>
      <c r="G134" s="686"/>
      <c r="H134" s="666">
        <v>2675000</v>
      </c>
      <c r="K134" s="679">
        <f t="shared" ref="K134:K140" si="2">+H134</f>
        <v>2675000</v>
      </c>
    </row>
    <row r="135" spans="1:18" x14ac:dyDescent="0.25">
      <c r="A135" s="665"/>
      <c r="B135" s="665"/>
      <c r="C135" s="665"/>
      <c r="D135" s="665"/>
      <c r="E135" s="665"/>
      <c r="F135" s="665" t="s">
        <v>983</v>
      </c>
      <c r="G135" s="686"/>
      <c r="H135" s="666">
        <v>533200</v>
      </c>
      <c r="K135" s="679">
        <f t="shared" si="2"/>
        <v>533200</v>
      </c>
    </row>
    <row r="136" spans="1:18" x14ac:dyDescent="0.25">
      <c r="A136" s="665"/>
      <c r="B136" s="665"/>
      <c r="C136" s="665"/>
      <c r="D136" s="665"/>
      <c r="E136" s="665"/>
      <c r="F136" s="665" t="s">
        <v>984</v>
      </c>
      <c r="G136" s="686"/>
      <c r="H136" s="666">
        <v>3017100</v>
      </c>
      <c r="K136" s="679">
        <f t="shared" si="2"/>
        <v>3017100</v>
      </c>
    </row>
    <row r="137" spans="1:18" x14ac:dyDescent="0.25">
      <c r="A137" s="665"/>
      <c r="B137" s="665"/>
      <c r="C137" s="665"/>
      <c r="D137" s="665"/>
      <c r="E137" s="665"/>
      <c r="F137" s="665" t="s">
        <v>985</v>
      </c>
      <c r="G137" s="686"/>
      <c r="H137" s="666">
        <v>136390</v>
      </c>
      <c r="K137" s="679">
        <f t="shared" si="2"/>
        <v>136390</v>
      </c>
    </row>
    <row r="138" spans="1:18" x14ac:dyDescent="0.25">
      <c r="A138" s="665"/>
      <c r="B138" s="665"/>
      <c r="C138" s="665"/>
      <c r="D138" s="665"/>
      <c r="E138" s="665"/>
      <c r="F138" s="684" t="s">
        <v>986</v>
      </c>
      <c r="G138" s="684"/>
      <c r="H138" s="666">
        <v>3927826</v>
      </c>
      <c r="R138" s="679">
        <f>+H138</f>
        <v>3927826</v>
      </c>
    </row>
    <row r="139" spans="1:18" x14ac:dyDescent="0.25">
      <c r="A139" s="665"/>
      <c r="B139" s="665"/>
      <c r="C139" s="665"/>
      <c r="D139" s="665"/>
      <c r="E139" s="665"/>
      <c r="F139" s="684" t="s">
        <v>987</v>
      </c>
      <c r="G139" s="684"/>
      <c r="H139" s="666">
        <v>2229013</v>
      </c>
      <c r="R139" s="679">
        <f>+H139</f>
        <v>2229013</v>
      </c>
    </row>
    <row r="140" spans="1:18" x14ac:dyDescent="0.25">
      <c r="A140" s="665"/>
      <c r="B140" s="665"/>
      <c r="C140" s="665"/>
      <c r="D140" s="665"/>
      <c r="E140" s="665"/>
      <c r="F140" s="665" t="s">
        <v>989</v>
      </c>
      <c r="G140" s="685"/>
      <c r="H140" s="666">
        <v>287680</v>
      </c>
      <c r="K140" s="679">
        <f t="shared" si="2"/>
        <v>287680</v>
      </c>
    </row>
    <row r="141" spans="1:18" ht="15.75" thickBot="1" x14ac:dyDescent="0.3">
      <c r="A141" s="665"/>
      <c r="B141" s="665"/>
      <c r="C141" s="665"/>
      <c r="D141" s="665"/>
      <c r="E141" s="665"/>
      <c r="F141" s="684" t="s">
        <v>990</v>
      </c>
      <c r="G141" s="684"/>
      <c r="H141" s="681">
        <v>-17206216.739999998</v>
      </c>
    </row>
    <row r="142" spans="1:18" hidden="1" x14ac:dyDescent="0.25">
      <c r="A142" s="665"/>
      <c r="B142" s="665"/>
      <c r="C142" s="665"/>
      <c r="D142" s="665"/>
      <c r="E142" s="665" t="s">
        <v>991</v>
      </c>
      <c r="F142" s="665"/>
      <c r="G142" s="665"/>
      <c r="H142" s="666">
        <f>ROUND(SUM(H132:H141),5)</f>
        <v>4923677.26</v>
      </c>
    </row>
    <row r="143" spans="1:18" hidden="1" x14ac:dyDescent="0.25">
      <c r="A143" s="665"/>
      <c r="B143" s="665"/>
      <c r="C143" s="665"/>
      <c r="D143" s="665"/>
      <c r="E143" s="665" t="s">
        <v>992</v>
      </c>
      <c r="F143" s="665"/>
      <c r="G143" s="665"/>
      <c r="H143" s="666"/>
    </row>
    <row r="144" spans="1:18" x14ac:dyDescent="0.25">
      <c r="A144" s="665"/>
      <c r="B144" s="665"/>
      <c r="C144" s="665"/>
      <c r="D144" s="665"/>
      <c r="E144" s="665"/>
      <c r="F144" s="685" t="s">
        <v>993</v>
      </c>
      <c r="G144" s="685"/>
      <c r="H144" s="666">
        <v>9875947.8499999996</v>
      </c>
      <c r="L144" s="679">
        <f>+H144</f>
        <v>9875947.8499999996</v>
      </c>
      <c r="M144" s="679"/>
    </row>
    <row r="145" spans="1:17" x14ac:dyDescent="0.25">
      <c r="A145" s="665"/>
      <c r="B145" s="665"/>
      <c r="C145" s="665"/>
      <c r="D145" s="665"/>
      <c r="E145" s="665"/>
      <c r="F145" s="685" t="s">
        <v>994</v>
      </c>
      <c r="G145" s="685"/>
      <c r="H145" s="666">
        <v>1414657.14</v>
      </c>
      <c r="L145" s="679">
        <f t="shared" ref="L145:L147" si="3">+H145</f>
        <v>1414657.14</v>
      </c>
      <c r="M145" s="679"/>
    </row>
    <row r="146" spans="1:17" x14ac:dyDescent="0.25">
      <c r="A146" s="665"/>
      <c r="B146" s="665"/>
      <c r="C146" s="665"/>
      <c r="D146" s="665"/>
      <c r="E146" s="665"/>
      <c r="F146" s="685" t="s">
        <v>995</v>
      </c>
      <c r="G146" s="685"/>
      <c r="H146" s="666">
        <v>821480.01</v>
      </c>
      <c r="L146" s="679">
        <f t="shared" si="3"/>
        <v>821480.01</v>
      </c>
    </row>
    <row r="147" spans="1:17" x14ac:dyDescent="0.25">
      <c r="A147" s="665"/>
      <c r="B147" s="665"/>
      <c r="C147" s="665"/>
      <c r="D147" s="665"/>
      <c r="E147" s="665"/>
      <c r="F147" s="685" t="s">
        <v>996</v>
      </c>
      <c r="G147" s="685"/>
      <c r="H147" s="666">
        <v>1424536.28</v>
      </c>
      <c r="L147" s="679">
        <f t="shared" si="3"/>
        <v>1424536.28</v>
      </c>
    </row>
    <row r="148" spans="1:17" x14ac:dyDescent="0.25">
      <c r="A148" s="665"/>
      <c r="B148" s="665"/>
      <c r="C148" s="665"/>
      <c r="D148" s="665"/>
      <c r="E148" s="665"/>
      <c r="F148" s="684" t="s">
        <v>997</v>
      </c>
      <c r="G148" s="684"/>
      <c r="H148" s="680">
        <v>-11534267.09</v>
      </c>
    </row>
    <row r="149" spans="1:17" ht="15.75" thickBot="1" x14ac:dyDescent="0.3">
      <c r="A149" s="665"/>
      <c r="B149" s="665"/>
      <c r="C149" s="665"/>
      <c r="D149" s="665"/>
      <c r="E149" s="665"/>
      <c r="F149" s="685" t="s">
        <v>998</v>
      </c>
      <c r="G149" s="685"/>
      <c r="H149" s="668">
        <v>39100</v>
      </c>
      <c r="L149" s="679">
        <f>+H149</f>
        <v>39100</v>
      </c>
    </row>
    <row r="150" spans="1:17" hidden="1" x14ac:dyDescent="0.25">
      <c r="A150" s="665"/>
      <c r="B150" s="665"/>
      <c r="C150" s="665"/>
      <c r="D150" s="665"/>
      <c r="E150" s="665" t="s">
        <v>999</v>
      </c>
      <c r="F150" s="665"/>
      <c r="G150" s="665"/>
      <c r="H150" s="666">
        <f>ROUND(SUM(H143:H149),5)</f>
        <v>2041454.19</v>
      </c>
    </row>
    <row r="151" spans="1:17" hidden="1" x14ac:dyDescent="0.25">
      <c r="A151" s="665"/>
      <c r="B151" s="665"/>
      <c r="C151" s="665"/>
      <c r="D151" s="665"/>
      <c r="E151" s="665" t="s">
        <v>1000</v>
      </c>
      <c r="F151" s="665"/>
      <c r="G151" s="665"/>
      <c r="H151" s="666"/>
    </row>
    <row r="152" spans="1:17" x14ac:dyDescent="0.25">
      <c r="A152" s="665"/>
      <c r="B152" s="665"/>
      <c r="C152" s="665"/>
      <c r="D152" s="665"/>
      <c r="E152" s="665"/>
      <c r="F152" s="685" t="s">
        <v>1001</v>
      </c>
      <c r="G152" s="685"/>
      <c r="H152" s="666">
        <v>3444357.18</v>
      </c>
      <c r="O152" s="679">
        <f>+H152</f>
        <v>3444357.18</v>
      </c>
    </row>
    <row r="153" spans="1:17" x14ac:dyDescent="0.25">
      <c r="A153" s="665"/>
      <c r="B153" s="665"/>
      <c r="C153" s="665"/>
      <c r="D153" s="665"/>
      <c r="E153" s="665"/>
      <c r="F153" s="684" t="s">
        <v>1002</v>
      </c>
      <c r="G153" s="684"/>
      <c r="H153" s="680">
        <v>-6181894.5899999999</v>
      </c>
    </row>
    <row r="154" spans="1:17" ht="15.75" thickBot="1" x14ac:dyDescent="0.3">
      <c r="A154" s="665"/>
      <c r="B154" s="665"/>
      <c r="C154" s="665"/>
      <c r="D154" s="665"/>
      <c r="E154" s="665"/>
      <c r="F154" s="685" t="s">
        <v>1003</v>
      </c>
      <c r="G154" s="685"/>
      <c r="H154" s="668">
        <v>5399150.6399999997</v>
      </c>
      <c r="O154" s="679">
        <f>+H154</f>
        <v>5399150.6399999997</v>
      </c>
    </row>
    <row r="155" spans="1:17" hidden="1" x14ac:dyDescent="0.25">
      <c r="A155" s="665"/>
      <c r="B155" s="665"/>
      <c r="C155" s="665"/>
      <c r="D155" s="665"/>
      <c r="E155" s="665" t="s">
        <v>1004</v>
      </c>
      <c r="F155" s="665"/>
      <c r="G155" s="665"/>
      <c r="H155" s="666">
        <f>ROUND(SUM(H151:H154),5)</f>
        <v>2661613.23</v>
      </c>
    </row>
    <row r="156" spans="1:17" hidden="1" x14ac:dyDescent="0.25">
      <c r="A156" s="665"/>
      <c r="B156" s="665"/>
      <c r="C156" s="665"/>
      <c r="D156" s="665"/>
      <c r="E156" s="665" t="s">
        <v>1005</v>
      </c>
      <c r="F156" s="665"/>
      <c r="G156" s="665"/>
      <c r="H156" s="666"/>
    </row>
    <row r="157" spans="1:17" x14ac:dyDescent="0.25">
      <c r="A157" s="665"/>
      <c r="B157" s="665"/>
      <c r="C157" s="665"/>
      <c r="D157" s="665"/>
      <c r="E157" s="665"/>
      <c r="F157" s="685" t="s">
        <v>1006</v>
      </c>
      <c r="G157" s="685"/>
      <c r="H157" s="666">
        <v>3982812.45</v>
      </c>
      <c r="Q157" s="679">
        <f>+H157</f>
        <v>3982812.45</v>
      </c>
    </row>
    <row r="158" spans="1:17" x14ac:dyDescent="0.25">
      <c r="A158" s="665"/>
      <c r="B158" s="665"/>
      <c r="C158" s="665"/>
      <c r="D158" s="665"/>
      <c r="E158" s="665"/>
      <c r="F158" s="684" t="s">
        <v>1007</v>
      </c>
      <c r="G158" s="684"/>
      <c r="H158" s="680">
        <v>-3516299.86</v>
      </c>
    </row>
    <row r="159" spans="1:17" ht="15.75" thickBot="1" x14ac:dyDescent="0.3">
      <c r="A159" s="665"/>
      <c r="B159" s="665"/>
      <c r="C159" s="665"/>
      <c r="D159" s="665"/>
      <c r="E159" s="665"/>
      <c r="F159" s="685" t="s">
        <v>1008</v>
      </c>
      <c r="G159" s="685"/>
      <c r="H159" s="668">
        <v>17610</v>
      </c>
      <c r="Q159" s="679">
        <f>+H159</f>
        <v>17610</v>
      </c>
    </row>
    <row r="160" spans="1:17" hidden="1" x14ac:dyDescent="0.25">
      <c r="A160" s="665"/>
      <c r="B160" s="665"/>
      <c r="C160" s="665"/>
      <c r="D160" s="665"/>
      <c r="E160" s="665" t="s">
        <v>1009</v>
      </c>
      <c r="F160" s="665"/>
      <c r="G160" s="665"/>
      <c r="H160" s="666">
        <f>ROUND(SUM(H156:H159),5)</f>
        <v>484122.59</v>
      </c>
    </row>
    <row r="161" spans="1:14" hidden="1" x14ac:dyDescent="0.25">
      <c r="A161" s="665"/>
      <c r="B161" s="665"/>
      <c r="C161" s="665"/>
      <c r="D161" s="665"/>
      <c r="E161" s="665" t="s">
        <v>1010</v>
      </c>
      <c r="F161" s="665"/>
      <c r="G161" s="665"/>
      <c r="H161" s="666"/>
    </row>
    <row r="162" spans="1:14" x14ac:dyDescent="0.25">
      <c r="A162" s="665"/>
      <c r="B162" s="665"/>
      <c r="C162" s="665"/>
      <c r="D162" s="665"/>
      <c r="E162" s="665"/>
      <c r="F162" s="685" t="s">
        <v>1011</v>
      </c>
      <c r="G162" s="685"/>
      <c r="H162" s="666">
        <v>7081712.8399999999</v>
      </c>
      <c r="M162" s="679">
        <f>+H162</f>
        <v>7081712.8399999999</v>
      </c>
    </row>
    <row r="163" spans="1:14" x14ac:dyDescent="0.25">
      <c r="A163" s="665"/>
      <c r="B163" s="665"/>
      <c r="C163" s="665"/>
      <c r="D163" s="665"/>
      <c r="E163" s="665"/>
      <c r="F163" s="685" t="s">
        <v>1012</v>
      </c>
      <c r="G163" s="685"/>
      <c r="H163" s="666">
        <v>1245339.33</v>
      </c>
      <c r="M163" s="679">
        <f t="shared" ref="M163:M164" si="4">+H163</f>
        <v>1245339.33</v>
      </c>
    </row>
    <row r="164" spans="1:14" x14ac:dyDescent="0.25">
      <c r="A164" s="665"/>
      <c r="B164" s="665"/>
      <c r="C164" s="665"/>
      <c r="D164" s="665"/>
      <c r="E164" s="665"/>
      <c r="F164" s="685" t="s">
        <v>1013</v>
      </c>
      <c r="G164" s="685"/>
      <c r="H164" s="666">
        <v>1032531.92</v>
      </c>
      <c r="M164" s="679">
        <f t="shared" si="4"/>
        <v>1032531.92</v>
      </c>
    </row>
    <row r="165" spans="1:14" ht="15.75" thickBot="1" x14ac:dyDescent="0.3">
      <c r="A165" s="665"/>
      <c r="B165" s="665"/>
      <c r="C165" s="665"/>
      <c r="D165" s="665"/>
      <c r="E165" s="665"/>
      <c r="F165" s="684" t="s">
        <v>1014</v>
      </c>
      <c r="G165" s="684"/>
      <c r="H165" s="681">
        <v>-8656708.0600000005</v>
      </c>
    </row>
    <row r="166" spans="1:14" hidden="1" x14ac:dyDescent="0.25">
      <c r="A166" s="665"/>
      <c r="B166" s="665"/>
      <c r="C166" s="665"/>
      <c r="D166" s="665"/>
      <c r="E166" s="665" t="s">
        <v>1015</v>
      </c>
      <c r="F166" s="665"/>
      <c r="G166" s="665"/>
      <c r="H166" s="666">
        <f>ROUND(SUM(H161:H165),5)</f>
        <v>702876.03</v>
      </c>
    </row>
    <row r="167" spans="1:14" hidden="1" x14ac:dyDescent="0.25">
      <c r="A167" s="665"/>
      <c r="B167" s="665"/>
      <c r="C167" s="665"/>
      <c r="D167" s="665"/>
      <c r="E167" s="665" t="s">
        <v>1016</v>
      </c>
      <c r="F167" s="665"/>
      <c r="G167" s="665"/>
      <c r="H167" s="666"/>
    </row>
    <row r="168" spans="1:14" x14ac:dyDescent="0.25">
      <c r="A168" s="665"/>
      <c r="B168" s="665"/>
      <c r="C168" s="665"/>
      <c r="D168" s="665"/>
      <c r="E168" s="665"/>
      <c r="F168" s="685" t="s">
        <v>1017</v>
      </c>
      <c r="G168" s="685"/>
      <c r="H168" s="666">
        <v>4516783.0999999996</v>
      </c>
      <c r="N168" s="679">
        <f>+H168</f>
        <v>4516783.0999999996</v>
      </c>
    </row>
    <row r="169" spans="1:14" x14ac:dyDescent="0.25">
      <c r="A169" s="665"/>
      <c r="B169" s="665"/>
      <c r="C169" s="665"/>
      <c r="D169" s="665"/>
      <c r="E169" s="665"/>
      <c r="F169" s="685" t="s">
        <v>1018</v>
      </c>
      <c r="G169" s="685"/>
      <c r="H169" s="666">
        <v>105622.5</v>
      </c>
      <c r="N169" s="679">
        <f t="shared" ref="N169:N170" si="5">+H169</f>
        <v>105622.5</v>
      </c>
    </row>
    <row r="170" spans="1:14" x14ac:dyDescent="0.25">
      <c r="A170" s="665"/>
      <c r="B170" s="665"/>
      <c r="C170" s="665"/>
      <c r="D170" s="665"/>
      <c r="E170" s="665"/>
      <c r="F170" s="685" t="s">
        <v>1019</v>
      </c>
      <c r="G170" s="685"/>
      <c r="H170" s="666">
        <v>9976778</v>
      </c>
      <c r="N170" s="679">
        <f t="shared" si="5"/>
        <v>9976778</v>
      </c>
    </row>
    <row r="171" spans="1:14" x14ac:dyDescent="0.25">
      <c r="A171" s="665"/>
      <c r="B171" s="665"/>
      <c r="C171" s="665"/>
      <c r="D171" s="665"/>
      <c r="E171" s="665"/>
      <c r="F171" s="684" t="s">
        <v>1020</v>
      </c>
      <c r="G171" s="684"/>
      <c r="H171" s="680">
        <v>-3553883.92</v>
      </c>
    </row>
    <row r="172" spans="1:14" x14ac:dyDescent="0.25">
      <c r="A172" s="665"/>
      <c r="B172" s="665"/>
      <c r="C172" s="665"/>
      <c r="D172" s="665"/>
      <c r="E172" s="665"/>
      <c r="F172" s="684" t="s">
        <v>1021</v>
      </c>
      <c r="G172" s="684"/>
      <c r="H172" s="680">
        <v>-665119</v>
      </c>
    </row>
    <row r="173" spans="1:14" x14ac:dyDescent="0.25">
      <c r="A173" s="665"/>
      <c r="B173" s="665"/>
      <c r="C173" s="665"/>
      <c r="D173" s="665"/>
      <c r="E173" s="665"/>
      <c r="F173" s="685" t="s">
        <v>1534</v>
      </c>
      <c r="G173" s="685"/>
      <c r="H173" s="669">
        <v>520</v>
      </c>
      <c r="N173" s="679">
        <f>+H173</f>
        <v>520</v>
      </c>
    </row>
    <row r="174" spans="1:14" ht="15.75" hidden="1" thickBot="1" x14ac:dyDescent="0.3">
      <c r="A174" s="665"/>
      <c r="B174" s="665"/>
      <c r="C174" s="665"/>
      <c r="D174" s="665"/>
      <c r="E174" s="665" t="s">
        <v>1022</v>
      </c>
      <c r="F174" s="665"/>
      <c r="G174" s="665"/>
      <c r="H174" s="670">
        <f>ROUND(SUM(H167:H173),5)</f>
        <v>10380700.68</v>
      </c>
    </row>
    <row r="175" spans="1:14" hidden="1" x14ac:dyDescent="0.25">
      <c r="A175" s="665"/>
      <c r="B175" s="665"/>
      <c r="C175" s="665"/>
      <c r="D175" s="665" t="s">
        <v>1023</v>
      </c>
      <c r="E175" s="665"/>
      <c r="F175" s="665"/>
      <c r="G175" s="665"/>
      <c r="H175" s="666">
        <f>ROUND(H107+H131+H142+H150+H155+H160+H166+H174,5)</f>
        <v>152434715.75</v>
      </c>
    </row>
    <row r="176" spans="1:14" hidden="1" x14ac:dyDescent="0.25">
      <c r="A176" s="665"/>
      <c r="B176" s="665"/>
      <c r="C176" s="665"/>
      <c r="D176" s="665" t="s">
        <v>1024</v>
      </c>
      <c r="E176" s="665"/>
      <c r="F176" s="665"/>
      <c r="G176" s="665"/>
      <c r="H176" s="666"/>
    </row>
    <row r="177" spans="1:8" hidden="1" x14ac:dyDescent="0.25">
      <c r="A177" s="665"/>
      <c r="B177" s="665"/>
      <c r="C177" s="665"/>
      <c r="D177" s="665"/>
      <c r="E177" s="665" t="s">
        <v>1025</v>
      </c>
      <c r="F177" s="665"/>
      <c r="G177" s="665"/>
      <c r="H177" s="666">
        <v>774735</v>
      </c>
    </row>
    <row r="178" spans="1:8" hidden="1" x14ac:dyDescent="0.25">
      <c r="A178" s="665"/>
      <c r="B178" s="665"/>
      <c r="C178" s="665"/>
      <c r="D178" s="665"/>
      <c r="E178" s="665" t="s">
        <v>1026</v>
      </c>
      <c r="F178" s="665"/>
      <c r="G178" s="665"/>
      <c r="H178" s="666">
        <v>5744703.1699999999</v>
      </c>
    </row>
    <row r="179" spans="1:8" hidden="1" x14ac:dyDescent="0.25">
      <c r="A179" s="665"/>
      <c r="B179" s="665"/>
      <c r="C179" s="665"/>
      <c r="D179" s="665"/>
      <c r="E179" s="665" t="s">
        <v>1027</v>
      </c>
      <c r="F179" s="665"/>
      <c r="G179" s="665"/>
      <c r="H179" s="666">
        <v>1324113.5900000001</v>
      </c>
    </row>
    <row r="180" spans="1:8" hidden="1" x14ac:dyDescent="0.25">
      <c r="A180" s="665"/>
      <c r="B180" s="665"/>
      <c r="C180" s="665"/>
      <c r="D180" s="665"/>
      <c r="E180" s="665" t="s">
        <v>1028</v>
      </c>
      <c r="F180" s="665"/>
      <c r="G180" s="665"/>
      <c r="H180" s="666">
        <v>706531.5</v>
      </c>
    </row>
    <row r="181" spans="1:8" hidden="1" x14ac:dyDescent="0.25">
      <c r="A181" s="665"/>
      <c r="B181" s="665"/>
      <c r="C181" s="665"/>
      <c r="D181" s="665"/>
      <c r="E181" s="665" t="s">
        <v>1029</v>
      </c>
      <c r="F181" s="665"/>
      <c r="G181" s="665"/>
      <c r="H181" s="666">
        <v>2389341</v>
      </c>
    </row>
    <row r="182" spans="1:8" hidden="1" x14ac:dyDescent="0.25">
      <c r="A182" s="665"/>
      <c r="B182" s="665"/>
      <c r="C182" s="665"/>
      <c r="D182" s="665"/>
      <c r="E182" s="665" t="s">
        <v>1030</v>
      </c>
      <c r="F182" s="665"/>
      <c r="G182" s="665"/>
      <c r="H182" s="666">
        <v>1676683</v>
      </c>
    </row>
    <row r="183" spans="1:8" hidden="1" x14ac:dyDescent="0.25">
      <c r="A183" s="665"/>
      <c r="B183" s="665"/>
      <c r="C183" s="665"/>
      <c r="D183" s="665"/>
      <c r="E183" s="665" t="s">
        <v>1031</v>
      </c>
      <c r="F183" s="665"/>
      <c r="G183" s="665"/>
      <c r="H183" s="666">
        <v>4928985.12</v>
      </c>
    </row>
    <row r="184" spans="1:8" hidden="1" x14ac:dyDescent="0.25">
      <c r="A184" s="665"/>
      <c r="B184" s="665"/>
      <c r="C184" s="665"/>
      <c r="D184" s="665"/>
      <c r="E184" s="665" t="s">
        <v>1032</v>
      </c>
      <c r="F184" s="665"/>
      <c r="G184" s="665"/>
      <c r="H184" s="666">
        <v>457435</v>
      </c>
    </row>
    <row r="185" spans="1:8" hidden="1" x14ac:dyDescent="0.25">
      <c r="A185" s="665"/>
      <c r="B185" s="665"/>
      <c r="C185" s="665"/>
      <c r="D185" s="665"/>
      <c r="E185" s="665" t="s">
        <v>1033</v>
      </c>
      <c r="F185" s="665"/>
      <c r="G185" s="665"/>
      <c r="H185" s="666">
        <v>3412350</v>
      </c>
    </row>
    <row r="186" spans="1:8" hidden="1" x14ac:dyDescent="0.25">
      <c r="A186" s="665"/>
      <c r="B186" s="665"/>
      <c r="C186" s="665"/>
      <c r="D186" s="665"/>
      <c r="E186" s="665" t="s">
        <v>1536</v>
      </c>
      <c r="F186" s="665"/>
      <c r="G186" s="665"/>
      <c r="H186" s="666">
        <v>845571.77</v>
      </c>
    </row>
    <row r="187" spans="1:8" hidden="1" x14ac:dyDescent="0.25">
      <c r="A187" s="665"/>
      <c r="B187" s="665"/>
      <c r="C187" s="665"/>
      <c r="D187" s="665"/>
      <c r="E187" s="665" t="s">
        <v>1034</v>
      </c>
      <c r="F187" s="665"/>
      <c r="G187" s="665"/>
      <c r="H187" s="666">
        <v>7045584.3399999999</v>
      </c>
    </row>
    <row r="188" spans="1:8" hidden="1" x14ac:dyDescent="0.25">
      <c r="A188" s="665"/>
      <c r="B188" s="665"/>
      <c r="C188" s="665"/>
      <c r="D188" s="665"/>
      <c r="E188" s="665" t="s">
        <v>1537</v>
      </c>
      <c r="F188" s="665"/>
      <c r="G188" s="665"/>
      <c r="H188" s="666">
        <v>4085464</v>
      </c>
    </row>
    <row r="189" spans="1:8" hidden="1" x14ac:dyDescent="0.25">
      <c r="A189" s="665"/>
      <c r="B189" s="665"/>
      <c r="C189" s="665"/>
      <c r="D189" s="665"/>
      <c r="E189" s="665" t="s">
        <v>1538</v>
      </c>
      <c r="F189" s="665"/>
      <c r="G189" s="665"/>
      <c r="H189" s="666">
        <v>185100</v>
      </c>
    </row>
    <row r="190" spans="1:8" ht="15.75" hidden="1" thickBot="1" x14ac:dyDescent="0.3">
      <c r="A190" s="665"/>
      <c r="B190" s="665"/>
      <c r="C190" s="665"/>
      <c r="D190" s="665"/>
      <c r="E190" s="665" t="s">
        <v>1035</v>
      </c>
      <c r="F190" s="665"/>
      <c r="G190" s="665"/>
      <c r="H190" s="668">
        <v>233100</v>
      </c>
    </row>
    <row r="191" spans="1:8" hidden="1" x14ac:dyDescent="0.25">
      <c r="A191" s="665"/>
      <c r="B191" s="665"/>
      <c r="C191" s="665"/>
      <c r="D191" s="665" t="s">
        <v>1036</v>
      </c>
      <c r="E191" s="665"/>
      <c r="F191" s="665"/>
      <c r="G191" s="665"/>
      <c r="H191" s="666">
        <f>ROUND(SUM(H176:H190),5)</f>
        <v>33809697.490000002</v>
      </c>
    </row>
    <row r="192" spans="1:8" hidden="1" x14ac:dyDescent="0.25">
      <c r="A192" s="665"/>
      <c r="B192" s="665"/>
      <c r="C192" s="665"/>
      <c r="D192" s="665" t="s">
        <v>1037</v>
      </c>
      <c r="E192" s="665"/>
      <c r="F192" s="665"/>
      <c r="G192" s="665"/>
      <c r="H192" s="666"/>
    </row>
    <row r="193" spans="1:8" hidden="1" x14ac:dyDescent="0.25">
      <c r="A193" s="665"/>
      <c r="B193" s="665"/>
      <c r="C193" s="665"/>
      <c r="D193" s="665"/>
      <c r="E193" s="665" t="s">
        <v>1038</v>
      </c>
      <c r="F193" s="665"/>
      <c r="G193" s="665"/>
      <c r="H193" s="666">
        <v>2000000</v>
      </c>
    </row>
    <row r="194" spans="1:8" hidden="1" x14ac:dyDescent="0.25">
      <c r="A194" s="665"/>
      <c r="B194" s="665"/>
      <c r="C194" s="665"/>
      <c r="D194" s="665"/>
      <c r="E194" s="665" t="s">
        <v>1039</v>
      </c>
      <c r="F194" s="665"/>
      <c r="G194" s="665"/>
      <c r="H194" s="666">
        <v>-2000000</v>
      </c>
    </row>
    <row r="195" spans="1:8" hidden="1" x14ac:dyDescent="0.25">
      <c r="A195" s="665"/>
      <c r="B195" s="665"/>
      <c r="C195" s="665"/>
      <c r="D195" s="665"/>
      <c r="E195" s="665" t="s">
        <v>1539</v>
      </c>
      <c r="F195" s="665"/>
      <c r="G195" s="665"/>
      <c r="H195" s="669">
        <v>750</v>
      </c>
    </row>
    <row r="196" spans="1:8" hidden="1" x14ac:dyDescent="0.25">
      <c r="A196" s="665"/>
      <c r="B196" s="665"/>
      <c r="C196" s="665"/>
      <c r="D196" s="665" t="s">
        <v>1040</v>
      </c>
      <c r="E196" s="665"/>
      <c r="F196" s="665"/>
      <c r="G196" s="665"/>
      <c r="H196" s="671">
        <f>ROUND(SUM(H192:H195),5)</f>
        <v>750</v>
      </c>
    </row>
    <row r="197" spans="1:8" ht="15.75" hidden="1" thickBot="1" x14ac:dyDescent="0.3">
      <c r="A197" s="665"/>
      <c r="B197" s="665"/>
      <c r="C197" s="665" t="s">
        <v>1042</v>
      </c>
      <c r="D197" s="665"/>
      <c r="E197" s="665"/>
      <c r="F197" s="665"/>
      <c r="G197" s="665"/>
      <c r="H197" s="670">
        <f>ROUND(H106+H175+H191+H196,5)</f>
        <v>186245163.24000001</v>
      </c>
    </row>
    <row r="198" spans="1:8" hidden="1" x14ac:dyDescent="0.25">
      <c r="A198" s="665"/>
      <c r="B198" s="665" t="s">
        <v>1043</v>
      </c>
      <c r="C198" s="665"/>
      <c r="D198" s="665"/>
      <c r="E198" s="665"/>
      <c r="F198" s="665"/>
      <c r="G198" s="665"/>
      <c r="H198" s="666">
        <f>ROUND(H105+H197,5)</f>
        <v>186245163.24000001</v>
      </c>
    </row>
    <row r="199" spans="1:8" hidden="1" x14ac:dyDescent="0.25">
      <c r="A199" s="665"/>
      <c r="B199" s="665" t="s">
        <v>1044</v>
      </c>
      <c r="C199" s="665"/>
      <c r="D199" s="665"/>
      <c r="E199" s="665"/>
      <c r="F199" s="665"/>
      <c r="G199" s="665"/>
      <c r="H199" s="666"/>
    </row>
    <row r="200" spans="1:8" hidden="1" x14ac:dyDescent="0.25">
      <c r="A200" s="665"/>
      <c r="B200" s="665"/>
      <c r="C200" s="665" t="s">
        <v>1045</v>
      </c>
      <c r="D200" s="665"/>
      <c r="E200" s="665"/>
      <c r="F200" s="665"/>
      <c r="G200" s="665"/>
      <c r="H200" s="666">
        <v>-395837</v>
      </c>
    </row>
    <row r="201" spans="1:8" hidden="1" x14ac:dyDescent="0.25">
      <c r="A201" s="665"/>
      <c r="B201" s="665"/>
      <c r="C201" s="665" t="s">
        <v>1046</v>
      </c>
      <c r="D201" s="665"/>
      <c r="E201" s="665"/>
      <c r="F201" s="665"/>
      <c r="G201" s="665"/>
      <c r="H201" s="666"/>
    </row>
    <row r="202" spans="1:8" hidden="1" x14ac:dyDescent="0.25">
      <c r="A202" s="665"/>
      <c r="B202" s="665"/>
      <c r="C202" s="665"/>
      <c r="D202" s="665" t="s">
        <v>1047</v>
      </c>
      <c r="E202" s="665"/>
      <c r="F202" s="665"/>
      <c r="G202" s="665"/>
      <c r="H202" s="669">
        <v>138105</v>
      </c>
    </row>
    <row r="203" spans="1:8" hidden="1" x14ac:dyDescent="0.25">
      <c r="A203" s="665"/>
      <c r="B203" s="665"/>
      <c r="C203" s="665" t="s">
        <v>1048</v>
      </c>
      <c r="D203" s="665"/>
      <c r="E203" s="665"/>
      <c r="F203" s="665"/>
      <c r="G203" s="665"/>
      <c r="H203" s="671">
        <f>ROUND(SUM(H201:H202),5)</f>
        <v>138105</v>
      </c>
    </row>
    <row r="204" spans="1:8" hidden="1" x14ac:dyDescent="0.25">
      <c r="A204" s="665"/>
      <c r="B204" s="665" t="s">
        <v>1049</v>
      </c>
      <c r="C204" s="665"/>
      <c r="D204" s="665"/>
      <c r="E204" s="665"/>
      <c r="F204" s="665"/>
      <c r="G204" s="665"/>
      <c r="H204" s="671">
        <f>ROUND(SUM(H199:H200)+H203,5)</f>
        <v>-257732</v>
      </c>
    </row>
    <row r="205" spans="1:8" s="673" customFormat="1" ht="12" hidden="1" thickBot="1" x14ac:dyDescent="0.25">
      <c r="A205" s="665" t="s">
        <v>1050</v>
      </c>
      <c r="B205" s="665"/>
      <c r="C205" s="665"/>
      <c r="D205" s="665"/>
      <c r="E205" s="665"/>
      <c r="F205" s="665"/>
      <c r="G205" s="665"/>
      <c r="H205" s="672">
        <f>ROUND(H2+H104+H198+H204,5)</f>
        <v>538649790.92999995</v>
      </c>
    </row>
    <row r="206" spans="1:8" hidden="1" x14ac:dyDescent="0.25">
      <c r="A206" s="665" t="s">
        <v>1051</v>
      </c>
      <c r="B206" s="665"/>
      <c r="C206" s="665"/>
      <c r="D206" s="665"/>
      <c r="E206" s="665"/>
      <c r="F206" s="665"/>
      <c r="G206" s="665"/>
      <c r="H206" s="666"/>
    </row>
    <row r="207" spans="1:8" hidden="1" x14ac:dyDescent="0.25">
      <c r="A207" s="665"/>
      <c r="B207" s="665" t="s">
        <v>1052</v>
      </c>
      <c r="C207" s="665"/>
      <c r="D207" s="665"/>
      <c r="E207" s="665"/>
      <c r="F207" s="665"/>
      <c r="G207" s="665"/>
      <c r="H207" s="666"/>
    </row>
    <row r="208" spans="1:8" hidden="1" x14ac:dyDescent="0.25">
      <c r="A208" s="665"/>
      <c r="B208" s="665"/>
      <c r="C208" s="665" t="s">
        <v>52</v>
      </c>
      <c r="D208" s="665"/>
      <c r="E208" s="665"/>
      <c r="F208" s="665"/>
      <c r="G208" s="665"/>
      <c r="H208" s="666"/>
    </row>
    <row r="209" spans="1:8" hidden="1" x14ac:dyDescent="0.25">
      <c r="A209" s="665"/>
      <c r="B209" s="665"/>
      <c r="C209" s="665"/>
      <c r="D209" s="665" t="s">
        <v>1053</v>
      </c>
      <c r="E209" s="665"/>
      <c r="F209" s="665"/>
      <c r="G209" s="665"/>
      <c r="H209" s="666"/>
    </row>
    <row r="210" spans="1:8" hidden="1" x14ac:dyDescent="0.25">
      <c r="A210" s="665"/>
      <c r="B210" s="665"/>
      <c r="C210" s="665"/>
      <c r="D210" s="665"/>
      <c r="E210" s="665" t="s">
        <v>148</v>
      </c>
      <c r="F210" s="665"/>
      <c r="G210" s="665"/>
      <c r="H210" s="666">
        <v>56010863.520000003</v>
      </c>
    </row>
    <row r="211" spans="1:8" hidden="1" x14ac:dyDescent="0.25">
      <c r="A211" s="665"/>
      <c r="B211" s="665"/>
      <c r="C211" s="665"/>
      <c r="D211" s="665"/>
      <c r="E211" s="665" t="s">
        <v>673</v>
      </c>
      <c r="F211" s="665"/>
      <c r="G211" s="665"/>
      <c r="H211" s="666">
        <v>-65391.75</v>
      </c>
    </row>
    <row r="212" spans="1:8" ht="15.75" hidden="1" thickBot="1" x14ac:dyDescent="0.3">
      <c r="A212" s="665"/>
      <c r="B212" s="665"/>
      <c r="C212" s="665"/>
      <c r="D212" s="665"/>
      <c r="E212" s="665" t="s">
        <v>674</v>
      </c>
      <c r="F212" s="665"/>
      <c r="G212" s="665"/>
      <c r="H212" s="668">
        <v>9917516.6500000004</v>
      </c>
    </row>
    <row r="213" spans="1:8" hidden="1" x14ac:dyDescent="0.25">
      <c r="A213" s="665"/>
      <c r="B213" s="665"/>
      <c r="C213" s="665"/>
      <c r="D213" s="665" t="s">
        <v>1054</v>
      </c>
      <c r="E213" s="665"/>
      <c r="F213" s="665"/>
      <c r="G213" s="665"/>
      <c r="H213" s="666">
        <f>ROUND(SUM(H209:H212),5)</f>
        <v>65862988.420000002</v>
      </c>
    </row>
    <row r="214" spans="1:8" hidden="1" x14ac:dyDescent="0.25">
      <c r="A214" s="665"/>
      <c r="B214" s="665"/>
      <c r="C214" s="665"/>
      <c r="D214" s="665" t="s">
        <v>490</v>
      </c>
      <c r="E214" s="665"/>
      <c r="F214" s="665"/>
      <c r="G214" s="665"/>
      <c r="H214" s="666"/>
    </row>
    <row r="215" spans="1:8" hidden="1" x14ac:dyDescent="0.25">
      <c r="A215" s="665"/>
      <c r="B215" s="665"/>
      <c r="C215" s="665"/>
      <c r="D215" s="665"/>
      <c r="E215" s="665" t="s">
        <v>1055</v>
      </c>
      <c r="F215" s="665"/>
      <c r="G215" s="665"/>
      <c r="H215" s="666"/>
    </row>
    <row r="216" spans="1:8" hidden="1" x14ac:dyDescent="0.25">
      <c r="A216" s="665"/>
      <c r="B216" s="665"/>
      <c r="C216" s="665"/>
      <c r="D216" s="665"/>
      <c r="E216" s="665"/>
      <c r="F216" s="665" t="s">
        <v>1056</v>
      </c>
      <c r="G216" s="665"/>
      <c r="H216" s="666">
        <v>336099.34</v>
      </c>
    </row>
    <row r="217" spans="1:8" hidden="1" x14ac:dyDescent="0.25">
      <c r="A217" s="665"/>
      <c r="B217" s="665"/>
      <c r="C217" s="665"/>
      <c r="D217" s="665"/>
      <c r="E217" s="665"/>
      <c r="F217" s="665" t="s">
        <v>1057</v>
      </c>
      <c r="G217" s="665"/>
      <c r="H217" s="669">
        <v>250652.26</v>
      </c>
    </row>
    <row r="218" spans="1:8" ht="15.75" hidden="1" thickBot="1" x14ac:dyDescent="0.3">
      <c r="A218" s="665"/>
      <c r="B218" s="665"/>
      <c r="C218" s="665"/>
      <c r="D218" s="665"/>
      <c r="E218" s="665" t="s">
        <v>1058</v>
      </c>
      <c r="F218" s="665"/>
      <c r="G218" s="665"/>
      <c r="H218" s="670">
        <f>ROUND(SUM(H215:H217),5)</f>
        <v>586751.6</v>
      </c>
    </row>
    <row r="219" spans="1:8" hidden="1" x14ac:dyDescent="0.25">
      <c r="A219" s="665"/>
      <c r="B219" s="665"/>
      <c r="C219" s="665"/>
      <c r="D219" s="665" t="s">
        <v>1059</v>
      </c>
      <c r="E219" s="665"/>
      <c r="F219" s="665"/>
      <c r="G219" s="665"/>
      <c r="H219" s="666">
        <f>ROUND(H214+H218,5)</f>
        <v>586751.6</v>
      </c>
    </row>
    <row r="220" spans="1:8" hidden="1" x14ac:dyDescent="0.25">
      <c r="A220" s="665"/>
      <c r="B220" s="665"/>
      <c r="C220" s="665"/>
      <c r="D220" s="665" t="s">
        <v>1060</v>
      </c>
      <c r="E220" s="665"/>
      <c r="F220" s="665"/>
      <c r="G220" s="665"/>
      <c r="H220" s="666"/>
    </row>
    <row r="221" spans="1:8" hidden="1" x14ac:dyDescent="0.25">
      <c r="A221" s="665"/>
      <c r="B221" s="665"/>
      <c r="C221" s="665"/>
      <c r="D221" s="665"/>
      <c r="E221" s="665" t="s">
        <v>1061</v>
      </c>
      <c r="F221" s="665"/>
      <c r="G221" s="665"/>
      <c r="H221" s="666"/>
    </row>
    <row r="222" spans="1:8" hidden="1" x14ac:dyDescent="0.25">
      <c r="A222" s="665"/>
      <c r="B222" s="665"/>
      <c r="C222" s="665"/>
      <c r="D222" s="665"/>
      <c r="E222" s="665"/>
      <c r="F222" s="665" t="s">
        <v>1062</v>
      </c>
      <c r="G222" s="665"/>
      <c r="H222" s="666">
        <v>22612474.059999999</v>
      </c>
    </row>
    <row r="223" spans="1:8" hidden="1" x14ac:dyDescent="0.25">
      <c r="A223" s="665"/>
      <c r="B223" s="665"/>
      <c r="C223" s="665"/>
      <c r="D223" s="665"/>
      <c r="E223" s="665"/>
      <c r="F223" s="665" t="s">
        <v>1065</v>
      </c>
      <c r="G223" s="665"/>
      <c r="H223" s="666">
        <v>46678.44</v>
      </c>
    </row>
    <row r="224" spans="1:8" hidden="1" x14ac:dyDescent="0.25">
      <c r="A224" s="665"/>
      <c r="B224" s="665"/>
      <c r="C224" s="665"/>
      <c r="D224" s="665"/>
      <c r="E224" s="665"/>
      <c r="F224" s="665" t="s">
        <v>1066</v>
      </c>
      <c r="G224" s="665"/>
      <c r="H224" s="666">
        <v>-43221.71</v>
      </c>
    </row>
    <row r="225" spans="1:8" ht="15.75" hidden="1" thickBot="1" x14ac:dyDescent="0.3">
      <c r="A225" s="665"/>
      <c r="B225" s="665"/>
      <c r="C225" s="665"/>
      <c r="D225" s="665"/>
      <c r="E225" s="665"/>
      <c r="F225" s="665" t="s">
        <v>1067</v>
      </c>
      <c r="G225" s="665"/>
      <c r="H225" s="668">
        <v>3344994</v>
      </c>
    </row>
    <row r="226" spans="1:8" hidden="1" x14ac:dyDescent="0.25">
      <c r="A226" s="665"/>
      <c r="B226" s="665"/>
      <c r="C226" s="665"/>
      <c r="D226" s="665"/>
      <c r="E226" s="665" t="s">
        <v>1068</v>
      </c>
      <c r="F226" s="665"/>
      <c r="G226" s="665"/>
      <c r="H226" s="666">
        <f>ROUND(SUM(H221:H225),5)</f>
        <v>25960924.789999999</v>
      </c>
    </row>
    <row r="227" spans="1:8" hidden="1" x14ac:dyDescent="0.25">
      <c r="A227" s="665"/>
      <c r="B227" s="665"/>
      <c r="C227" s="665"/>
      <c r="D227" s="665"/>
      <c r="E227" s="665" t="s">
        <v>1069</v>
      </c>
      <c r="F227" s="665"/>
      <c r="G227" s="665"/>
      <c r="H227" s="666"/>
    </row>
    <row r="228" spans="1:8" hidden="1" x14ac:dyDescent="0.25">
      <c r="A228" s="665"/>
      <c r="B228" s="665"/>
      <c r="C228" s="665"/>
      <c r="D228" s="665"/>
      <c r="E228" s="665"/>
      <c r="F228" s="665" t="s">
        <v>1070</v>
      </c>
      <c r="G228" s="665"/>
      <c r="H228" s="666">
        <v>-2500</v>
      </c>
    </row>
    <row r="229" spans="1:8" hidden="1" x14ac:dyDescent="0.25">
      <c r="A229" s="665"/>
      <c r="B229" s="665"/>
      <c r="C229" s="665"/>
      <c r="D229" s="665"/>
      <c r="E229" s="665"/>
      <c r="F229" s="665" t="s">
        <v>1071</v>
      </c>
      <c r="G229" s="665"/>
      <c r="H229" s="666">
        <v>204000</v>
      </c>
    </row>
    <row r="230" spans="1:8" hidden="1" x14ac:dyDescent="0.25">
      <c r="A230" s="665"/>
      <c r="B230" s="665"/>
      <c r="C230" s="665"/>
      <c r="D230" s="665"/>
      <c r="E230" s="665"/>
      <c r="F230" s="665" t="s">
        <v>1072</v>
      </c>
      <c r="G230" s="665"/>
      <c r="H230" s="666">
        <v>26670.92</v>
      </c>
    </row>
    <row r="231" spans="1:8" hidden="1" x14ac:dyDescent="0.25">
      <c r="A231" s="665"/>
      <c r="B231" s="665"/>
      <c r="C231" s="665"/>
      <c r="D231" s="665"/>
      <c r="E231" s="665"/>
      <c r="F231" s="665" t="s">
        <v>1540</v>
      </c>
      <c r="G231" s="665"/>
      <c r="H231" s="666">
        <v>6000</v>
      </c>
    </row>
    <row r="232" spans="1:8" hidden="1" x14ac:dyDescent="0.25">
      <c r="A232" s="665"/>
      <c r="B232" s="665"/>
      <c r="C232" s="665"/>
      <c r="D232" s="665"/>
      <c r="E232" s="665"/>
      <c r="F232" s="665" t="s">
        <v>1541</v>
      </c>
      <c r="G232" s="665"/>
      <c r="H232" s="666">
        <v>-301000</v>
      </c>
    </row>
    <row r="233" spans="1:8" hidden="1" x14ac:dyDescent="0.25">
      <c r="A233" s="665"/>
      <c r="B233" s="665"/>
      <c r="C233" s="665"/>
      <c r="D233" s="665"/>
      <c r="E233" s="665"/>
      <c r="F233" s="665" t="s">
        <v>1073</v>
      </c>
      <c r="G233" s="665"/>
      <c r="H233" s="666">
        <v>600892.18999999994</v>
      </c>
    </row>
    <row r="234" spans="1:8" hidden="1" x14ac:dyDescent="0.25">
      <c r="A234" s="665"/>
      <c r="B234" s="665"/>
      <c r="C234" s="665"/>
      <c r="D234" s="665"/>
      <c r="E234" s="665"/>
      <c r="F234" s="665" t="s">
        <v>1074</v>
      </c>
      <c r="G234" s="665"/>
      <c r="H234" s="666"/>
    </row>
    <row r="235" spans="1:8" hidden="1" x14ac:dyDescent="0.25">
      <c r="A235" s="665"/>
      <c r="B235" s="665"/>
      <c r="C235" s="665"/>
      <c r="D235" s="665"/>
      <c r="E235" s="665"/>
      <c r="F235" s="665"/>
      <c r="G235" s="665" t="s">
        <v>1075</v>
      </c>
      <c r="H235" s="666">
        <v>-92705.83</v>
      </c>
    </row>
    <row r="236" spans="1:8" hidden="1" x14ac:dyDescent="0.25">
      <c r="A236" s="665"/>
      <c r="B236" s="665"/>
      <c r="C236" s="665"/>
      <c r="D236" s="665"/>
      <c r="E236" s="665"/>
      <c r="F236" s="665"/>
      <c r="G236" s="665" t="s">
        <v>1076</v>
      </c>
      <c r="H236" s="666">
        <v>-38019467.450000003</v>
      </c>
    </row>
    <row r="237" spans="1:8" hidden="1" x14ac:dyDescent="0.25">
      <c r="A237" s="665"/>
      <c r="B237" s="665"/>
      <c r="C237" s="665"/>
      <c r="D237" s="665"/>
      <c r="E237" s="665"/>
      <c r="F237" s="665"/>
      <c r="G237" s="665" t="s">
        <v>1542</v>
      </c>
      <c r="H237" s="666">
        <v>-107501.68</v>
      </c>
    </row>
    <row r="238" spans="1:8" ht="15.75" hidden="1" thickBot="1" x14ac:dyDescent="0.3">
      <c r="A238" s="665"/>
      <c r="B238" s="665"/>
      <c r="C238" s="665"/>
      <c r="D238" s="665"/>
      <c r="E238" s="665"/>
      <c r="F238" s="665"/>
      <c r="G238" s="665" t="s">
        <v>1543</v>
      </c>
      <c r="H238" s="668">
        <v>35240</v>
      </c>
    </row>
    <row r="239" spans="1:8" hidden="1" x14ac:dyDescent="0.25">
      <c r="A239" s="665"/>
      <c r="B239" s="665"/>
      <c r="C239" s="665"/>
      <c r="D239" s="665"/>
      <c r="E239" s="665"/>
      <c r="F239" s="665" t="s">
        <v>1077</v>
      </c>
      <c r="G239" s="665"/>
      <c r="H239" s="666">
        <f>ROUND(SUM(H234:H238),5)</f>
        <v>-38184434.960000001</v>
      </c>
    </row>
    <row r="240" spans="1:8" hidden="1" x14ac:dyDescent="0.25">
      <c r="A240" s="665"/>
      <c r="B240" s="665"/>
      <c r="C240" s="665"/>
      <c r="D240" s="665"/>
      <c r="E240" s="665"/>
      <c r="F240" s="665" t="s">
        <v>1078</v>
      </c>
      <c r="G240" s="665"/>
      <c r="H240" s="666"/>
    </row>
    <row r="241" spans="1:8" hidden="1" x14ac:dyDescent="0.25">
      <c r="A241" s="665"/>
      <c r="B241" s="665"/>
      <c r="C241" s="665"/>
      <c r="D241" s="665"/>
      <c r="E241" s="665"/>
      <c r="F241" s="665"/>
      <c r="G241" s="665" t="s">
        <v>1661</v>
      </c>
      <c r="H241" s="666">
        <v>100000</v>
      </c>
    </row>
    <row r="242" spans="1:8" hidden="1" x14ac:dyDescent="0.25">
      <c r="A242" s="665"/>
      <c r="B242" s="665"/>
      <c r="C242" s="665"/>
      <c r="D242" s="665"/>
      <c r="E242" s="665"/>
      <c r="F242" s="665"/>
      <c r="G242" s="665" t="s">
        <v>1079</v>
      </c>
      <c r="H242" s="666">
        <v>1874847</v>
      </c>
    </row>
    <row r="243" spans="1:8" hidden="1" x14ac:dyDescent="0.25">
      <c r="A243" s="665"/>
      <c r="B243" s="665"/>
      <c r="C243" s="665"/>
      <c r="D243" s="665"/>
      <c r="E243" s="665"/>
      <c r="F243" s="665"/>
      <c r="G243" s="665" t="s">
        <v>1080</v>
      </c>
      <c r="H243" s="666">
        <v>8214337.0599999996</v>
      </c>
    </row>
    <row r="244" spans="1:8" ht="15.75" hidden="1" thickBot="1" x14ac:dyDescent="0.3">
      <c r="A244" s="665"/>
      <c r="B244" s="665"/>
      <c r="C244" s="665"/>
      <c r="D244" s="665"/>
      <c r="E244" s="665"/>
      <c r="F244" s="665"/>
      <c r="G244" s="665" t="s">
        <v>1081</v>
      </c>
      <c r="H244" s="668">
        <v>-23030</v>
      </c>
    </row>
    <row r="245" spans="1:8" hidden="1" x14ac:dyDescent="0.25">
      <c r="A245" s="665"/>
      <c r="B245" s="665"/>
      <c r="C245" s="665"/>
      <c r="D245" s="665"/>
      <c r="E245" s="665"/>
      <c r="F245" s="665" t="s">
        <v>1082</v>
      </c>
      <c r="G245" s="665"/>
      <c r="H245" s="666">
        <f>ROUND(SUM(H240:H244),5)</f>
        <v>10166154.060000001</v>
      </c>
    </row>
    <row r="246" spans="1:8" hidden="1" x14ac:dyDescent="0.25">
      <c r="A246" s="665"/>
      <c r="B246" s="665"/>
      <c r="C246" s="665"/>
      <c r="D246" s="665"/>
      <c r="E246" s="665"/>
      <c r="F246" s="665" t="s">
        <v>1083</v>
      </c>
      <c r="G246" s="665"/>
      <c r="H246" s="666">
        <v>96506324.5</v>
      </c>
    </row>
    <row r="247" spans="1:8" hidden="1" x14ac:dyDescent="0.25">
      <c r="A247" s="665"/>
      <c r="B247" s="665"/>
      <c r="C247" s="665"/>
      <c r="D247" s="665"/>
      <c r="E247" s="665"/>
      <c r="F247" s="665" t="s">
        <v>1084</v>
      </c>
      <c r="G247" s="665"/>
      <c r="H247" s="666">
        <v>1144108.17</v>
      </c>
    </row>
    <row r="248" spans="1:8" hidden="1" x14ac:dyDescent="0.25">
      <c r="A248" s="665"/>
      <c r="B248" s="665"/>
      <c r="C248" s="665"/>
      <c r="D248" s="665"/>
      <c r="E248" s="665"/>
      <c r="F248" s="665" t="s">
        <v>1085</v>
      </c>
      <c r="G248" s="665"/>
      <c r="H248" s="666">
        <v>106767247.17</v>
      </c>
    </row>
    <row r="249" spans="1:8" ht="15.75" hidden="1" thickBot="1" x14ac:dyDescent="0.3">
      <c r="A249" s="665"/>
      <c r="B249" s="665"/>
      <c r="C249" s="665"/>
      <c r="D249" s="665"/>
      <c r="E249" s="665"/>
      <c r="F249" s="665" t="s">
        <v>1545</v>
      </c>
      <c r="G249" s="665"/>
      <c r="H249" s="668">
        <v>-801265</v>
      </c>
    </row>
    <row r="250" spans="1:8" hidden="1" x14ac:dyDescent="0.25">
      <c r="A250" s="665"/>
      <c r="B250" s="665"/>
      <c r="C250" s="665"/>
      <c r="D250" s="665"/>
      <c r="E250" s="665" t="s">
        <v>1086</v>
      </c>
      <c r="F250" s="665"/>
      <c r="G250" s="665"/>
      <c r="H250" s="666">
        <f>ROUND(SUM(H227:H233)+H239+SUM(H245:H249),5)</f>
        <v>176132197.05000001</v>
      </c>
    </row>
    <row r="251" spans="1:8" hidden="1" x14ac:dyDescent="0.25">
      <c r="A251" s="665"/>
      <c r="B251" s="665"/>
      <c r="C251" s="665"/>
      <c r="D251" s="665"/>
      <c r="E251" s="665" t="s">
        <v>522</v>
      </c>
      <c r="F251" s="665"/>
      <c r="G251" s="665"/>
      <c r="H251" s="666">
        <v>10000</v>
      </c>
    </row>
    <row r="252" spans="1:8" hidden="1" x14ac:dyDescent="0.25">
      <c r="A252" s="665"/>
      <c r="B252" s="665"/>
      <c r="C252" s="665"/>
      <c r="D252" s="665"/>
      <c r="E252" s="665" t="s">
        <v>1546</v>
      </c>
      <c r="F252" s="665"/>
      <c r="G252" s="665"/>
      <c r="H252" s="666">
        <v>1000000</v>
      </c>
    </row>
    <row r="253" spans="1:8" hidden="1" x14ac:dyDescent="0.25">
      <c r="A253" s="665"/>
      <c r="B253" s="665"/>
      <c r="C253" s="665"/>
      <c r="D253" s="665"/>
      <c r="E253" s="665" t="s">
        <v>1547</v>
      </c>
      <c r="F253" s="665"/>
      <c r="G253" s="665"/>
      <c r="H253" s="666">
        <v>38608</v>
      </c>
    </row>
    <row r="254" spans="1:8" hidden="1" x14ac:dyDescent="0.25">
      <c r="A254" s="665"/>
      <c r="B254" s="665"/>
      <c r="C254" s="665"/>
      <c r="D254" s="665"/>
      <c r="E254" s="665" t="s">
        <v>684</v>
      </c>
      <c r="F254" s="665"/>
      <c r="G254" s="665"/>
      <c r="H254" s="666">
        <v>4609157.72</v>
      </c>
    </row>
    <row r="255" spans="1:8" hidden="1" x14ac:dyDescent="0.25">
      <c r="A255" s="665"/>
      <c r="B255" s="665"/>
      <c r="C255" s="665"/>
      <c r="D255" s="665"/>
      <c r="E255" s="665" t="s">
        <v>685</v>
      </c>
      <c r="F255" s="665"/>
      <c r="G255" s="665"/>
      <c r="H255" s="669">
        <v>13352356.07</v>
      </c>
    </row>
    <row r="256" spans="1:8" ht="15.75" hidden="1" thickBot="1" x14ac:dyDescent="0.3">
      <c r="A256" s="665"/>
      <c r="B256" s="665"/>
      <c r="C256" s="665"/>
      <c r="D256" s="665" t="s">
        <v>1087</v>
      </c>
      <c r="E256" s="665"/>
      <c r="F256" s="665"/>
      <c r="G256" s="665"/>
      <c r="H256" s="670">
        <f>ROUND(H220+H226+SUM(H250:H255),5)</f>
        <v>221103243.63</v>
      </c>
    </row>
    <row r="257" spans="1:8" hidden="1" x14ac:dyDescent="0.25">
      <c r="A257" s="665"/>
      <c r="B257" s="665"/>
      <c r="C257" s="665" t="s">
        <v>3</v>
      </c>
      <c r="D257" s="665"/>
      <c r="E257" s="665"/>
      <c r="F257" s="665"/>
      <c r="G257" s="665"/>
      <c r="H257" s="666">
        <f>ROUND(H208+H213+H219+H256,5)</f>
        <v>287552983.64999998</v>
      </c>
    </row>
    <row r="258" spans="1:8" hidden="1" x14ac:dyDescent="0.25">
      <c r="A258" s="665"/>
      <c r="B258" s="665"/>
      <c r="C258" s="665" t="s">
        <v>1088</v>
      </c>
      <c r="D258" s="665"/>
      <c r="E258" s="665"/>
      <c r="F258" s="665"/>
      <c r="G258" s="665"/>
      <c r="H258" s="666"/>
    </row>
    <row r="259" spans="1:8" hidden="1" x14ac:dyDescent="0.25">
      <c r="A259" s="665"/>
      <c r="B259" s="665"/>
      <c r="C259" s="665"/>
      <c r="D259" s="665" t="s">
        <v>1089</v>
      </c>
      <c r="E259" s="665"/>
      <c r="F259" s="665"/>
      <c r="G259" s="665"/>
      <c r="H259" s="666"/>
    </row>
    <row r="260" spans="1:8" hidden="1" x14ac:dyDescent="0.25">
      <c r="A260" s="665"/>
      <c r="B260" s="665"/>
      <c r="C260" s="665"/>
      <c r="D260" s="665"/>
      <c r="E260" s="665" t="s">
        <v>1090</v>
      </c>
      <c r="F260" s="665"/>
      <c r="G260" s="665"/>
      <c r="H260" s="666">
        <v>13480711.24</v>
      </c>
    </row>
    <row r="261" spans="1:8" hidden="1" x14ac:dyDescent="0.25">
      <c r="A261" s="665"/>
      <c r="B261" s="665"/>
      <c r="C261" s="665"/>
      <c r="D261" s="665"/>
      <c r="E261" s="665" t="s">
        <v>1091</v>
      </c>
      <c r="F261" s="665"/>
      <c r="G261" s="665"/>
      <c r="H261" s="666">
        <v>13438753.67</v>
      </c>
    </row>
    <row r="262" spans="1:8" hidden="1" x14ac:dyDescent="0.25">
      <c r="A262" s="665"/>
      <c r="B262" s="665"/>
      <c r="C262" s="665"/>
      <c r="D262" s="665"/>
      <c r="E262" s="665" t="s">
        <v>1548</v>
      </c>
      <c r="F262" s="665"/>
      <c r="G262" s="665"/>
      <c r="H262" s="666">
        <v>823942</v>
      </c>
    </row>
    <row r="263" spans="1:8" hidden="1" x14ac:dyDescent="0.25">
      <c r="A263" s="665"/>
      <c r="B263" s="665"/>
      <c r="C263" s="665"/>
      <c r="D263" s="665"/>
      <c r="E263" s="665" t="s">
        <v>1093</v>
      </c>
      <c r="F263" s="665"/>
      <c r="G263" s="665"/>
      <c r="H263" s="666">
        <v>3489697.4</v>
      </c>
    </row>
    <row r="264" spans="1:8" hidden="1" x14ac:dyDescent="0.25">
      <c r="A264" s="665"/>
      <c r="B264" s="665"/>
      <c r="C264" s="665"/>
      <c r="D264" s="665"/>
      <c r="E264" s="665" t="s">
        <v>1549</v>
      </c>
      <c r="F264" s="665"/>
      <c r="G264" s="665"/>
      <c r="H264" s="666">
        <v>3557503</v>
      </c>
    </row>
    <row r="265" spans="1:8" hidden="1" x14ac:dyDescent="0.25">
      <c r="A265" s="665"/>
      <c r="B265" s="665"/>
      <c r="C265" s="665"/>
      <c r="D265" s="665"/>
      <c r="E265" s="665" t="s">
        <v>1550</v>
      </c>
      <c r="F265" s="665"/>
      <c r="G265" s="665"/>
      <c r="H265" s="666">
        <v>8067466.6100000003</v>
      </c>
    </row>
    <row r="266" spans="1:8" hidden="1" x14ac:dyDescent="0.25">
      <c r="A266" s="665"/>
      <c r="B266" s="665"/>
      <c r="C266" s="665"/>
      <c r="D266" s="665"/>
      <c r="E266" s="665" t="s">
        <v>1094</v>
      </c>
      <c r="F266" s="665"/>
      <c r="G266" s="665"/>
      <c r="H266" s="666">
        <v>1589253</v>
      </c>
    </row>
    <row r="267" spans="1:8" hidden="1" x14ac:dyDescent="0.25">
      <c r="A267" s="665"/>
      <c r="B267" s="665"/>
      <c r="C267" s="665"/>
      <c r="D267" s="665"/>
      <c r="E267" s="665" t="s">
        <v>1551</v>
      </c>
      <c r="F267" s="665"/>
      <c r="G267" s="665"/>
      <c r="H267" s="666">
        <v>4999495.21</v>
      </c>
    </row>
    <row r="268" spans="1:8" hidden="1" x14ac:dyDescent="0.25">
      <c r="A268" s="665"/>
      <c r="B268" s="665"/>
      <c r="C268" s="665"/>
      <c r="D268" s="665"/>
      <c r="E268" s="665" t="s">
        <v>1096</v>
      </c>
      <c r="F268" s="665"/>
      <c r="G268" s="665"/>
      <c r="H268" s="666">
        <v>2146011</v>
      </c>
    </row>
    <row r="269" spans="1:8" hidden="1" x14ac:dyDescent="0.25">
      <c r="A269" s="665"/>
      <c r="B269" s="665"/>
      <c r="C269" s="665"/>
      <c r="D269" s="665"/>
      <c r="E269" s="665" t="s">
        <v>1097</v>
      </c>
      <c r="F269" s="665"/>
      <c r="G269" s="665"/>
      <c r="H269" s="666">
        <v>-644705.51</v>
      </c>
    </row>
    <row r="270" spans="1:8" hidden="1" x14ac:dyDescent="0.25">
      <c r="A270" s="665"/>
      <c r="B270" s="665"/>
      <c r="C270" s="665"/>
      <c r="D270" s="665"/>
      <c r="E270" s="665" t="s">
        <v>1098</v>
      </c>
      <c r="F270" s="665"/>
      <c r="G270" s="665"/>
      <c r="H270" s="666">
        <v>1907595</v>
      </c>
    </row>
    <row r="271" spans="1:8" hidden="1" x14ac:dyDescent="0.25">
      <c r="A271" s="665"/>
      <c r="B271" s="665"/>
      <c r="C271" s="665"/>
      <c r="D271" s="665"/>
      <c r="E271" s="665" t="s">
        <v>1099</v>
      </c>
      <c r="F271" s="665"/>
      <c r="G271" s="665"/>
      <c r="H271" s="666">
        <v>-573103.56000000006</v>
      </c>
    </row>
    <row r="272" spans="1:8" hidden="1" x14ac:dyDescent="0.25">
      <c r="A272" s="665"/>
      <c r="B272" s="665"/>
      <c r="C272" s="665"/>
      <c r="D272" s="665"/>
      <c r="E272" s="665" t="s">
        <v>1100</v>
      </c>
      <c r="F272" s="665"/>
      <c r="G272" s="665"/>
      <c r="H272" s="666">
        <v>7916666.9400000004</v>
      </c>
    </row>
    <row r="273" spans="1:8" hidden="1" x14ac:dyDescent="0.25">
      <c r="A273" s="665"/>
      <c r="B273" s="665"/>
      <c r="C273" s="665"/>
      <c r="D273" s="665"/>
      <c r="E273" s="665" t="s">
        <v>1552</v>
      </c>
      <c r="F273" s="665"/>
      <c r="G273" s="665"/>
      <c r="H273" s="666">
        <v>8991575.9399999995</v>
      </c>
    </row>
    <row r="274" spans="1:8" hidden="1" x14ac:dyDescent="0.25">
      <c r="A274" s="665"/>
      <c r="B274" s="665"/>
      <c r="C274" s="665"/>
      <c r="D274" s="665"/>
      <c r="E274" s="665" t="s">
        <v>1553</v>
      </c>
      <c r="F274" s="665"/>
      <c r="G274" s="665"/>
      <c r="H274" s="666">
        <v>2087100</v>
      </c>
    </row>
    <row r="275" spans="1:8" hidden="1" x14ac:dyDescent="0.25">
      <c r="A275" s="665"/>
      <c r="B275" s="665"/>
      <c r="C275" s="665"/>
      <c r="D275" s="665"/>
      <c r="E275" s="665" t="s">
        <v>1554</v>
      </c>
      <c r="F275" s="665"/>
      <c r="G275" s="665"/>
      <c r="H275" s="666">
        <v>2702394.97</v>
      </c>
    </row>
    <row r="276" spans="1:8" hidden="1" x14ac:dyDescent="0.25">
      <c r="A276" s="665"/>
      <c r="B276" s="665"/>
      <c r="C276" s="665"/>
      <c r="D276" s="665"/>
      <c r="E276" s="665" t="s">
        <v>1555</v>
      </c>
      <c r="F276" s="665"/>
      <c r="G276" s="665"/>
      <c r="H276" s="666">
        <v>2141634</v>
      </c>
    </row>
    <row r="277" spans="1:8" hidden="1" x14ac:dyDescent="0.25">
      <c r="A277" s="665"/>
      <c r="B277" s="665"/>
      <c r="C277" s="665"/>
      <c r="D277" s="665"/>
      <c r="E277" s="665" t="s">
        <v>1556</v>
      </c>
      <c r="F277" s="665"/>
      <c r="G277" s="665"/>
      <c r="H277" s="666">
        <v>-507218.47</v>
      </c>
    </row>
    <row r="278" spans="1:8" hidden="1" x14ac:dyDescent="0.25">
      <c r="A278" s="665"/>
      <c r="B278" s="665"/>
      <c r="C278" s="665"/>
      <c r="D278" s="665"/>
      <c r="E278" s="665" t="s">
        <v>1557</v>
      </c>
      <c r="F278" s="665"/>
      <c r="G278" s="665"/>
      <c r="H278" s="666">
        <v>27637389.359999999</v>
      </c>
    </row>
    <row r="279" spans="1:8" hidden="1" x14ac:dyDescent="0.25">
      <c r="A279" s="665"/>
      <c r="B279" s="665"/>
      <c r="C279" s="665"/>
      <c r="D279" s="665"/>
      <c r="E279" s="665" t="s">
        <v>1558</v>
      </c>
      <c r="F279" s="665"/>
      <c r="G279" s="665"/>
      <c r="H279" s="666">
        <v>-3172033.94</v>
      </c>
    </row>
    <row r="280" spans="1:8" hidden="1" x14ac:dyDescent="0.25">
      <c r="A280" s="665"/>
      <c r="B280" s="665"/>
      <c r="C280" s="665"/>
      <c r="D280" s="665"/>
      <c r="E280" s="665" t="s">
        <v>1559</v>
      </c>
      <c r="F280" s="665"/>
      <c r="G280" s="665"/>
      <c r="H280" s="666">
        <v>9123009</v>
      </c>
    </row>
    <row r="281" spans="1:8" hidden="1" x14ac:dyDescent="0.25">
      <c r="A281" s="665"/>
      <c r="B281" s="665"/>
      <c r="C281" s="665"/>
      <c r="D281" s="665"/>
      <c r="E281" s="665" t="s">
        <v>1560</v>
      </c>
      <c r="F281" s="665"/>
      <c r="G281" s="665"/>
      <c r="H281" s="666">
        <v>-142352.51</v>
      </c>
    </row>
    <row r="282" spans="1:8" hidden="1" x14ac:dyDescent="0.25">
      <c r="A282" s="665"/>
      <c r="B282" s="665"/>
      <c r="C282" s="665"/>
      <c r="D282" s="665"/>
      <c r="E282" s="665" t="s">
        <v>1561</v>
      </c>
      <c r="F282" s="665"/>
      <c r="G282" s="665"/>
      <c r="H282" s="669">
        <v>-142637.07</v>
      </c>
    </row>
    <row r="283" spans="1:8" hidden="1" x14ac:dyDescent="0.25">
      <c r="A283" s="665"/>
      <c r="B283" s="665"/>
      <c r="C283" s="665"/>
      <c r="D283" s="665" t="s">
        <v>1101</v>
      </c>
      <c r="E283" s="665"/>
      <c r="F283" s="665"/>
      <c r="G283" s="665"/>
      <c r="H283" s="671">
        <f>ROUND(SUM(H259:H282),5)</f>
        <v>108918147.28</v>
      </c>
    </row>
    <row r="284" spans="1:8" ht="15.75" hidden="1" thickBot="1" x14ac:dyDescent="0.3">
      <c r="A284" s="665"/>
      <c r="B284" s="665"/>
      <c r="C284" s="665" t="s">
        <v>1102</v>
      </c>
      <c r="D284" s="665"/>
      <c r="E284" s="665"/>
      <c r="F284" s="665"/>
      <c r="G284" s="665"/>
      <c r="H284" s="670">
        <f>ROUND(H258+H283,5)</f>
        <v>108918147.28</v>
      </c>
    </row>
    <row r="285" spans="1:8" hidden="1" x14ac:dyDescent="0.25">
      <c r="A285" s="665"/>
      <c r="B285" s="665" t="s">
        <v>1103</v>
      </c>
      <c r="C285" s="665"/>
      <c r="D285" s="665"/>
      <c r="E285" s="665"/>
      <c r="F285" s="665"/>
      <c r="G285" s="665"/>
      <c r="H285" s="666">
        <f>ROUND(H207+H257+H284,5)</f>
        <v>396471130.93000001</v>
      </c>
    </row>
    <row r="286" spans="1:8" hidden="1" x14ac:dyDescent="0.25">
      <c r="A286" s="665"/>
      <c r="B286" s="665" t="s">
        <v>2</v>
      </c>
      <c r="C286" s="665"/>
      <c r="D286" s="665"/>
      <c r="E286" s="665"/>
      <c r="F286" s="665"/>
      <c r="G286" s="665"/>
      <c r="H286" s="666"/>
    </row>
    <row r="287" spans="1:8" hidden="1" x14ac:dyDescent="0.25">
      <c r="A287" s="665"/>
      <c r="B287" s="665"/>
      <c r="C287" s="665" t="s">
        <v>175</v>
      </c>
      <c r="D287" s="665"/>
      <c r="E287" s="665"/>
      <c r="F287" s="665"/>
      <c r="G287" s="665"/>
      <c r="H287" s="666"/>
    </row>
    <row r="288" spans="1:8" hidden="1" x14ac:dyDescent="0.25">
      <c r="A288" s="665"/>
      <c r="B288" s="665"/>
      <c r="C288" s="665"/>
      <c r="D288" s="665" t="s">
        <v>1104</v>
      </c>
      <c r="E288" s="665"/>
      <c r="F288" s="665"/>
      <c r="G288" s="665"/>
      <c r="H288" s="666">
        <v>2000020</v>
      </c>
    </row>
    <row r="289" spans="1:19" ht="15.75" hidden="1" thickBot="1" x14ac:dyDescent="0.3">
      <c r="A289" s="665"/>
      <c r="B289" s="665"/>
      <c r="C289" s="665"/>
      <c r="D289" s="665" t="s">
        <v>1107</v>
      </c>
      <c r="E289" s="665"/>
      <c r="F289" s="665"/>
      <c r="G289" s="665"/>
      <c r="H289" s="668">
        <v>24639053.23</v>
      </c>
    </row>
    <row r="290" spans="1:19" hidden="1" x14ac:dyDescent="0.25">
      <c r="A290" s="665"/>
      <c r="B290" s="665"/>
      <c r="C290" s="665" t="s">
        <v>1108</v>
      </c>
      <c r="D290" s="665"/>
      <c r="E290" s="665"/>
      <c r="F290" s="665"/>
      <c r="G290" s="665"/>
      <c r="H290" s="666">
        <f>ROUND(SUM(H287:H289),5)</f>
        <v>26639073.23</v>
      </c>
    </row>
    <row r="291" spans="1:19" hidden="1" x14ac:dyDescent="0.25">
      <c r="A291" s="665"/>
      <c r="B291" s="665"/>
      <c r="C291" s="665" t="s">
        <v>178</v>
      </c>
      <c r="D291" s="665"/>
      <c r="E291" s="665"/>
      <c r="F291" s="665"/>
      <c r="G291" s="665"/>
      <c r="H291" s="666">
        <v>116029441.66</v>
      </c>
    </row>
    <row r="292" spans="1:19" hidden="1" x14ac:dyDescent="0.25">
      <c r="A292" s="665"/>
      <c r="B292" s="665"/>
      <c r="C292" s="665" t="s">
        <v>1109</v>
      </c>
      <c r="D292" s="665"/>
      <c r="E292" s="665"/>
      <c r="F292" s="665"/>
      <c r="G292" s="665"/>
      <c r="H292" s="669">
        <v>-489854.89</v>
      </c>
    </row>
    <row r="293" spans="1:19" hidden="1" x14ac:dyDescent="0.25">
      <c r="A293" s="665"/>
      <c r="B293" s="665" t="s">
        <v>68</v>
      </c>
      <c r="C293" s="665"/>
      <c r="D293" s="665"/>
      <c r="E293" s="665"/>
      <c r="F293" s="665"/>
      <c r="G293" s="665"/>
      <c r="H293" s="671">
        <f>ROUND(H286+SUM(H290:H292),5)</f>
        <v>142178660</v>
      </c>
    </row>
    <row r="294" spans="1:19" s="673" customFormat="1" ht="12" hidden="1" thickBot="1" x14ac:dyDescent="0.25">
      <c r="A294" s="665" t="s">
        <v>1110</v>
      </c>
      <c r="B294" s="665"/>
      <c r="C294" s="665"/>
      <c r="D294" s="665"/>
      <c r="E294" s="665"/>
      <c r="F294" s="665"/>
      <c r="G294" s="665"/>
      <c r="H294" s="672">
        <f>ROUND(H206+H285+H293,5)</f>
        <v>538649790.92999995</v>
      </c>
    </row>
    <row r="295" spans="1:19" hidden="1" x14ac:dyDescent="0.25"/>
    <row r="298" spans="1:19" ht="15.75" thickBot="1" x14ac:dyDescent="0.3">
      <c r="I298" s="683">
        <f>SUBTOTAL(9,I109:I297)</f>
        <v>110130176</v>
      </c>
      <c r="J298" s="683">
        <f t="shared" ref="J298:R298" si="6">SUBTOTAL(9,J109:J297)</f>
        <v>38707399.640000001</v>
      </c>
      <c r="K298" s="683">
        <f t="shared" si="6"/>
        <v>15973055</v>
      </c>
      <c r="L298" s="683">
        <f t="shared" si="6"/>
        <v>13575721.279999999</v>
      </c>
      <c r="M298" s="683">
        <f t="shared" si="6"/>
        <v>9359584.0899999999</v>
      </c>
      <c r="N298" s="683">
        <f t="shared" si="6"/>
        <v>14599703.6</v>
      </c>
      <c r="O298" s="683">
        <f t="shared" si="6"/>
        <v>8843507.8200000003</v>
      </c>
      <c r="P298" s="683">
        <f t="shared" si="6"/>
        <v>0</v>
      </c>
      <c r="Q298" s="683">
        <f t="shared" si="6"/>
        <v>4000422.45</v>
      </c>
      <c r="R298" s="683">
        <f>SUBTOTAL(9,R109:R297)</f>
        <v>6156839</v>
      </c>
      <c r="S298" s="682"/>
    </row>
    <row r="299" spans="1:19" ht="15.75" thickTop="1" x14ac:dyDescent="0.25"/>
  </sheetData>
  <autoFilter ref="A1:H295" xr:uid="{905B2035-51F2-42B6-BA45-A5EE73726089}">
    <filterColumn colId="5">
      <filters>
        <filter val="1111010 · Cost - Land at Wagawatta,Horana"/>
        <filter val="1111020 · Cost - Land at Wadduwa - 1"/>
        <filter val="1111021 · Cost - Land at Wadduwa - 2"/>
        <filter val="1111023 · Cost - Land @ Wadduwa (4)"/>
        <filter val="1111024 · Cost Land @ Wadduwa - 5"/>
        <filter val="1111025 · Cost - Land at Wadduwa - 6"/>
        <filter val="1111050 · Cost - Land at Ingiriya - 1"/>
        <filter val="1111051 · Cost - Land @ Ingiriya - 2"/>
        <filter val="1111052 · Cost @ Nawala Land"/>
        <filter val="1111053 · Bolgoda Land 2-(Rosa)"/>
        <filter val="1111100 · Cost - Office Building"/>
        <filter val="1111110 · Cost - Quarters"/>
        <filter val="1111120 · Cost - Packing Area 1 &amp; 2"/>
        <filter val="1111130 · Condition,Breading,Sales &amp; Livi"/>
        <filter val="1111140 · Cost - Fish Tanks"/>
        <filter val="1111150 · Cost - Anemone Fish Tanks"/>
        <filter val="1111200 · Cost - Buildings @ Wadduwa"/>
        <filter val="1111220 · Cost - Fish Tanks @ Wadduwa"/>
        <filter val="1111310 · Cost - Madala Ponds"/>
        <filter val="1111900 · Acc. Dep.- Buildings"/>
        <filter val="1111910 · Horana farm Buildings"/>
        <filter val="1112010 · Cost - Mortor Vehicle - Other"/>
        <filter val="1112020 · Cost -JMC Double Wheel Crew Cab"/>
        <filter val="1112050 · Cost - Double Cab"/>
        <filter val="1112100 · Cost - Lorry LE-6012 Lease Hold"/>
        <filter val="1112120 · Cost - Truck PP 9611 (CTF)"/>
        <filter val="1112140 · Cost - Toyota Pick-Up LK-0500"/>
        <filter val="1112150 · Cost - Susuki Swift WP KF-6766"/>
        <filter val="1112500 · Cost - Motor Bikes"/>
        <filter val="1112900 · Acc. Dep.- Motor Vehicles"/>
        <filter val="1113000 · Computers and Accessories - Other"/>
        <filter val="1113010 · Cost - Computers &amp; Accessories"/>
        <filter val="1113020 · Cost - Safty Camera System"/>
        <filter val="1113030 · Cost - Access Conrol System"/>
        <filter val="1113500 · Cost - Software &amp; Programs"/>
        <filter val="1113900 · Acc. Dep.- Computers &amp; Access."/>
        <filter val="1114000 · Office Equipments - Other"/>
        <filter val="1114010 · Cost - Office Equipment"/>
        <filter val="1114900 · Acc. Dep.- Office Equipments"/>
        <filter val="1115000 · Furniture &amp; Fittings - Other"/>
        <filter val="1115010 · Cost - Furniture &amp; Fittings"/>
        <filter val="1115900 · Acc. Dep.- Furniture &amp; Fittings"/>
        <filter val="1116010 · Cost - Fram Equipments"/>
        <filter val="1116020 · Cost - Generator Lease Hold"/>
        <filter val="1116030 · Cost - Farm Motor and Blowers"/>
        <filter val="1116040 · Cost - Wadduwa Equipments"/>
        <filter val="1116900 · Acc. Dep.- Fram Equipments"/>
        <filter val="1117000 · Wadduwa Equipments - Other"/>
        <filter val="1117020 · Cost - Wadduwa Furniture &amp; Fitt"/>
        <filter val="1117050 · Cost -Wadduwa Solar pv Equipmen"/>
        <filter val="1117900 · Acc. Dep.- Wadduwa Equipments"/>
        <filter val="1117920 · Acc Dep-Wadduwa Solar Equipment"/>
        <filter val="Cost @ Wadduwa Land -06"/>
      </filters>
    </filterColumn>
  </autoFilter>
  <pageMargins left="0.7" right="0.7" top="0.75" bottom="0.75" header="0.1" footer="0.3"/>
  <pageSetup orientation="portrait" r:id="rId1"/>
  <headerFooter>
    <oddHeader>&amp;L&amp;"Arial,Bold"&amp;8 12:58 AM
&amp;"Arial,Bold"&amp;8 04/26/18
&amp;"Arial,Bold"&amp;8 Accrual Basis&amp;C&amp;"Arial,Bold"&amp;12 Tropical Fish International (Pvt) Limited
&amp;"Arial,Bold"&amp;14 Balance Sheet
&amp;"Arial,Bold"&amp;10 As of January 1, 2018</oddHeader>
    <oddFooter>&amp;R&amp;"Arial,Bold"&amp;8 Page &amp;P of &amp;N</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2"/>
  <dimension ref="A1:AB126"/>
  <sheetViews>
    <sheetView view="pageBreakPreview" topLeftCell="A4" zoomScaleSheetLayoutView="100" workbookViewId="0">
      <selection activeCell="D8" sqref="D8"/>
    </sheetView>
  </sheetViews>
  <sheetFormatPr defaultRowHeight="12.75" customHeight="1" x14ac:dyDescent="0.2"/>
  <cols>
    <col min="1" max="1" width="46.85546875" style="462" customWidth="1"/>
    <col min="2" max="2" width="12.140625" style="462" customWidth="1"/>
    <col min="3" max="3" width="11.5703125" style="488" customWidth="1"/>
    <col min="4" max="4" width="23.7109375" style="461" customWidth="1"/>
    <col min="5" max="5" width="0.5703125" style="461" customWidth="1"/>
    <col min="6" max="6" width="0.7109375" style="462" customWidth="1"/>
    <col min="7" max="7" width="12" style="461" bestFit="1" customWidth="1"/>
    <col min="8" max="8" width="11.7109375" style="461" bestFit="1" customWidth="1"/>
    <col min="9" max="9" width="9.85546875" style="461" bestFit="1" customWidth="1"/>
    <col min="10" max="10" width="9.140625" style="461"/>
    <col min="11" max="16384" width="9.140625" style="462"/>
  </cols>
  <sheetData>
    <row r="1" spans="1:9" ht="16.5" customHeight="1" x14ac:dyDescent="0.2">
      <c r="A1" s="459" t="s">
        <v>7</v>
      </c>
      <c r="B1" s="459"/>
      <c r="C1" s="460"/>
      <c r="D1" s="36" t="s">
        <v>1626</v>
      </c>
    </row>
    <row r="2" spans="1:9" ht="12.75" customHeight="1" x14ac:dyDescent="0.2">
      <c r="A2" s="459" t="s">
        <v>608</v>
      </c>
      <c r="B2" s="459"/>
      <c r="C2" s="463"/>
      <c r="D2" s="464" t="s">
        <v>72</v>
      </c>
    </row>
    <row r="3" spans="1:9" ht="12.75" customHeight="1" x14ac:dyDescent="0.2">
      <c r="A3" s="465"/>
      <c r="B3" s="465"/>
      <c r="C3" s="466"/>
      <c r="D3" s="467"/>
      <c r="E3" s="467"/>
    </row>
    <row r="4" spans="1:9" ht="12.75" customHeight="1" x14ac:dyDescent="0.2">
      <c r="A4" s="523" t="s">
        <v>1581</v>
      </c>
      <c r="B4" s="469"/>
      <c r="C4" s="463"/>
      <c r="D4" s="470">
        <v>2018</v>
      </c>
      <c r="E4" s="471"/>
    </row>
    <row r="5" spans="1:9" s="461" customFormat="1" ht="12.75" customHeight="1" x14ac:dyDescent="0.2">
      <c r="A5" s="472"/>
      <c r="B5" s="472"/>
      <c r="C5" s="473" t="s">
        <v>49</v>
      </c>
      <c r="D5" s="474"/>
      <c r="E5" s="474"/>
    </row>
    <row r="6" spans="1:9" ht="12.75" customHeight="1" x14ac:dyDescent="0.2">
      <c r="A6" s="476"/>
      <c r="B6" s="476"/>
      <c r="C6" s="476"/>
      <c r="D6" s="476"/>
      <c r="E6" s="476"/>
    </row>
    <row r="7" spans="1:9" ht="12.75" customHeight="1" x14ac:dyDescent="0.2">
      <c r="C7" s="477"/>
      <c r="D7" s="478"/>
      <c r="E7" s="478"/>
    </row>
    <row r="8" spans="1:9" ht="12.75" customHeight="1" x14ac:dyDescent="0.2">
      <c r="A8" s="462" t="s">
        <v>65</v>
      </c>
      <c r="C8" s="477">
        <v>1</v>
      </c>
      <c r="D8" s="479">
        <f>+'PL JAN-MARCH 2018'!J11</f>
        <v>50135843.420000002</v>
      </c>
      <c r="F8" s="481"/>
      <c r="G8" s="479"/>
    </row>
    <row r="9" spans="1:9" ht="12.75" customHeight="1" x14ac:dyDescent="0.2">
      <c r="C9" s="477"/>
      <c r="D9" s="479"/>
      <c r="F9" s="461"/>
      <c r="G9" s="479"/>
    </row>
    <row r="10" spans="1:9" ht="12.75" customHeight="1" x14ac:dyDescent="0.2">
      <c r="A10" s="462" t="s">
        <v>54</v>
      </c>
      <c r="C10" s="477">
        <v>2</v>
      </c>
      <c r="D10" s="479">
        <f>-'PL JAN-MARCH 2018'!J44</f>
        <v>-28876040.68</v>
      </c>
      <c r="F10" s="481"/>
      <c r="G10" s="479"/>
    </row>
    <row r="11" spans="1:9" ht="12.75" customHeight="1" x14ac:dyDescent="0.2">
      <c r="A11" s="482"/>
      <c r="B11" s="482"/>
      <c r="C11" s="477"/>
      <c r="D11" s="483"/>
      <c r="F11" s="461"/>
      <c r="G11" s="479"/>
    </row>
    <row r="12" spans="1:9" ht="12.75" customHeight="1" x14ac:dyDescent="0.2">
      <c r="A12" s="482" t="s">
        <v>56</v>
      </c>
      <c r="B12" s="482"/>
      <c r="C12" s="477"/>
      <c r="D12" s="484">
        <f>SUM(D8:D10)</f>
        <v>21259802.740000002</v>
      </c>
      <c r="F12" s="486"/>
      <c r="G12" s="484"/>
      <c r="H12" s="481"/>
      <c r="I12" s="481"/>
    </row>
    <row r="13" spans="1:9" ht="12.75" customHeight="1" x14ac:dyDescent="0.2">
      <c r="A13" s="482"/>
      <c r="B13" s="482"/>
      <c r="C13" s="477"/>
      <c r="D13" s="479"/>
      <c r="F13" s="461"/>
      <c r="G13" s="479"/>
    </row>
    <row r="14" spans="1:9" ht="12.75" customHeight="1" x14ac:dyDescent="0.2">
      <c r="A14" s="462" t="s">
        <v>43</v>
      </c>
      <c r="C14" s="477">
        <f>+C10+1</f>
        <v>3</v>
      </c>
      <c r="D14" s="479">
        <f>+'PL JAN-MARCH 2018'!J264+'PL JAN-MARCH 2018'!J265</f>
        <v>7949.6900000000005</v>
      </c>
      <c r="F14" s="481"/>
      <c r="G14" s="479"/>
      <c r="H14" s="479"/>
    </row>
    <row r="15" spans="1:9" ht="12.75" customHeight="1" x14ac:dyDescent="0.2">
      <c r="A15" s="482"/>
      <c r="B15" s="482"/>
      <c r="C15" s="477"/>
      <c r="D15" s="479"/>
      <c r="F15" s="461"/>
      <c r="G15" s="479"/>
    </row>
    <row r="16" spans="1:9" ht="12.75" customHeight="1" x14ac:dyDescent="0.2">
      <c r="A16" s="462" t="s">
        <v>74</v>
      </c>
      <c r="B16" s="487"/>
      <c r="C16" s="477">
        <f>+C14+1</f>
        <v>4</v>
      </c>
      <c r="D16" s="479">
        <f>-('PL JAN-MARCH 2018'!J259-'PL JAN-MARCH 2018'!J247-'PL JAN-MARCH 2018'!J245-'PL JAN-MARCH 2018'!J244-'PL JAN-MARCH 2018'!J243)</f>
        <v>-10606011.52</v>
      </c>
      <c r="F16" s="481"/>
      <c r="G16" s="479"/>
    </row>
    <row r="17" spans="1:28" ht="12.75" customHeight="1" x14ac:dyDescent="0.2">
      <c r="C17" s="477"/>
      <c r="D17" s="479"/>
      <c r="F17" s="461"/>
      <c r="G17" s="479"/>
    </row>
    <row r="18" spans="1:28" ht="12.75" customHeight="1" x14ac:dyDescent="0.2">
      <c r="A18" s="462" t="s">
        <v>59</v>
      </c>
      <c r="B18" s="487"/>
      <c r="C18" s="477">
        <f>+C16+1</f>
        <v>5</v>
      </c>
      <c r="D18" s="479">
        <f>-(+'PL JAN-MARCH 2018'!J243+'PL JAN-MARCH 2018'!J244+'PL JAN-MARCH 2018'!J245+'PL JAN-MARCH 2018'!J247)</f>
        <v>-2975333.31</v>
      </c>
      <c r="F18" s="481"/>
      <c r="G18" s="479"/>
    </row>
    <row r="19" spans="1:28" x14ac:dyDescent="0.2">
      <c r="C19" s="462"/>
      <c r="D19" s="483"/>
      <c r="F19" s="461"/>
      <c r="G19" s="479"/>
    </row>
    <row r="20" spans="1:28" ht="12.75" customHeight="1" x14ac:dyDescent="0.2">
      <c r="A20" s="482" t="s">
        <v>779</v>
      </c>
      <c r="B20" s="482"/>
      <c r="D20" s="484">
        <f>SUM(D12:D18)</f>
        <v>7686407.6000000034</v>
      </c>
      <c r="F20" s="486"/>
      <c r="G20" s="484"/>
    </row>
    <row r="21" spans="1:28" x14ac:dyDescent="0.2">
      <c r="A21" s="482"/>
      <c r="B21" s="482"/>
      <c r="D21" s="479"/>
      <c r="F21" s="461"/>
      <c r="G21" s="479"/>
    </row>
    <row r="22" spans="1:28" ht="12.75" customHeight="1" x14ac:dyDescent="0.2">
      <c r="A22" s="462" t="s">
        <v>89</v>
      </c>
      <c r="D22" s="475">
        <v>0</v>
      </c>
      <c r="F22" s="463"/>
      <c r="G22" s="480"/>
    </row>
    <row r="23" spans="1:28" ht="12.75" customHeight="1" x14ac:dyDescent="0.2">
      <c r="A23" s="482"/>
      <c r="B23" s="482"/>
      <c r="D23" s="479"/>
      <c r="F23" s="461"/>
      <c r="G23" s="479"/>
    </row>
    <row r="24" spans="1:28" ht="12.75" customHeight="1" x14ac:dyDescent="0.2">
      <c r="A24" s="482" t="s">
        <v>782</v>
      </c>
      <c r="B24" s="482"/>
      <c r="D24" s="484">
        <f>SUM(D20:D22)</f>
        <v>7686407.6000000034</v>
      </c>
      <c r="F24" s="486"/>
      <c r="G24" s="484"/>
      <c r="H24" s="479"/>
      <c r="J24" s="479"/>
    </row>
    <row r="25" spans="1:28" ht="12.75" customHeight="1" x14ac:dyDescent="0.2">
      <c r="A25" s="482"/>
      <c r="B25" s="482"/>
      <c r="D25" s="484"/>
      <c r="F25" s="486"/>
      <c r="G25" s="484"/>
    </row>
    <row r="26" spans="1:28" ht="12.75" customHeight="1" x14ac:dyDescent="0.2">
      <c r="A26" s="461" t="s">
        <v>494</v>
      </c>
      <c r="B26" s="461"/>
      <c r="C26" s="463"/>
      <c r="D26" s="480">
        <v>0</v>
      </c>
      <c r="F26" s="463"/>
      <c r="G26" s="480"/>
    </row>
    <row r="27" spans="1:28" x14ac:dyDescent="0.2">
      <c r="A27" s="461"/>
      <c r="B27" s="461"/>
      <c r="C27" s="463"/>
      <c r="D27" s="468"/>
      <c r="F27" s="463"/>
      <c r="G27" s="480"/>
    </row>
    <row r="28" spans="1:28" ht="12.75" customHeight="1" thickBot="1" x14ac:dyDescent="0.25">
      <c r="A28" s="482" t="s">
        <v>316</v>
      </c>
      <c r="B28" s="489"/>
      <c r="C28" s="490"/>
      <c r="D28" s="491">
        <f>SUM(D24:D26)</f>
        <v>7686407.6000000034</v>
      </c>
      <c r="F28" s="492"/>
      <c r="G28" s="485"/>
      <c r="H28" s="481"/>
    </row>
    <row r="29" spans="1:28" ht="12.75" customHeight="1" thickTop="1" x14ac:dyDescent="0.2">
      <c r="A29" s="482"/>
      <c r="B29" s="489"/>
      <c r="D29" s="479"/>
      <c r="H29" s="463"/>
    </row>
    <row r="30" spans="1:28" s="500" customFormat="1" ht="12.75" customHeight="1" x14ac:dyDescent="0.2">
      <c r="A30" s="493"/>
      <c r="B30" s="493"/>
      <c r="C30" s="494"/>
      <c r="D30" s="495"/>
      <c r="E30" s="496"/>
      <c r="F30" s="497"/>
      <c r="G30" s="497"/>
      <c r="H30" s="498"/>
      <c r="I30" s="498"/>
      <c r="J30" s="498"/>
      <c r="K30" s="498"/>
      <c r="L30" s="498"/>
      <c r="M30" s="498"/>
      <c r="N30" s="498"/>
      <c r="O30" s="498"/>
      <c r="P30" s="498"/>
      <c r="Q30" s="498"/>
      <c r="R30" s="498"/>
      <c r="S30" s="498"/>
      <c r="T30" s="498"/>
      <c r="U30" s="498"/>
      <c r="V30" s="498"/>
      <c r="W30" s="499"/>
      <c r="Y30" s="499"/>
      <c r="AB30" s="485"/>
    </row>
    <row r="31" spans="1:28" ht="12.75" customHeight="1" x14ac:dyDescent="0.2">
      <c r="A31" s="501"/>
      <c r="B31" s="501"/>
    </row>
    <row r="32" spans="1:28" ht="12.75" customHeight="1" x14ac:dyDescent="0.2">
      <c r="A32" s="501" t="s">
        <v>80</v>
      </c>
      <c r="B32" s="501"/>
    </row>
    <row r="33" spans="1:2" ht="12.75" customHeight="1" x14ac:dyDescent="0.2">
      <c r="A33" s="501" t="s">
        <v>789</v>
      </c>
      <c r="B33" s="501"/>
    </row>
    <row r="79" spans="3:3" ht="12.75" customHeight="1" x14ac:dyDescent="0.2">
      <c r="C79" s="488" t="s">
        <v>631</v>
      </c>
    </row>
    <row r="105" spans="3:3" ht="12.75" customHeight="1" x14ac:dyDescent="0.2">
      <c r="C105" s="488" t="s">
        <v>249</v>
      </c>
    </row>
    <row r="126" ht="12.75" hidden="1" customHeight="1" x14ac:dyDescent="0.2"/>
  </sheetData>
  <phoneticPr fontId="0" type="noConversion"/>
  <printOptions horizontalCentered="1"/>
  <pageMargins left="0.75" right="0.25" top="0.75" bottom="0.25" header="0.5" footer="0.5"/>
  <pageSetup paperSize="9" scale="94" orientation="portrait" blackAndWhite="1"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J136"/>
  <sheetViews>
    <sheetView view="pageBreakPreview" topLeftCell="A4" zoomScaleSheetLayoutView="100" workbookViewId="0">
      <selection activeCell="C11" sqref="C11"/>
    </sheetView>
  </sheetViews>
  <sheetFormatPr defaultRowHeight="12.75" customHeight="1" x14ac:dyDescent="0.2"/>
  <cols>
    <col min="1" max="1" width="59.28515625" style="3" customWidth="1"/>
    <col min="2" max="2" width="10.85546875" style="3" customWidth="1"/>
    <col min="3" max="3" width="25.5703125" style="3" customWidth="1"/>
    <col min="4" max="4" width="2.28515625" style="3" customWidth="1"/>
    <col min="5" max="5" width="1" style="3" customWidth="1"/>
    <col min="6" max="6" width="16" style="3" customWidth="1"/>
    <col min="7" max="7" width="17.7109375" style="3" customWidth="1"/>
    <col min="8" max="8" width="13.140625" style="3" bestFit="1" customWidth="1"/>
    <col min="9" max="9" width="11.140625" style="3" bestFit="1" customWidth="1"/>
    <col min="10" max="16384" width="9.140625" style="3"/>
  </cols>
  <sheetData>
    <row r="1" spans="1:8" ht="12.75" customHeight="1" x14ac:dyDescent="0.2">
      <c r="C1" s="3" t="s">
        <v>1627</v>
      </c>
    </row>
    <row r="2" spans="1:8" ht="12.75" customHeight="1" x14ac:dyDescent="0.2">
      <c r="A2" s="4" t="str">
        <f>CI!A1</f>
        <v>TROPICAL FISH INTERNATIONAL (PRIVATE) LIMITED</v>
      </c>
    </row>
    <row r="3" spans="1:8" ht="12.75" customHeight="1" x14ac:dyDescent="0.2">
      <c r="A3" s="109" t="s">
        <v>647</v>
      </c>
      <c r="B3" s="109" t="s">
        <v>72</v>
      </c>
      <c r="C3" s="109"/>
      <c r="D3" s="109"/>
    </row>
    <row r="4" spans="1:8" ht="12.75" customHeight="1" x14ac:dyDescent="0.2">
      <c r="A4" s="262"/>
      <c r="B4" s="262"/>
      <c r="C4" s="262"/>
      <c r="D4" s="262"/>
    </row>
    <row r="5" spans="1:8" s="1" customFormat="1" ht="12.75" customHeight="1" x14ac:dyDescent="0.2">
      <c r="A5" s="262" t="s">
        <v>1580</v>
      </c>
      <c r="B5" s="262"/>
      <c r="C5" s="261">
        <v>2018</v>
      </c>
      <c r="D5" s="105"/>
    </row>
    <row r="6" spans="1:8" ht="12.75" customHeight="1" x14ac:dyDescent="0.2">
      <c r="A6" s="28"/>
      <c r="B6" s="264" t="s">
        <v>49</v>
      </c>
      <c r="C6" s="263"/>
      <c r="D6" s="263"/>
    </row>
    <row r="7" spans="1:8" ht="12.75" customHeight="1" x14ac:dyDescent="0.25">
      <c r="A7" s="5"/>
      <c r="B7" s="105"/>
      <c r="C7" s="1"/>
      <c r="D7" s="1"/>
    </row>
    <row r="8" spans="1:8" ht="12.75" customHeight="1" x14ac:dyDescent="0.2">
      <c r="A8" s="4" t="s">
        <v>60</v>
      </c>
      <c r="B8" s="45"/>
      <c r="C8" s="45"/>
      <c r="D8" s="126"/>
    </row>
    <row r="9" spans="1:8" ht="8.25" customHeight="1" x14ac:dyDescent="0.2">
      <c r="A9" s="4"/>
      <c r="B9" s="45"/>
      <c r="C9" s="45"/>
      <c r="D9" s="126"/>
    </row>
    <row r="10" spans="1:8" ht="12.75" customHeight="1" x14ac:dyDescent="0.2">
      <c r="A10" s="4" t="s">
        <v>67</v>
      </c>
      <c r="B10" s="26"/>
      <c r="C10" s="111"/>
      <c r="D10" s="105"/>
    </row>
    <row r="11" spans="1:8" s="4" customFormat="1" ht="12.75" customHeight="1" x14ac:dyDescent="0.2">
      <c r="A11" s="3" t="s">
        <v>64</v>
      </c>
      <c r="B11" s="26"/>
      <c r="C11" s="7">
        <f>+'BS MARCH 31'!K302</f>
        <v>186075314.17000002</v>
      </c>
      <c r="E11" s="21"/>
      <c r="F11" s="10"/>
      <c r="G11" s="96"/>
      <c r="H11" s="12"/>
    </row>
    <row r="12" spans="1:8" s="4" customFormat="1" ht="12.75" customHeight="1" x14ac:dyDescent="0.2">
      <c r="A12" s="3" t="s">
        <v>265</v>
      </c>
      <c r="B12" s="26"/>
      <c r="C12" s="7"/>
      <c r="E12" s="21"/>
      <c r="F12" s="10"/>
      <c r="G12" s="96"/>
    </row>
    <row r="13" spans="1:8" ht="12.75" customHeight="1" x14ac:dyDescent="0.2">
      <c r="A13" s="3" t="s">
        <v>263</v>
      </c>
      <c r="B13" s="26"/>
      <c r="C13" s="7"/>
      <c r="E13" s="21"/>
      <c r="F13" s="10"/>
      <c r="G13" s="96"/>
    </row>
    <row r="14" spans="1:8" ht="12.75" customHeight="1" x14ac:dyDescent="0.2">
      <c r="A14" s="3" t="s">
        <v>855</v>
      </c>
      <c r="B14" s="338"/>
      <c r="C14" s="7">
        <f>+'BS MARCH 31'!H203</f>
        <v>750</v>
      </c>
      <c r="E14" s="21"/>
      <c r="G14" s="96"/>
    </row>
    <row r="15" spans="1:8" s="4" customFormat="1" ht="12.75" customHeight="1" x14ac:dyDescent="0.2">
      <c r="A15" s="4" t="s">
        <v>516</v>
      </c>
      <c r="B15" s="26"/>
      <c r="C15" s="112">
        <f>SUM(C11:C14)</f>
        <v>186076064.17000002</v>
      </c>
      <c r="E15" s="22"/>
      <c r="F15" s="10"/>
      <c r="G15" s="96"/>
    </row>
    <row r="16" spans="1:8" s="4" customFormat="1" ht="8.25" customHeight="1" x14ac:dyDescent="0.2">
      <c r="A16" s="3"/>
      <c r="B16" s="26"/>
      <c r="C16" s="34"/>
      <c r="E16" s="22"/>
      <c r="F16" s="10"/>
      <c r="G16" s="96"/>
    </row>
    <row r="17" spans="1:10" ht="12.75" customHeight="1" x14ac:dyDescent="0.2">
      <c r="A17" s="4" t="s">
        <v>50</v>
      </c>
      <c r="B17" s="26"/>
      <c r="C17" s="7"/>
      <c r="E17" s="1"/>
      <c r="G17" s="96"/>
    </row>
    <row r="18" spans="1:10" ht="12.75" customHeight="1" x14ac:dyDescent="0.2">
      <c r="A18" s="3" t="s">
        <v>29</v>
      </c>
      <c r="B18" s="26">
        <f>+'6-10'!A7</f>
        <v>6</v>
      </c>
      <c r="C18" s="7">
        <f>+'BS MARCH 31'!O302</f>
        <v>8121256.1600000001</v>
      </c>
      <c r="E18" s="21"/>
      <c r="F18" s="10"/>
      <c r="G18" s="96"/>
      <c r="H18" s="7"/>
      <c r="I18" s="7"/>
      <c r="J18" s="7"/>
    </row>
    <row r="19" spans="1:10" ht="12.75" customHeight="1" x14ac:dyDescent="0.2">
      <c r="A19" s="3" t="s">
        <v>17</v>
      </c>
      <c r="B19" s="26">
        <f>B18+1</f>
        <v>7</v>
      </c>
      <c r="C19" s="7">
        <f>+'BS MARCH 31'!P302</f>
        <v>56440553.110000007</v>
      </c>
      <c r="E19" s="21"/>
      <c r="F19" s="10"/>
      <c r="G19" s="96"/>
    </row>
    <row r="20" spans="1:10" ht="12.75" customHeight="1" x14ac:dyDescent="0.2">
      <c r="A20" s="3" t="s">
        <v>0</v>
      </c>
      <c r="B20" s="26">
        <f>B19+1</f>
        <v>8</v>
      </c>
      <c r="C20" s="7">
        <f>+'BS MARCH 31'!Q302</f>
        <v>282926794.45000005</v>
      </c>
      <c r="E20" s="21"/>
      <c r="F20" s="10"/>
      <c r="G20" s="96"/>
    </row>
    <row r="21" spans="1:10" ht="12.75" customHeight="1" x14ac:dyDescent="0.2">
      <c r="A21" s="3" t="s">
        <v>71</v>
      </c>
      <c r="B21" s="26">
        <f>B20+1</f>
        <v>9</v>
      </c>
      <c r="C21" s="7">
        <f>+'BS MARCH 31'!I302</f>
        <v>13107843.01</v>
      </c>
      <c r="E21" s="21"/>
      <c r="F21" s="10"/>
      <c r="G21" s="96"/>
      <c r="I21" s="7"/>
    </row>
    <row r="22" spans="1:10" x14ac:dyDescent="0.2">
      <c r="A22" s="4" t="s">
        <v>1</v>
      </c>
      <c r="B22" s="26"/>
      <c r="C22" s="112">
        <f>SUM(C18:C21)</f>
        <v>360596446.73000002</v>
      </c>
      <c r="E22" s="22"/>
      <c r="F22" s="10"/>
      <c r="G22" s="96"/>
    </row>
    <row r="23" spans="1:10" ht="13.5" thickBot="1" x14ac:dyDescent="0.25">
      <c r="A23" s="4" t="s">
        <v>51</v>
      </c>
      <c r="C23" s="64">
        <f>C22+C15</f>
        <v>546672510.9000001</v>
      </c>
      <c r="E23" s="22"/>
      <c r="F23" s="10"/>
      <c r="G23" s="96"/>
      <c r="H23" s="29"/>
    </row>
    <row r="24" spans="1:10" ht="8.25" customHeight="1" thickTop="1" x14ac:dyDescent="0.2">
      <c r="A24" s="4"/>
      <c r="C24" s="7"/>
      <c r="E24" s="1"/>
      <c r="F24" s="10"/>
      <c r="G24" s="96"/>
    </row>
    <row r="25" spans="1:10" ht="12.75" customHeight="1" x14ac:dyDescent="0.2">
      <c r="A25" s="4" t="s">
        <v>63</v>
      </c>
      <c r="C25" s="7"/>
      <c r="E25" s="1"/>
      <c r="F25" s="10"/>
      <c r="G25" s="96"/>
      <c r="I25" s="7"/>
    </row>
    <row r="26" spans="1:10" ht="8.25" customHeight="1" x14ac:dyDescent="0.2">
      <c r="A26" s="4"/>
      <c r="C26" s="7"/>
      <c r="E26" s="1"/>
      <c r="F26" s="10"/>
      <c r="G26" s="96"/>
    </row>
    <row r="27" spans="1:10" ht="12.75" customHeight="1" x14ac:dyDescent="0.2">
      <c r="A27" s="4" t="s">
        <v>2</v>
      </c>
      <c r="C27" s="7"/>
      <c r="E27" s="1"/>
      <c r="G27" s="96"/>
    </row>
    <row r="28" spans="1:10" ht="12.75" customHeight="1" x14ac:dyDescent="0.2">
      <c r="A28" s="3" t="s">
        <v>73</v>
      </c>
      <c r="B28" s="26">
        <f>+B21+1</f>
        <v>10</v>
      </c>
      <c r="C28" s="7">
        <f>+'BS MARCH 31'!H296</f>
        <v>2000020</v>
      </c>
      <c r="E28" s="21"/>
      <c r="F28" s="10"/>
      <c r="G28" s="96"/>
    </row>
    <row r="29" spans="1:10" ht="12.75" customHeight="1" x14ac:dyDescent="0.2">
      <c r="A29" s="3" t="s">
        <v>30</v>
      </c>
      <c r="B29" s="26"/>
      <c r="C29" s="29">
        <f>+'BS MARCH 31'!H297</f>
        <v>24639053.23</v>
      </c>
      <c r="E29" s="15"/>
      <c r="F29" s="10"/>
      <c r="G29" s="96"/>
    </row>
    <row r="30" spans="1:10" ht="12.75" customHeight="1" x14ac:dyDescent="0.2">
      <c r="A30" s="3" t="s">
        <v>44</v>
      </c>
      <c r="B30" s="26"/>
      <c r="C30" s="7">
        <f>+'BS MARCH 31'!H299+'BS MARCH 31'!H300</f>
        <v>123710296.67999999</v>
      </c>
      <c r="E30" s="21"/>
      <c r="F30" s="10"/>
      <c r="G30" s="96"/>
    </row>
    <row r="31" spans="1:10" ht="12.75" customHeight="1" x14ac:dyDescent="0.2">
      <c r="A31" s="4" t="s">
        <v>68</v>
      </c>
      <c r="C31" s="112">
        <f>SUM(C28:C30)</f>
        <v>150349369.91</v>
      </c>
      <c r="E31" s="22"/>
      <c r="F31" s="10"/>
      <c r="G31" s="96"/>
    </row>
    <row r="32" spans="1:10" ht="8.25" customHeight="1" x14ac:dyDescent="0.2">
      <c r="A32" s="4"/>
      <c r="C32" s="7"/>
      <c r="E32" s="1"/>
      <c r="F32" s="10"/>
      <c r="G32" s="96"/>
    </row>
    <row r="33" spans="1:9" ht="12.75" customHeight="1" x14ac:dyDescent="0.2">
      <c r="A33" s="4" t="s">
        <v>27</v>
      </c>
      <c r="C33" s="7"/>
      <c r="E33" s="1"/>
      <c r="F33" s="10"/>
      <c r="G33" s="96"/>
    </row>
    <row r="34" spans="1:9" ht="12.75" customHeight="1" x14ac:dyDescent="0.2">
      <c r="A34" s="3" t="s">
        <v>311</v>
      </c>
      <c r="B34" s="26">
        <f>+B28+1</f>
        <v>11</v>
      </c>
      <c r="C34" s="29">
        <f>+'BS MARCH 31'!H233</f>
        <v>3344994</v>
      </c>
      <c r="E34" s="15"/>
      <c r="F34" s="10"/>
      <c r="G34" s="96"/>
    </row>
    <row r="35" spans="1:9" ht="12.75" customHeight="1" x14ac:dyDescent="0.2">
      <c r="A35" s="100" t="s">
        <v>301</v>
      </c>
      <c r="B35" s="26"/>
      <c r="C35" s="7"/>
      <c r="E35" s="21"/>
      <c r="F35" s="10"/>
      <c r="G35" s="96"/>
    </row>
    <row r="36" spans="1:9" ht="12.75" customHeight="1" x14ac:dyDescent="0.2">
      <c r="A36" s="3" t="s">
        <v>86</v>
      </c>
      <c r="B36" s="26">
        <f>+'11-15'!A32</f>
        <v>13</v>
      </c>
      <c r="C36" s="7">
        <f>+'BS MARCH 31'!W302</f>
        <v>99377649.870000005</v>
      </c>
      <c r="E36" s="21"/>
      <c r="F36" s="10"/>
      <c r="G36" s="96"/>
      <c r="H36" s="8"/>
    </row>
    <row r="37" spans="1:9" ht="12.75" customHeight="1" x14ac:dyDescent="0.2">
      <c r="A37" s="4" t="s">
        <v>28</v>
      </c>
      <c r="C37" s="112">
        <f>SUM(C34:C36)</f>
        <v>102722643.87</v>
      </c>
      <c r="E37" s="22"/>
      <c r="F37" s="10"/>
      <c r="G37" s="96"/>
      <c r="H37" s="7"/>
    </row>
    <row r="38" spans="1:9" x14ac:dyDescent="0.2">
      <c r="C38" s="7"/>
      <c r="E38" s="1"/>
      <c r="F38" s="10"/>
      <c r="G38" s="96"/>
    </row>
    <row r="39" spans="1:9" ht="12.75" customHeight="1" x14ac:dyDescent="0.2">
      <c r="A39" s="4" t="s">
        <v>52</v>
      </c>
      <c r="C39" s="7"/>
      <c r="E39" s="1"/>
      <c r="F39" s="10"/>
      <c r="G39" s="96"/>
    </row>
    <row r="40" spans="1:9" ht="12.75" customHeight="1" x14ac:dyDescent="0.2">
      <c r="A40" s="100" t="s">
        <v>300</v>
      </c>
      <c r="B40" s="26"/>
      <c r="C40" s="7"/>
      <c r="E40" s="21"/>
      <c r="F40" s="10"/>
      <c r="G40" s="96"/>
    </row>
    <row r="41" spans="1:9" ht="12.75" customHeight="1" x14ac:dyDescent="0.2">
      <c r="A41" s="100" t="s">
        <v>87</v>
      </c>
      <c r="B41" s="26"/>
      <c r="C41" s="7"/>
      <c r="E41" s="21"/>
      <c r="F41" s="10"/>
      <c r="G41" s="96"/>
    </row>
    <row r="42" spans="1:9" ht="12.75" customHeight="1" x14ac:dyDescent="0.2">
      <c r="A42" s="100" t="s">
        <v>9</v>
      </c>
      <c r="B42" s="26">
        <f>+'11-15'!A24</f>
        <v>12</v>
      </c>
      <c r="C42" s="7">
        <f>+'BS MARCH 31'!X302</f>
        <v>-31787746.390000004</v>
      </c>
      <c r="E42" s="21"/>
      <c r="F42" s="10"/>
      <c r="G42" s="96"/>
      <c r="H42" s="8"/>
    </row>
    <row r="43" spans="1:9" ht="12.75" customHeight="1" x14ac:dyDescent="0.2">
      <c r="A43" s="1" t="s">
        <v>62</v>
      </c>
      <c r="B43" s="26">
        <f>+'11-15'!A58</f>
        <v>14</v>
      </c>
      <c r="C43" s="7">
        <f>+'BS MARCH 31'!Y302</f>
        <v>85887976.420000002</v>
      </c>
      <c r="E43" s="21"/>
      <c r="F43" s="10"/>
      <c r="G43" s="96"/>
      <c r="H43" s="8"/>
    </row>
    <row r="44" spans="1:9" ht="12.75" customHeight="1" x14ac:dyDescent="0.2">
      <c r="A44" s="3" t="s">
        <v>79</v>
      </c>
      <c r="B44" s="26">
        <f>+'11-15'!A85</f>
        <v>15</v>
      </c>
      <c r="C44" s="7">
        <f>+'BS MARCH 31'!Z302</f>
        <v>230000973.38</v>
      </c>
      <c r="E44" s="21"/>
      <c r="F44" s="10"/>
      <c r="G44" s="96"/>
    </row>
    <row r="45" spans="1:9" ht="12.75" customHeight="1" x14ac:dyDescent="0.2">
      <c r="A45" s="3" t="s">
        <v>304</v>
      </c>
      <c r="B45" s="26"/>
      <c r="C45" s="7">
        <f>-'BS MARCH 31'!J302</f>
        <v>9499293.7100000009</v>
      </c>
      <c r="E45" s="21"/>
      <c r="F45" s="10"/>
      <c r="G45" s="96"/>
    </row>
    <row r="46" spans="1:9" x14ac:dyDescent="0.2">
      <c r="A46" s="4" t="s">
        <v>3</v>
      </c>
      <c r="C46" s="112">
        <f>SUM(C40:C45)</f>
        <v>293600497.11999995</v>
      </c>
      <c r="E46" s="22"/>
      <c r="F46" s="10"/>
      <c r="G46" s="96"/>
    </row>
    <row r="47" spans="1:9" ht="13.5" thickBot="1" x14ac:dyDescent="0.25">
      <c r="A47" s="4" t="s">
        <v>61</v>
      </c>
      <c r="C47" s="64">
        <f>C46+C37+C31</f>
        <v>546672510.89999998</v>
      </c>
      <c r="E47" s="22"/>
      <c r="F47" s="10"/>
      <c r="G47" s="96"/>
      <c r="H47" s="8"/>
      <c r="I47" s="8"/>
    </row>
    <row r="48" spans="1:9" ht="8.25" customHeight="1" thickTop="1" x14ac:dyDescent="0.2">
      <c r="B48" s="1"/>
      <c r="C48" s="1"/>
      <c r="D48" s="1"/>
      <c r="G48" s="96"/>
    </row>
    <row r="49" spans="1:4" ht="12.75" hidden="1" customHeight="1" x14ac:dyDescent="0.2"/>
    <row r="50" spans="1:4" ht="12.75" hidden="1" customHeight="1" x14ac:dyDescent="0.2">
      <c r="C50" s="88" t="e">
        <f>#REF!-#REF!</f>
        <v>#REF!</v>
      </c>
      <c r="D50" s="88"/>
    </row>
    <row r="51" spans="1:4" ht="12.75" hidden="1" customHeight="1" x14ac:dyDescent="0.2"/>
    <row r="52" spans="1:4" ht="12.75" customHeight="1" x14ac:dyDescent="0.2">
      <c r="A52" s="4"/>
    </row>
    <row r="53" spans="1:4" ht="12.75" customHeight="1" x14ac:dyDescent="0.2">
      <c r="A53" s="4"/>
      <c r="C53" s="8"/>
      <c r="D53" s="8"/>
    </row>
    <row r="69" spans="2:4" ht="12.75" customHeight="1" x14ac:dyDescent="0.2">
      <c r="B69" s="47"/>
      <c r="C69" s="47"/>
      <c r="D69" s="47"/>
    </row>
    <row r="70" spans="2:4" ht="12.75" customHeight="1" x14ac:dyDescent="0.2">
      <c r="B70" s="47"/>
      <c r="C70" s="47"/>
      <c r="D70" s="47"/>
    </row>
    <row r="71" spans="2:4" ht="12.75" customHeight="1" x14ac:dyDescent="0.2">
      <c r="B71" s="47"/>
      <c r="C71" s="47"/>
      <c r="D71" s="47"/>
    </row>
    <row r="72" spans="2:4" ht="12.75" customHeight="1" x14ac:dyDescent="0.2">
      <c r="B72" s="47"/>
      <c r="C72" s="47"/>
      <c r="D72" s="47"/>
    </row>
    <row r="73" spans="2:4" ht="12.75" customHeight="1" x14ac:dyDescent="0.2">
      <c r="B73" s="47"/>
      <c r="C73" s="47"/>
      <c r="D73" s="47"/>
    </row>
    <row r="74" spans="2:4" ht="12.75" customHeight="1" x14ac:dyDescent="0.2">
      <c r="B74" s="47"/>
      <c r="C74" s="47"/>
      <c r="D74" s="47"/>
    </row>
    <row r="89" spans="2:2" ht="12.75" customHeight="1" x14ac:dyDescent="0.2">
      <c r="B89" s="3" t="s">
        <v>631</v>
      </c>
    </row>
    <row r="115" spans="2:2" ht="12.75" customHeight="1" x14ac:dyDescent="0.2">
      <c r="B115" s="3" t="s">
        <v>249</v>
      </c>
    </row>
    <row r="136" ht="12.75" hidden="1" customHeight="1" x14ac:dyDescent="0.2"/>
  </sheetData>
  <phoneticPr fontId="0" type="noConversion"/>
  <printOptions horizontalCentered="1"/>
  <pageMargins left="0.75" right="0.25" top="0.75" bottom="0.25" header="0.5" footer="0.5"/>
  <pageSetup paperSize="9" scale="91" orientation="portrait" blackAndWhite="1"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L181"/>
  <sheetViews>
    <sheetView view="pageBreakPreview" zoomScale="96" zoomScaleSheetLayoutView="96" workbookViewId="0">
      <selection activeCell="J16" sqref="J16"/>
    </sheetView>
  </sheetViews>
  <sheetFormatPr defaultRowHeight="12.75" customHeight="1" x14ac:dyDescent="0.2"/>
  <cols>
    <col min="1" max="1" width="4.5703125" style="18" customWidth="1"/>
    <col min="2" max="2" width="41.28515625" style="3" bestFit="1" customWidth="1"/>
    <col min="3" max="3" width="14.7109375" style="10" customWidth="1"/>
    <col min="4" max="4" width="6.7109375" style="10" customWidth="1"/>
    <col min="5" max="5" width="32.5703125" style="29" customWidth="1"/>
    <col min="6" max="6" width="0.85546875" style="10" customWidth="1"/>
    <col min="7" max="7" width="1.28515625" style="3" customWidth="1"/>
    <col min="8" max="8" width="12" style="1" bestFit="1" customWidth="1"/>
    <col min="9" max="9" width="11.42578125" style="1" bestFit="1" customWidth="1"/>
    <col min="10" max="10" width="12" style="1" bestFit="1" customWidth="1"/>
    <col min="11" max="11" width="13.42578125" style="1" bestFit="1" customWidth="1"/>
    <col min="12" max="12" width="12" style="3" bestFit="1" customWidth="1"/>
    <col min="13" max="16384" width="9.140625" style="3"/>
  </cols>
  <sheetData>
    <row r="1" spans="1:12" ht="12.75" customHeight="1" x14ac:dyDescent="0.2">
      <c r="E1" s="57" t="s">
        <v>1631</v>
      </c>
      <c r="F1" s="17"/>
    </row>
    <row r="2" spans="1:12" ht="12.75" customHeight="1" x14ac:dyDescent="0.2">
      <c r="A2" s="30" t="str">
        <f>CF!A2</f>
        <v>TROPICAL FISH INTERNATIONAL (PRIVATE) LIMITED</v>
      </c>
      <c r="D2" s="29"/>
      <c r="E2" s="343" t="s">
        <v>72</v>
      </c>
      <c r="F2" s="29"/>
    </row>
    <row r="3" spans="1:12" ht="12.75" customHeight="1" x14ac:dyDescent="0.2">
      <c r="A3" s="265"/>
      <c r="B3" s="60"/>
      <c r="C3" s="59"/>
      <c r="D3" s="59"/>
      <c r="E3" s="110"/>
      <c r="F3" s="110"/>
    </row>
    <row r="4" spans="1:12" s="1" customFormat="1" ht="12.75" customHeight="1" x14ac:dyDescent="0.2">
      <c r="A4" s="52" t="s">
        <v>650</v>
      </c>
      <c r="C4" s="15"/>
      <c r="D4" s="15"/>
      <c r="E4" s="532">
        <v>2018</v>
      </c>
      <c r="F4" s="105"/>
    </row>
    <row r="5" spans="1:12" ht="12.75" customHeight="1" x14ac:dyDescent="0.2">
      <c r="A5" s="63"/>
      <c r="B5" s="28"/>
      <c r="C5" s="13"/>
      <c r="D5" s="268"/>
      <c r="E5" s="345"/>
      <c r="F5" s="268"/>
    </row>
    <row r="6" spans="1:12" ht="12.75" customHeight="1" x14ac:dyDescent="0.2">
      <c r="A6" s="30"/>
      <c r="F6" s="3"/>
    </row>
    <row r="7" spans="1:12" ht="12.75" customHeight="1" x14ac:dyDescent="0.2">
      <c r="A7" s="19">
        <f>CI!C8</f>
        <v>1</v>
      </c>
      <c r="B7" s="4" t="s">
        <v>65</v>
      </c>
      <c r="E7" s="347"/>
      <c r="F7" s="55"/>
    </row>
    <row r="8" spans="1:12" ht="12.75" customHeight="1" x14ac:dyDescent="0.2">
      <c r="B8" s="3" t="s">
        <v>75</v>
      </c>
      <c r="E8" s="419">
        <f>+'PL JAN-MARCH 2018'!J5</f>
        <v>29506313.32</v>
      </c>
      <c r="F8" s="3"/>
      <c r="G8" s="10"/>
      <c r="H8" s="24"/>
    </row>
    <row r="9" spans="1:12" ht="12.75" customHeight="1" x14ac:dyDescent="0.2">
      <c r="B9" s="3" t="s">
        <v>258</v>
      </c>
      <c r="E9" s="419">
        <f>+'PL JAN-MARCH 2018'!J6</f>
        <v>3942391.18</v>
      </c>
      <c r="F9" s="3"/>
      <c r="G9" s="10"/>
      <c r="H9" s="24"/>
    </row>
    <row r="10" spans="1:12" ht="12.75" customHeight="1" x14ac:dyDescent="0.2">
      <c r="B10" s="58" t="s">
        <v>612</v>
      </c>
      <c r="E10" s="29">
        <v>0</v>
      </c>
      <c r="F10" s="3"/>
      <c r="G10" s="10"/>
      <c r="H10" s="24"/>
    </row>
    <row r="11" spans="1:12" ht="12.75" customHeight="1" x14ac:dyDescent="0.2">
      <c r="B11" s="3" t="s">
        <v>319</v>
      </c>
      <c r="E11" s="419"/>
      <c r="F11" s="3"/>
      <c r="G11" s="10"/>
      <c r="H11" s="24"/>
    </row>
    <row r="12" spans="1:12" ht="12.75" hidden="1" customHeight="1" x14ac:dyDescent="0.2">
      <c r="B12" s="3" t="s">
        <v>37</v>
      </c>
      <c r="F12" s="3"/>
      <c r="G12" s="10"/>
      <c r="H12" s="24"/>
    </row>
    <row r="13" spans="1:12" ht="12.75" customHeight="1" x14ac:dyDescent="0.2">
      <c r="B13" s="3" t="s">
        <v>613</v>
      </c>
      <c r="E13" s="419">
        <f>+'PL JAN-MARCH 2018'!J9</f>
        <v>1074592.8400000001</v>
      </c>
      <c r="F13" s="3"/>
      <c r="G13" s="15"/>
      <c r="H13" s="24"/>
      <c r="L13" s="10"/>
    </row>
    <row r="14" spans="1:12" ht="12.75" customHeight="1" x14ac:dyDescent="0.2">
      <c r="B14" s="3" t="s">
        <v>614</v>
      </c>
      <c r="E14" s="29">
        <f>+'PL JAN-MARCH 2018'!J8+'PL JAN-MARCH 2018'!J7</f>
        <v>15612546.08</v>
      </c>
      <c r="F14" s="3"/>
      <c r="G14" s="15"/>
      <c r="H14" s="24"/>
      <c r="L14" s="10"/>
    </row>
    <row r="15" spans="1:12" ht="12.75" hidden="1" customHeight="1" x14ac:dyDescent="0.2">
      <c r="B15" s="3" t="s">
        <v>20</v>
      </c>
      <c r="F15" s="3"/>
      <c r="G15" s="15"/>
      <c r="H15" s="24"/>
    </row>
    <row r="16" spans="1:12" ht="16.5" customHeight="1" x14ac:dyDescent="0.2">
      <c r="B16" s="3" t="s">
        <v>514</v>
      </c>
      <c r="F16" s="3"/>
      <c r="G16" s="15"/>
      <c r="H16" s="24"/>
    </row>
    <row r="17" spans="1:11" ht="12.75" customHeight="1" x14ac:dyDescent="0.2">
      <c r="F17" s="3"/>
      <c r="G17" s="15"/>
      <c r="H17" s="24"/>
      <c r="K17" s="33"/>
    </row>
    <row r="18" spans="1:11" ht="12.75" customHeight="1" thickBot="1" x14ac:dyDescent="0.25">
      <c r="E18" s="42">
        <f>SUM(E8:E17)</f>
        <v>50135843.420000002</v>
      </c>
      <c r="F18" s="3"/>
      <c r="G18" s="14"/>
      <c r="H18" s="23"/>
      <c r="K18" s="33"/>
    </row>
    <row r="19" spans="1:11" ht="12.75" customHeight="1" thickTop="1" x14ac:dyDescent="0.2">
      <c r="F19" s="3"/>
      <c r="G19" s="15"/>
      <c r="H19" s="24"/>
      <c r="K19" s="33"/>
    </row>
    <row r="20" spans="1:11" ht="12.75" customHeight="1" x14ac:dyDescent="0.2">
      <c r="A20" s="19">
        <f>A7+1</f>
        <v>2</v>
      </c>
      <c r="B20" s="128" t="s">
        <v>54</v>
      </c>
      <c r="C20" s="59"/>
      <c r="D20" s="59"/>
      <c r="E20" s="110"/>
      <c r="F20" s="60"/>
      <c r="G20" s="15"/>
      <c r="H20" s="24"/>
    </row>
    <row r="21" spans="1:11" s="4" customFormat="1" ht="12.75" customHeight="1" x14ac:dyDescent="0.2">
      <c r="A21" s="19"/>
      <c r="B21" s="3" t="s">
        <v>312</v>
      </c>
      <c r="C21" s="10"/>
      <c r="D21" s="10"/>
      <c r="E21" s="29"/>
      <c r="G21" s="15"/>
      <c r="H21" s="24"/>
      <c r="I21" s="34"/>
      <c r="J21" s="34"/>
      <c r="K21" s="34"/>
    </row>
    <row r="22" spans="1:11" ht="12.75" customHeight="1" x14ac:dyDescent="0.2">
      <c r="B22" s="3" t="s">
        <v>32</v>
      </c>
      <c r="E22" s="29">
        <f>+'PL JAN-MARCH 2018'!J21+'PL JAN-MARCH 2018'!J27+'PL JAN-MARCH 2018'!J34+'PL JAN-MARCH 2018'!J13</f>
        <v>23640764.849999998</v>
      </c>
      <c r="F22" s="3"/>
      <c r="G22" s="15"/>
      <c r="H22" s="24"/>
      <c r="I22" s="33"/>
      <c r="J22" s="33"/>
      <c r="K22" s="33"/>
    </row>
    <row r="23" spans="1:11" ht="12.75" customHeight="1" x14ac:dyDescent="0.2">
      <c r="B23" s="3" t="s">
        <v>305</v>
      </c>
      <c r="F23" s="3"/>
      <c r="G23" s="15"/>
      <c r="H23" s="24"/>
      <c r="J23" s="33"/>
    </row>
    <row r="24" spans="1:11" s="4" customFormat="1" ht="12.75" customHeight="1" x14ac:dyDescent="0.2">
      <c r="A24" s="30"/>
      <c r="B24" s="3" t="s">
        <v>313</v>
      </c>
      <c r="C24" s="10"/>
      <c r="D24" s="10"/>
      <c r="E24" s="29"/>
      <c r="G24" s="15"/>
      <c r="H24" s="24"/>
      <c r="I24" s="2"/>
      <c r="J24" s="34"/>
      <c r="K24" s="2"/>
    </row>
    <row r="25" spans="1:11" ht="12.75" customHeight="1" x14ac:dyDescent="0.2">
      <c r="E25" s="115">
        <f>SUM(E22:E24)</f>
        <v>23640764.849999998</v>
      </c>
      <c r="F25" s="3"/>
      <c r="G25" s="14"/>
      <c r="H25" s="23"/>
      <c r="I25" s="33"/>
      <c r="J25" s="424"/>
      <c r="K25" s="21"/>
    </row>
    <row r="26" spans="1:11" ht="12.75" customHeight="1" x14ac:dyDescent="0.2">
      <c r="B26" s="4" t="s">
        <v>70</v>
      </c>
      <c r="F26" s="3"/>
      <c r="G26" s="15"/>
      <c r="H26" s="24"/>
      <c r="J26" s="24"/>
    </row>
    <row r="27" spans="1:11" ht="12.75" customHeight="1" x14ac:dyDescent="0.2">
      <c r="B27" s="3" t="s">
        <v>76</v>
      </c>
      <c r="E27" s="29">
        <f>+'PL JAN-MARCH 2018'!J36</f>
        <v>3156715</v>
      </c>
      <c r="F27" s="3"/>
      <c r="G27" s="15"/>
      <c r="H27" s="24"/>
      <c r="J27" s="33"/>
    </row>
    <row r="28" spans="1:11" ht="12.75" customHeight="1" x14ac:dyDescent="0.2">
      <c r="B28" s="18" t="s">
        <v>615</v>
      </c>
      <c r="E28" s="29">
        <f>+'PL JAN-MARCH 2018'!J37</f>
        <v>388225.8</v>
      </c>
      <c r="F28" s="3"/>
      <c r="G28" s="15"/>
      <c r="H28" s="24"/>
      <c r="J28" s="15"/>
    </row>
    <row r="29" spans="1:11" ht="12.75" customHeight="1" x14ac:dyDescent="0.2">
      <c r="B29" s="18" t="s">
        <v>616</v>
      </c>
      <c r="E29" s="29">
        <f>+'PL JAN-MARCH 2018'!J38</f>
        <v>97056.45</v>
      </c>
      <c r="F29" s="3"/>
      <c r="G29" s="15"/>
      <c r="H29" s="24"/>
      <c r="J29" s="21"/>
    </row>
    <row r="30" spans="1:11" ht="12.75" customHeight="1" x14ac:dyDescent="0.2">
      <c r="B30" s="3" t="s">
        <v>39</v>
      </c>
      <c r="F30" s="3"/>
      <c r="G30" s="15"/>
      <c r="H30" s="24"/>
    </row>
    <row r="31" spans="1:11" ht="12.75" customHeight="1" x14ac:dyDescent="0.2">
      <c r="B31" s="3" t="s">
        <v>1582</v>
      </c>
      <c r="E31" s="29">
        <f>+'PL JAN-MARCH 2018'!J39</f>
        <v>951429.39</v>
      </c>
      <c r="F31" s="3"/>
      <c r="G31" s="15"/>
      <c r="H31" s="24"/>
    </row>
    <row r="32" spans="1:11" ht="12.75" customHeight="1" x14ac:dyDescent="0.2">
      <c r="B32" s="3" t="s">
        <v>1584</v>
      </c>
      <c r="E32" s="29">
        <f>+'PL JAN-MARCH 2018'!J41</f>
        <v>148578.75</v>
      </c>
      <c r="F32" s="3"/>
      <c r="G32" s="15"/>
      <c r="H32" s="24"/>
    </row>
    <row r="33" spans="1:11" ht="12.75" customHeight="1" x14ac:dyDescent="0.2">
      <c r="B33" s="3" t="s">
        <v>1583</v>
      </c>
      <c r="E33" s="29">
        <f>+'PL JAN-MARCH 2018'!J40</f>
        <v>493270.44</v>
      </c>
      <c r="F33" s="3"/>
      <c r="G33" s="15"/>
      <c r="H33" s="24"/>
    </row>
    <row r="34" spans="1:11" ht="12.75" customHeight="1" x14ac:dyDescent="0.2">
      <c r="B34" s="3" t="s">
        <v>38</v>
      </c>
      <c r="E34" s="29">
        <v>0</v>
      </c>
      <c r="F34" s="3"/>
      <c r="G34" s="15"/>
      <c r="H34" s="24"/>
    </row>
    <row r="35" spans="1:11" ht="12.75" customHeight="1" x14ac:dyDescent="0.2">
      <c r="B35" s="3" t="s">
        <v>1501</v>
      </c>
      <c r="F35" s="3"/>
      <c r="G35" s="15"/>
      <c r="H35" s="24"/>
    </row>
    <row r="36" spans="1:11" ht="12.75" customHeight="1" x14ac:dyDescent="0.2">
      <c r="B36" s="3" t="s">
        <v>1509</v>
      </c>
      <c r="F36" s="3"/>
      <c r="G36" s="15"/>
      <c r="H36" s="24"/>
    </row>
    <row r="37" spans="1:11" ht="12.75" customHeight="1" x14ac:dyDescent="0.2">
      <c r="E37" s="41">
        <f>SUM(E27:E36)</f>
        <v>5235275.83</v>
      </c>
      <c r="F37" s="3"/>
      <c r="G37" s="14"/>
      <c r="H37" s="23"/>
    </row>
    <row r="38" spans="1:11" ht="12.75" customHeight="1" thickBot="1" x14ac:dyDescent="0.25">
      <c r="E38" s="42">
        <f>E37+E25</f>
        <v>28876040.68</v>
      </c>
      <c r="F38" s="3"/>
      <c r="G38" s="14"/>
      <c r="H38" s="23"/>
    </row>
    <row r="39" spans="1:11" ht="12.75" customHeight="1" thickTop="1" x14ac:dyDescent="0.2">
      <c r="E39" s="23"/>
      <c r="F39" s="3"/>
      <c r="G39" s="14"/>
      <c r="H39" s="23"/>
    </row>
    <row r="40" spans="1:11" ht="12.75" customHeight="1" x14ac:dyDescent="0.2">
      <c r="A40" s="19">
        <f>CI!C14</f>
        <v>3</v>
      </c>
      <c r="B40" s="128" t="s">
        <v>43</v>
      </c>
      <c r="C40" s="59"/>
      <c r="D40" s="59"/>
      <c r="E40" s="110"/>
      <c r="F40" s="60"/>
      <c r="G40" s="15"/>
      <c r="H40" s="24"/>
    </row>
    <row r="41" spans="1:11" ht="12.75" customHeight="1" x14ac:dyDescent="0.2">
      <c r="A41" s="19"/>
      <c r="B41" s="3" t="s">
        <v>83</v>
      </c>
      <c r="F41" s="3"/>
      <c r="G41" s="15"/>
      <c r="H41" s="24"/>
      <c r="K41" s="15"/>
    </row>
    <row r="42" spans="1:11" ht="12.75" customHeight="1" x14ac:dyDescent="0.2">
      <c r="A42" s="19"/>
      <c r="B42" s="3" t="s">
        <v>84</v>
      </c>
      <c r="F42" s="3"/>
      <c r="G42" s="15"/>
      <c r="H42" s="24"/>
      <c r="K42" s="24"/>
    </row>
    <row r="43" spans="1:11" ht="12.75" customHeight="1" x14ac:dyDescent="0.2">
      <c r="A43" s="19"/>
      <c r="B43" s="3" t="s">
        <v>496</v>
      </c>
      <c r="E43" s="419">
        <f>+'PL JAN-MARCH 2018'!J264</f>
        <v>5706.1</v>
      </c>
      <c r="F43" s="3"/>
      <c r="G43" s="15"/>
      <c r="H43" s="24"/>
      <c r="K43" s="21"/>
    </row>
    <row r="44" spans="1:11" ht="12.75" customHeight="1" x14ac:dyDescent="0.2">
      <c r="A44" s="19"/>
      <c r="B44" s="3" t="s">
        <v>1503</v>
      </c>
      <c r="E44" s="419">
        <f>+'PL JAN-MARCH 2018'!J265</f>
        <v>2243.59</v>
      </c>
      <c r="F44" s="3"/>
      <c r="G44" s="15"/>
      <c r="H44" s="24"/>
    </row>
    <row r="45" spans="1:11" ht="12.75" customHeight="1" x14ac:dyDescent="0.2">
      <c r="A45" s="19"/>
      <c r="B45" s="3" t="s">
        <v>82</v>
      </c>
      <c r="E45" s="29">
        <v>0</v>
      </c>
      <c r="F45" s="3"/>
      <c r="G45" s="15"/>
      <c r="H45" s="24"/>
    </row>
    <row r="46" spans="1:11" ht="12.75" customHeight="1" x14ac:dyDescent="0.2">
      <c r="A46" s="19"/>
      <c r="B46" s="3" t="s">
        <v>259</v>
      </c>
      <c r="C46" s="3"/>
      <c r="D46" s="3"/>
      <c r="E46" s="29">
        <v>0</v>
      </c>
      <c r="F46" s="3"/>
      <c r="G46" s="15"/>
      <c r="H46" s="24"/>
    </row>
    <row r="47" spans="1:11" ht="12.75" customHeight="1" x14ac:dyDescent="0.2">
      <c r="A47" s="19"/>
      <c r="B47" s="3" t="s">
        <v>1504</v>
      </c>
      <c r="C47" s="3"/>
      <c r="D47" s="3"/>
      <c r="F47" s="3"/>
      <c r="G47" s="15"/>
      <c r="H47" s="24"/>
    </row>
    <row r="48" spans="1:11" ht="12.75" customHeight="1" x14ac:dyDescent="0.2">
      <c r="A48" s="19"/>
      <c r="B48" s="3" t="s">
        <v>1506</v>
      </c>
      <c r="C48" s="3"/>
      <c r="D48" s="3"/>
      <c r="E48" s="419"/>
      <c r="F48" s="3"/>
      <c r="G48" s="15"/>
      <c r="H48" s="24"/>
    </row>
    <row r="49" spans="1:12" ht="12.75" customHeight="1" thickBot="1" x14ac:dyDescent="0.25">
      <c r="A49" s="19"/>
      <c r="C49" s="3"/>
      <c r="D49" s="3"/>
      <c r="E49" s="42">
        <f>SUM(E41:E48)</f>
        <v>7949.6900000000005</v>
      </c>
      <c r="F49" s="3"/>
      <c r="G49" s="14"/>
      <c r="H49" s="23"/>
    </row>
    <row r="50" spans="1:12" ht="12.75" customHeight="1" thickTop="1" x14ac:dyDescent="0.2">
      <c r="A50" s="49"/>
      <c r="B50" s="1"/>
      <c r="C50" s="15"/>
      <c r="D50" s="15"/>
      <c r="E50" s="24"/>
      <c r="F50" s="3"/>
      <c r="G50" s="15"/>
      <c r="H50" s="24"/>
    </row>
    <row r="51" spans="1:12" ht="12.75" customHeight="1" x14ac:dyDescent="0.2">
      <c r="A51" s="19">
        <f>CI!C16</f>
        <v>4</v>
      </c>
      <c r="B51" s="265" t="s">
        <v>74</v>
      </c>
      <c r="C51" s="59"/>
      <c r="D51" s="59"/>
      <c r="E51" s="110"/>
      <c r="F51" s="60"/>
      <c r="G51" s="15"/>
      <c r="H51" s="24"/>
    </row>
    <row r="52" spans="1:12" ht="12.75" customHeight="1" x14ac:dyDescent="0.2">
      <c r="B52" s="18" t="s">
        <v>85</v>
      </c>
      <c r="E52" s="29">
        <f>+'PL JAN-MARCH 2018'!J62+'PL JAN-MARCH 2018'!J170+'PL JAN-MARCH 2018'!J116</f>
        <v>925171.83</v>
      </c>
      <c r="F52" s="3"/>
      <c r="G52" s="15"/>
      <c r="H52" s="24"/>
    </row>
    <row r="53" spans="1:12" ht="12.75" customHeight="1" x14ac:dyDescent="0.2">
      <c r="B53" s="18" t="s">
        <v>615</v>
      </c>
      <c r="E53" s="29">
        <f>+'PL JAN-MARCH 2018'!J63+'PL JAN-MARCH 2018'!J171+'PL JAN-MARCH 2018'!J181+'PL JAN-MARCH 2018'!J117</f>
        <v>132120</v>
      </c>
      <c r="F53" s="3"/>
      <c r="G53" s="15"/>
      <c r="H53" s="24"/>
      <c r="K53" s="276"/>
      <c r="L53" s="276"/>
    </row>
    <row r="54" spans="1:12" ht="12.75" customHeight="1" x14ac:dyDescent="0.2">
      <c r="B54" s="18" t="s">
        <v>616</v>
      </c>
      <c r="E54" s="29">
        <f>+'PL JAN-MARCH 2018'!J64+'PL JAN-MARCH 2018'!J172+'PL JAN-MARCH 2018'!J182+'PL JAN-MARCH 2018'!J118</f>
        <v>33030</v>
      </c>
      <c r="F54" s="3"/>
      <c r="G54" s="15"/>
      <c r="H54" s="24"/>
      <c r="K54" s="278"/>
      <c r="L54" s="276"/>
    </row>
    <row r="55" spans="1:12" ht="12.75" customHeight="1" x14ac:dyDescent="0.2">
      <c r="B55" s="18" t="s">
        <v>320</v>
      </c>
      <c r="E55" s="29">
        <f>+'PL JAN-MARCH 2018'!J52+'PL JAN-MARCH 2018'!J104</f>
        <v>42980</v>
      </c>
      <c r="F55" s="3"/>
      <c r="G55" s="15"/>
      <c r="H55" s="24"/>
      <c r="J55" s="281"/>
      <c r="K55" s="277"/>
      <c r="L55" s="276"/>
    </row>
    <row r="56" spans="1:12" ht="12.75" customHeight="1" x14ac:dyDescent="0.2">
      <c r="B56" s="18" t="s">
        <v>40</v>
      </c>
      <c r="E56" s="29">
        <f>+'PL JAN-MARCH 2018'!J65+'PL JAN-MARCH 2018'!J66+'PL JAN-MARCH 2018'!J119</f>
        <v>490500</v>
      </c>
      <c r="F56" s="3"/>
      <c r="G56" s="15"/>
      <c r="H56" s="24"/>
      <c r="J56" s="281"/>
      <c r="K56" s="277"/>
      <c r="L56" s="277"/>
    </row>
    <row r="57" spans="1:12" ht="12.75" customHeight="1" x14ac:dyDescent="0.2">
      <c r="B57" s="18" t="s">
        <v>41</v>
      </c>
      <c r="E57" s="29">
        <f>+'PL JAN-MARCH 2018'!J67</f>
        <v>93000</v>
      </c>
      <c r="F57" s="3"/>
      <c r="G57" s="15"/>
      <c r="H57" s="24"/>
      <c r="J57" s="425"/>
      <c r="K57" s="282"/>
      <c r="L57" s="276"/>
    </row>
    <row r="58" spans="1:12" ht="12.75" customHeight="1" x14ac:dyDescent="0.2">
      <c r="B58" s="18" t="s">
        <v>12</v>
      </c>
      <c r="E58" s="29">
        <f>+'PL JAN-MARCH 2018'!J53+'PL JAN-MARCH 2018'!J105+'PL JAN-MARCH 2018'!J150+'PL JAN-MARCH 2018'!J166+'PL JAN-MARCH 2018'!J187+'PL JAN-MARCH 2018'!J252+'PL JAN-MARCH 2018'!J58+'PL JAN-MARCH 2018'!J106+'PL JAN-MARCH 2018'!J54</f>
        <v>843969.3600000001</v>
      </c>
      <c r="F58" s="3"/>
      <c r="G58" s="15"/>
      <c r="H58" s="24"/>
      <c r="J58" s="425"/>
      <c r="K58" s="282"/>
      <c r="L58" s="276"/>
    </row>
    <row r="59" spans="1:12" ht="12.75" customHeight="1" x14ac:dyDescent="0.2">
      <c r="B59" s="18" t="s">
        <v>13</v>
      </c>
      <c r="E59" s="29">
        <f>+'PL JAN-MARCH 2018'!J190+'PL JAN-MARCH 2018'!J86+'PL JAN-MARCH 2018'!J135</f>
        <v>38197</v>
      </c>
      <c r="F59" s="3"/>
      <c r="G59" s="15"/>
      <c r="H59" s="24"/>
      <c r="J59" s="277"/>
      <c r="K59" s="277"/>
      <c r="L59" s="502"/>
    </row>
    <row r="60" spans="1:12" ht="12.75" customHeight="1" x14ac:dyDescent="0.2">
      <c r="B60" s="135" t="s">
        <v>1502</v>
      </c>
      <c r="E60" s="29">
        <f>+'PL JAN-MARCH 2018'!J59+'PL JAN-MARCH 2018'!J112+'PL JAN-MARCH 2018'!J217+'PL JAN-MARCH 2018'!J254+'PL JAN-MARCH 2018'!J88</f>
        <v>99123</v>
      </c>
      <c r="F60" s="3"/>
      <c r="G60" s="15"/>
      <c r="H60" s="24"/>
      <c r="J60" s="276"/>
      <c r="K60" s="276"/>
      <c r="L60" s="502"/>
    </row>
    <row r="61" spans="1:12" ht="12.75" customHeight="1" x14ac:dyDescent="0.2">
      <c r="B61" s="18" t="s">
        <v>77</v>
      </c>
      <c r="E61" s="29">
        <f>+'PL JAN-MARCH 2018'!J134+'PL JAN-MARCH 2018'!J155+'PL JAN-MARCH 2018'!J175+'PL JAN-MARCH 2018'!J255</f>
        <v>201996.1</v>
      </c>
      <c r="F61" s="3"/>
      <c r="G61" s="15"/>
      <c r="H61" s="24"/>
      <c r="J61" s="281"/>
      <c r="K61" s="277"/>
      <c r="L61" s="502"/>
    </row>
    <row r="62" spans="1:12" ht="12.75" customHeight="1" x14ac:dyDescent="0.2">
      <c r="B62" s="18" t="s">
        <v>1585</v>
      </c>
      <c r="E62" s="29">
        <f>+'PL JAN-MARCH 2018'!J54+'PL JAN-MARCH 2018'!J108</f>
        <v>32772.6</v>
      </c>
      <c r="F62" s="3"/>
      <c r="G62" s="15"/>
      <c r="H62" s="24"/>
      <c r="J62" s="281"/>
      <c r="K62" s="277"/>
      <c r="L62" s="502"/>
    </row>
    <row r="63" spans="1:12" ht="12.75" customHeight="1" x14ac:dyDescent="0.2">
      <c r="B63" s="18" t="s">
        <v>497</v>
      </c>
      <c r="E63" s="29">
        <f>+'PL JAN-MARCH 2018'!J51+'PL JAN-MARCH 2018'!J103</f>
        <v>278551.40000000002</v>
      </c>
      <c r="F63" s="3"/>
      <c r="G63" s="15"/>
      <c r="H63" s="24"/>
      <c r="J63" s="279"/>
      <c r="K63" s="277"/>
      <c r="L63" s="502"/>
    </row>
    <row r="64" spans="1:12" ht="12.75" hidden="1" customHeight="1" x14ac:dyDescent="0.2">
      <c r="B64" s="18" t="s">
        <v>10</v>
      </c>
      <c r="F64" s="3"/>
      <c r="G64" s="15"/>
      <c r="H64" s="24"/>
      <c r="K64" s="280"/>
      <c r="L64" s="502"/>
    </row>
    <row r="65" spans="1:8" ht="12.75" customHeight="1" x14ac:dyDescent="0.2">
      <c r="B65" s="70" t="s">
        <v>498</v>
      </c>
      <c r="C65" s="77"/>
      <c r="D65" s="77"/>
      <c r="E65" s="29">
        <f>+'PL JAN-MARCH 2018'!J133</f>
        <v>35917</v>
      </c>
      <c r="F65" s="3"/>
      <c r="G65" s="15"/>
      <c r="H65" s="24"/>
    </row>
    <row r="66" spans="1:8" ht="12.75" customHeight="1" x14ac:dyDescent="0.2">
      <c r="B66" s="269" t="s">
        <v>262</v>
      </c>
      <c r="E66" s="115">
        <f>SUM(E52:E65)</f>
        <v>3247328.2900000005</v>
      </c>
      <c r="F66" s="3"/>
      <c r="G66" s="14"/>
      <c r="H66" s="23"/>
    </row>
    <row r="67" spans="1:8" ht="12.75" customHeight="1" x14ac:dyDescent="0.2">
      <c r="B67" s="62"/>
      <c r="E67" s="23"/>
      <c r="F67" s="14"/>
    </row>
    <row r="68" spans="1:8" ht="12.75" hidden="1" customHeight="1" x14ac:dyDescent="0.2">
      <c r="B68" s="62"/>
      <c r="E68" s="23"/>
      <c r="F68" s="14"/>
    </row>
    <row r="69" spans="1:8" ht="12.75" hidden="1" customHeight="1" x14ac:dyDescent="0.2">
      <c r="B69" s="62"/>
      <c r="E69" s="23"/>
      <c r="F69" s="14"/>
    </row>
    <row r="70" spans="1:8" ht="12.75" hidden="1" customHeight="1" x14ac:dyDescent="0.2">
      <c r="B70" s="62"/>
      <c r="E70" s="23"/>
      <c r="F70" s="14"/>
    </row>
    <row r="71" spans="1:8" ht="12.75" customHeight="1" x14ac:dyDescent="0.2">
      <c r="B71" s="62"/>
      <c r="E71" s="23"/>
      <c r="F71" s="14"/>
    </row>
    <row r="72" spans="1:8" ht="12.75" customHeight="1" x14ac:dyDescent="0.2">
      <c r="B72" s="62"/>
      <c r="E72" s="23"/>
      <c r="F72" s="14"/>
    </row>
    <row r="73" spans="1:8" ht="12.75" customHeight="1" x14ac:dyDescent="0.2">
      <c r="A73" s="40" t="s">
        <v>48</v>
      </c>
      <c r="C73" s="77"/>
      <c r="D73" s="77"/>
      <c r="E73" s="78"/>
      <c r="F73" s="75"/>
    </row>
    <row r="74" spans="1:8" ht="12.75" customHeight="1" x14ac:dyDescent="0.2">
      <c r="A74" s="40" t="s">
        <v>495</v>
      </c>
      <c r="C74" s="77"/>
      <c r="D74" s="77"/>
      <c r="E74" s="78"/>
      <c r="F74" s="75"/>
    </row>
    <row r="75" spans="1:8" ht="12.75" customHeight="1" x14ac:dyDescent="0.2">
      <c r="B75" s="70"/>
      <c r="C75" s="77"/>
      <c r="D75" s="77"/>
      <c r="E75" s="78"/>
      <c r="F75" s="75"/>
    </row>
    <row r="76" spans="1:8" ht="12.75" customHeight="1" x14ac:dyDescent="0.2">
      <c r="B76" s="70"/>
      <c r="C76" s="77"/>
      <c r="D76" s="77"/>
      <c r="E76" s="78"/>
      <c r="F76" s="75"/>
    </row>
    <row r="77" spans="1:8" ht="12.75" customHeight="1" x14ac:dyDescent="0.2">
      <c r="C77" s="3"/>
      <c r="D77" s="3"/>
      <c r="F77" s="1"/>
    </row>
    <row r="78" spans="1:8" ht="12.75" customHeight="1" x14ac:dyDescent="0.2">
      <c r="C78" s="3"/>
      <c r="D78" s="3"/>
      <c r="F78" s="1"/>
    </row>
    <row r="79" spans="1:8" ht="12.75" customHeight="1" x14ac:dyDescent="0.2">
      <c r="C79" s="3"/>
      <c r="D79" s="3"/>
      <c r="F79" s="1"/>
    </row>
    <row r="80" spans="1:8" ht="12.75" customHeight="1" x14ac:dyDescent="0.2">
      <c r="C80" s="3"/>
      <c r="D80" s="3"/>
      <c r="F80" s="1"/>
    </row>
    <row r="81" spans="2:6" ht="12.75" customHeight="1" x14ac:dyDescent="0.2">
      <c r="C81" s="3"/>
      <c r="D81" s="3"/>
      <c r="F81" s="1"/>
    </row>
    <row r="82" spans="2:6" ht="12.75" customHeight="1" x14ac:dyDescent="0.2">
      <c r="C82" s="3"/>
      <c r="D82" s="3"/>
      <c r="F82" s="1"/>
    </row>
    <row r="83" spans="2:6" ht="12.75" customHeight="1" x14ac:dyDescent="0.2">
      <c r="C83" s="3"/>
      <c r="D83" s="3"/>
      <c r="F83" s="1"/>
    </row>
    <row r="84" spans="2:6" ht="12.75" customHeight="1" x14ac:dyDescent="0.2">
      <c r="C84" s="3"/>
      <c r="D84" s="3"/>
      <c r="F84" s="1"/>
    </row>
    <row r="85" spans="2:6" ht="12.75" customHeight="1" x14ac:dyDescent="0.2">
      <c r="C85" s="3"/>
      <c r="D85" s="3"/>
      <c r="F85" s="3"/>
    </row>
    <row r="86" spans="2:6" ht="12.75" customHeight="1" x14ac:dyDescent="0.2">
      <c r="C86" s="3"/>
      <c r="D86" s="3"/>
      <c r="F86" s="3"/>
    </row>
    <row r="87" spans="2:6" ht="12.75" customHeight="1" x14ac:dyDescent="0.2">
      <c r="C87" s="3"/>
      <c r="D87" s="3"/>
      <c r="F87" s="3"/>
    </row>
    <row r="88" spans="2:6" ht="12.75" customHeight="1" x14ac:dyDescent="0.2">
      <c r="C88" s="3"/>
      <c r="D88" s="3"/>
      <c r="F88" s="3"/>
    </row>
    <row r="89" spans="2:6" ht="12.75" customHeight="1" x14ac:dyDescent="0.2">
      <c r="C89" s="3"/>
      <c r="D89" s="3"/>
      <c r="F89" s="3"/>
    </row>
    <row r="90" spans="2:6" ht="12.75" customHeight="1" x14ac:dyDescent="0.2">
      <c r="C90" s="3"/>
      <c r="D90" s="3"/>
      <c r="F90" s="3"/>
    </row>
    <row r="91" spans="2:6" ht="12.75" customHeight="1" x14ac:dyDescent="0.2">
      <c r="C91" s="3"/>
      <c r="D91" s="3"/>
      <c r="F91" s="3"/>
    </row>
    <row r="92" spans="2:6" ht="12.75" customHeight="1" x14ac:dyDescent="0.2">
      <c r="C92" s="3"/>
      <c r="D92" s="3"/>
      <c r="F92" s="3"/>
    </row>
    <row r="93" spans="2:6" ht="12.75" customHeight="1" x14ac:dyDescent="0.2">
      <c r="C93" s="3"/>
      <c r="D93" s="3"/>
      <c r="F93" s="3"/>
    </row>
    <row r="94" spans="2:6" ht="12.75" customHeight="1" x14ac:dyDescent="0.2">
      <c r="C94" s="3"/>
      <c r="D94" s="3"/>
      <c r="F94" s="3"/>
    </row>
    <row r="95" spans="2:6" ht="12.75" customHeight="1" x14ac:dyDescent="0.2">
      <c r="B95" s="62"/>
    </row>
    <row r="96" spans="2:6" ht="12.75" customHeight="1" x14ac:dyDescent="0.2">
      <c r="C96" s="3"/>
      <c r="D96" s="3"/>
    </row>
    <row r="98" spans="2:2" ht="12.75" customHeight="1" x14ac:dyDescent="0.2">
      <c r="B98" s="40"/>
    </row>
    <row r="114" spans="2:2" ht="12.75" customHeight="1" x14ac:dyDescent="0.2">
      <c r="B114" s="3" t="s">
        <v>631</v>
      </c>
    </row>
    <row r="140" spans="2:2" ht="12.75" customHeight="1" x14ac:dyDescent="0.2">
      <c r="B140" s="3" t="s">
        <v>249</v>
      </c>
    </row>
    <row r="181" spans="2:6" ht="12.75" customHeight="1" x14ac:dyDescent="0.2">
      <c r="B181" s="46"/>
      <c r="C181" s="14"/>
      <c r="D181" s="14"/>
      <c r="E181" s="23"/>
      <c r="F181" s="14"/>
    </row>
  </sheetData>
  <phoneticPr fontId="9" type="noConversion"/>
  <printOptions horizontalCentered="1"/>
  <pageMargins left="0.75" right="0.25" top="0.75" bottom="0.25" header="0.5" footer="0.5"/>
  <pageSetup paperSize="9" scale="90" orientation="portrait" blackAndWhite="1"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20</vt:i4>
      </vt:variant>
      <vt:variant>
        <vt:lpstr>Named Ranges</vt:lpstr>
      </vt:variant>
      <vt:variant>
        <vt:i4>16</vt:i4>
      </vt:variant>
    </vt:vector>
  </HeadingPairs>
  <TitlesOfParts>
    <vt:vector size="36" baseType="lpstr">
      <vt:lpstr>Sheet1 (2)</vt:lpstr>
      <vt:lpstr>PPE</vt:lpstr>
      <vt:lpstr>BS MARCH 31 (2)</vt:lpstr>
      <vt:lpstr>TB 01.01.2018-03.31.2018</vt:lpstr>
      <vt:lpstr>BS 1.1.2018</vt:lpstr>
      <vt:lpstr>CI</vt:lpstr>
      <vt:lpstr>FP</vt:lpstr>
      <vt:lpstr>1-4</vt:lpstr>
      <vt:lpstr>4-5</vt:lpstr>
      <vt:lpstr>11-15</vt:lpstr>
      <vt:lpstr>6-10</vt:lpstr>
      <vt:lpstr>BS MARCH 31</vt:lpstr>
      <vt:lpstr>PL JAN-MARCH 2018</vt:lpstr>
      <vt:lpstr>CF</vt:lpstr>
      <vt:lpstr>Cash in hand at bank</vt:lpstr>
      <vt:lpstr>2015</vt:lpstr>
      <vt:lpstr>BS 2016</vt:lpstr>
      <vt:lpstr>IS 2016</vt:lpstr>
      <vt:lpstr>2014</vt:lpstr>
      <vt:lpstr>COGS</vt:lpstr>
      <vt:lpstr>'11-15'!Print_Area</vt:lpstr>
      <vt:lpstr>'1-4'!Print_Area</vt:lpstr>
      <vt:lpstr>'4-5'!Print_Area</vt:lpstr>
      <vt:lpstr>'6-10'!Print_Area</vt:lpstr>
      <vt:lpstr>CF!Print_Area</vt:lpstr>
      <vt:lpstr>CI!Print_Area</vt:lpstr>
      <vt:lpstr>FP!Print_Area</vt:lpstr>
      <vt:lpstr>PPE!Print_Area</vt:lpstr>
      <vt:lpstr>'BS 1.1.2018'!Print_Titles</vt:lpstr>
      <vt:lpstr>'BS 2016'!Print_Titles</vt:lpstr>
      <vt:lpstr>'BS MARCH 31'!Print_Titles</vt:lpstr>
      <vt:lpstr>'BS MARCH 31 (2)'!Print_Titles</vt:lpstr>
      <vt:lpstr>'IS 2016'!Print_Titles</vt:lpstr>
      <vt:lpstr>'PL JAN-MARCH 2018'!Print_Titles</vt:lpstr>
      <vt:lpstr>'Sheet1 (2)'!Print_Titles</vt:lpstr>
      <vt:lpstr>'TB 01.01.2018-03.31.2018'!Print_Titles</vt:lpstr>
    </vt:vector>
  </TitlesOfParts>
  <Company>Metropolitan Computers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Amerasekera &amp; Co.,</dc:creator>
  <cp:lastModifiedBy>Chathurangani Ranaweera</cp:lastModifiedBy>
  <cp:lastPrinted>2017-09-21T05:58:55Z</cp:lastPrinted>
  <dcterms:created xsi:type="dcterms:W3CDTF">2001-05-30T18:21:18Z</dcterms:created>
  <dcterms:modified xsi:type="dcterms:W3CDTF">2018-04-26T12:06:07Z</dcterms:modified>
</cp:coreProperties>
</file>