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能耗模型" sheetId="1" r:id="rId1"/>
  </sheets>
  <calcPr calcId="144525"/>
</workbook>
</file>

<file path=xl/sharedStrings.xml><?xml version="1.0" encoding="utf-8"?>
<sst xmlns="http://schemas.openxmlformats.org/spreadsheetml/2006/main" count="186" uniqueCount="106">
  <si>
    <t>工艺参数</t>
  </si>
  <si>
    <t>时间模型</t>
  </si>
  <si>
    <t>Boder</t>
  </si>
  <si>
    <t>Fill contour</t>
  </si>
  <si>
    <t>Volume hating</t>
  </si>
  <si>
    <t>Support Structure</t>
  </si>
  <si>
    <t>阶段</t>
  </si>
  <si>
    <t>参数</t>
  </si>
  <si>
    <t>时间</t>
  </si>
  <si>
    <t>激光功率[w]</t>
  </si>
  <si>
    <t>预热阶段</t>
  </si>
  <si>
    <t>起始浓度</t>
  </si>
  <si>
    <t>气体填充时间[s]</t>
  </si>
  <si>
    <t>激光扫描速度[mm/s]</t>
  </si>
  <si>
    <t>最终浓度</t>
  </si>
  <si>
    <t>层厚[mm]</t>
  </si>
  <si>
    <t>加热起始温度</t>
  </si>
  <si>
    <t>加热时间[s]</t>
  </si>
  <si>
    <t>孵化距离[mm]</t>
  </si>
  <si>
    <t>/</t>
  </si>
  <si>
    <t>加热最终温度</t>
  </si>
  <si>
    <t>加热起始温度[℃]</t>
  </si>
  <si>
    <t>构建阶段</t>
  </si>
  <si>
    <t>零件表面积[mm3]</t>
  </si>
  <si>
    <t>扫描边界时间[s]</t>
  </si>
  <si>
    <t>加热最终温度[℃]</t>
  </si>
  <si>
    <t>激光数</t>
  </si>
  <si>
    <t>冷却起始温度[℃]</t>
  </si>
  <si>
    <t>扫描速度[mm/s]</t>
  </si>
  <si>
    <t>冷却最终温度[℃]</t>
  </si>
  <si>
    <t>填充轮廓时间[s]</t>
  </si>
  <si>
    <t>机台参数</t>
  </si>
  <si>
    <t>批次参数</t>
  </si>
  <si>
    <t>机台各子系统的功率</t>
  </si>
  <si>
    <t>零件表面积[mm2]</t>
  </si>
  <si>
    <t>基础系统[w]</t>
  </si>
  <si>
    <t>零件体积[mm3]</t>
  </si>
  <si>
    <t>构建零件的时间[s]</t>
  </si>
  <si>
    <t>平台加热器 (全功率运行)[w]</t>
  </si>
  <si>
    <t>支撑结构的体积[mm3]</t>
  </si>
  <si>
    <t>构建速度[mm3/s]</t>
  </si>
  <si>
    <t>平台加热器 (间断运行)[w]</t>
  </si>
  <si>
    <t>切片数/层数</t>
  </si>
  <si>
    <t>支撑结构零件体积[mm3]</t>
  </si>
  <si>
    <t>构建支撑结构的时间[s]</t>
  </si>
  <si>
    <t>水冷单元[w]</t>
  </si>
  <si>
    <t>水循环系统[w]</t>
  </si>
  <si>
    <t>线性拟合参数</t>
  </si>
  <si>
    <t>铺粉阶段</t>
  </si>
  <si>
    <t>铺粉一层的时间[s]</t>
  </si>
  <si>
    <t>总铺粉时间[s]</t>
  </si>
  <si>
    <t>铺粉电机[w]</t>
  </si>
  <si>
    <t>时间模型的参数</t>
  </si>
  <si>
    <t>电动阀门[w]</t>
  </si>
  <si>
    <t>C</t>
  </si>
  <si>
    <t>填充气体时间t0=-Cln©_0-D，t1=-Cln©_1-D</t>
  </si>
  <si>
    <t>冷却阶段</t>
  </si>
  <si>
    <t>冷却起始温度</t>
  </si>
  <si>
    <t>冷却时间[s]</t>
  </si>
  <si>
    <t>气体循环电机[w]</t>
  </si>
  <si>
    <t>D</t>
  </si>
  <si>
    <t>delta t=t1-t0,©_0是初始氧浓度，©_1是最终氧浓度</t>
  </si>
  <si>
    <t>冷却最终温度</t>
  </si>
  <si>
    <t>初始氧气浓度[%]</t>
  </si>
  <si>
    <t>E</t>
  </si>
  <si>
    <t>加热时间t0=E*T0^2+F*T1-G</t>
  </si>
  <si>
    <t>全过程[s]</t>
  </si>
  <si>
    <t>最终氧气浓度{%]</t>
  </si>
  <si>
    <t>F</t>
  </si>
  <si>
    <t>t1=E*T0^2+F*T1-G   Delta t=t1-t0</t>
  </si>
  <si>
    <t>铺粉一层需要的时间[s]</t>
  </si>
  <si>
    <t>G</t>
  </si>
  <si>
    <t>T0是加热起始温度，T1是加热最终温度</t>
  </si>
  <si>
    <t>H</t>
  </si>
  <si>
    <t xml:space="preserve"> 冷却时间t0=H*T2^2-I*T2+J</t>
  </si>
  <si>
    <t>平均功率系数</t>
  </si>
  <si>
    <t>I</t>
  </si>
  <si>
    <t>t1=H*T2^2-I*T2+J  Delta t=t1-t0</t>
  </si>
  <si>
    <t>基础系统</t>
  </si>
  <si>
    <t>J</t>
  </si>
  <si>
    <t>T2是冷却起始温度，T3是冷却最终温度</t>
  </si>
  <si>
    <t>能耗模型</t>
  </si>
  <si>
    <t>功率模型的参数</t>
  </si>
  <si>
    <t>子系统</t>
  </si>
  <si>
    <t>时间/s</t>
  </si>
  <si>
    <t>功率/w</t>
  </si>
  <si>
    <t>能耗/J</t>
  </si>
  <si>
    <t>重涂阶段</t>
  </si>
  <si>
    <t>A</t>
  </si>
  <si>
    <t>PL = n(A + BPLo)    n是激光数量</t>
  </si>
  <si>
    <t>B</t>
  </si>
  <si>
    <t xml:space="preserve"> PL0是激光功率 ，PL是激光实际消耗功率</t>
  </si>
  <si>
    <t>加热器</t>
  </si>
  <si>
    <t>水循环系统</t>
  </si>
  <si>
    <t>注：红色字体代表需要实验测试的量</t>
  </si>
  <si>
    <t>水冷单元</t>
  </si>
  <si>
    <t>水冷系统</t>
  </si>
  <si>
    <t>激光系统</t>
  </si>
  <si>
    <t>扫描边界</t>
  </si>
  <si>
    <t>铺粉电机</t>
  </si>
  <si>
    <t>填充轮廓</t>
  </si>
  <si>
    <t>构建零件</t>
  </si>
  <si>
    <t>构建支撑结构</t>
  </si>
  <si>
    <t>电动阀门</t>
  </si>
  <si>
    <t>气体循环电机</t>
  </si>
  <si>
    <t>总能耗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</si>
</sst>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0.0"/>
    <numFmt numFmtId="179" formatCode="#,##0_ "/>
  </numFmts>
  <fonts count="29">
    <font>
      <sz val="11"/>
      <color theme="1"/>
      <name val="等线"/>
      <charset val="134"/>
      <scheme val="minor"/>
    </font>
    <font>
      <b/>
      <sz val="14"/>
      <color theme="1"/>
      <name val="仿宋"/>
      <charset val="134"/>
    </font>
    <font>
      <sz val="11"/>
      <color indexed="8"/>
      <name val="等线"/>
      <charset val="134"/>
    </font>
    <font>
      <sz val="11"/>
      <color rgb="FFFF0000"/>
      <name val="等线"/>
      <charset val="134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</font>
    <font>
      <b/>
      <sz val="11"/>
      <color indexed="8"/>
      <name val="等线"/>
      <charset val="134"/>
    </font>
    <font>
      <sz val="11"/>
      <color theme="1"/>
      <name val="等线 (正文)"/>
      <charset val="134"/>
    </font>
    <font>
      <sz val="11"/>
      <color rgb="FFFF0000"/>
      <name val="等线 (正文)"/>
      <charset val="134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0" borderId="5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53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4" applyNumberFormat="0" applyFill="0" applyAlignment="0" applyProtection="0">
      <alignment vertical="center"/>
    </xf>
    <xf numFmtId="0" fontId="21" fillId="0" borderId="5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5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16" borderId="56" applyNumberFormat="0" applyAlignment="0" applyProtection="0">
      <alignment vertical="center"/>
    </xf>
    <xf numFmtId="0" fontId="23" fillId="16" borderId="52" applyNumberFormat="0" applyAlignment="0" applyProtection="0">
      <alignment vertical="center"/>
    </xf>
    <xf numFmtId="0" fontId="24" fillId="17" borderId="57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58" applyNumberFormat="0" applyFill="0" applyAlignment="0" applyProtection="0">
      <alignment vertical="center"/>
    </xf>
    <xf numFmtId="0" fontId="26" fillId="0" borderId="59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horizontal="left" vertical="center"/>
    </xf>
    <xf numFmtId="0" fontId="2" fillId="0" borderId="7" xfId="0" applyNumberFormat="1" applyFont="1" applyFill="1" applyBorder="1" applyAlignment="1" applyProtection="1">
      <alignment horizontal="left" vertical="center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right" vertical="center" wrapText="1"/>
    </xf>
    <xf numFmtId="0" fontId="2" fillId="0" borderId="11" xfId="0" applyNumberFormat="1" applyFont="1" applyFill="1" applyBorder="1" applyAlignment="1" applyProtection="1">
      <alignment horizontal="right" vertical="center" wrapText="1"/>
    </xf>
    <xf numFmtId="0" fontId="2" fillId="0" borderId="12" xfId="0" applyNumberFormat="1" applyFont="1" applyFill="1" applyBorder="1" applyAlignment="1" applyProtection="1">
      <alignment horizontal="center" vertical="center" wrapText="1"/>
    </xf>
    <xf numFmtId="0" fontId="2" fillId="0" borderId="13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vertical="center"/>
    </xf>
    <xf numFmtId="0" fontId="2" fillId="0" borderId="12" xfId="0" applyNumberFormat="1" applyFont="1" applyFill="1" applyBorder="1" applyAlignment="1" applyProtection="1">
      <alignment horizontal="center" vertical="center"/>
    </xf>
    <xf numFmtId="0" fontId="2" fillId="0" borderId="13" xfId="0" applyNumberFormat="1" applyFont="1" applyFill="1" applyBorder="1" applyAlignment="1" applyProtection="1">
      <alignment horizontal="center" vertical="center"/>
    </xf>
    <xf numFmtId="0" fontId="2" fillId="0" borderId="15" xfId="0" applyNumberFormat="1" applyFont="1" applyFill="1" applyBorder="1" applyAlignment="1" applyProtection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</xf>
    <xf numFmtId="0" fontId="2" fillId="0" borderId="17" xfId="0" applyNumberFormat="1" applyFont="1" applyFill="1" applyBorder="1" applyAlignment="1" applyProtection="1">
      <alignment horizontal="center" vertical="center"/>
    </xf>
    <xf numFmtId="0" fontId="2" fillId="0" borderId="18" xfId="0" applyNumberFormat="1" applyFont="1" applyFill="1" applyBorder="1" applyAlignment="1" applyProtection="1">
      <alignment vertical="center"/>
    </xf>
    <xf numFmtId="0" fontId="1" fillId="3" borderId="19" xfId="0" applyNumberFormat="1" applyFont="1" applyFill="1" applyBorder="1" applyAlignment="1" applyProtection="1">
      <alignment horizontal="center" vertical="center"/>
    </xf>
    <xf numFmtId="0" fontId="1" fillId="3" borderId="20" xfId="0" applyNumberFormat="1" applyFont="1" applyFill="1" applyBorder="1" applyAlignment="1" applyProtection="1">
      <alignment horizontal="center" vertical="center"/>
    </xf>
    <xf numFmtId="0" fontId="1" fillId="3" borderId="21" xfId="0" applyNumberFormat="1" applyFont="1" applyFill="1" applyBorder="1" applyAlignment="1" applyProtection="1">
      <alignment horizontal="center" vertical="center"/>
    </xf>
    <xf numFmtId="0" fontId="1" fillId="4" borderId="19" xfId="33" applyNumberFormat="1" applyFont="1" applyBorder="1" applyAlignment="1" applyProtection="1">
      <alignment horizontal="center" vertical="center"/>
    </xf>
    <xf numFmtId="0" fontId="1" fillId="4" borderId="21" xfId="33" applyNumberFormat="1" applyFont="1" applyBorder="1" applyAlignment="1" applyProtection="1">
      <alignment horizontal="center" vertical="center"/>
    </xf>
    <xf numFmtId="0" fontId="2" fillId="0" borderId="12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0" fillId="5" borderId="22" xfId="33" applyNumberFormat="1" applyFont="1" applyFill="1" applyBorder="1" applyAlignment="1" applyProtection="1">
      <alignment vertical="center" wrapText="1"/>
    </xf>
    <xf numFmtId="0" fontId="0" fillId="0" borderId="0" xfId="0" applyNumberFormat="1" applyFont="1" applyFill="1" applyAlignment="1">
      <alignment vertical="center"/>
    </xf>
    <xf numFmtId="49" fontId="2" fillId="0" borderId="12" xfId="0" applyNumberFormat="1" applyFont="1" applyFill="1" applyBorder="1" applyAlignment="1" applyProtection="1">
      <alignment vertical="center"/>
    </xf>
    <xf numFmtId="49" fontId="2" fillId="0" borderId="0" xfId="0" applyNumberFormat="1" applyFont="1" applyFill="1" applyBorder="1" applyAlignment="1" applyProtection="1">
      <alignment vertical="center"/>
    </xf>
    <xf numFmtId="0" fontId="3" fillId="0" borderId="14" xfId="0" applyNumberFormat="1" applyFont="1" applyFill="1" applyBorder="1" applyAlignment="1" applyProtection="1">
      <alignment vertical="center"/>
    </xf>
    <xf numFmtId="0" fontId="0" fillId="5" borderId="23" xfId="33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vertical="center"/>
    </xf>
    <xf numFmtId="0" fontId="0" fillId="5" borderId="24" xfId="33" applyNumberFormat="1" applyFont="1" applyFill="1" applyBorder="1" applyAlignment="1" applyProtection="1">
      <alignment vertical="center"/>
    </xf>
    <xf numFmtId="0" fontId="0" fillId="0" borderId="0" xfId="0" applyBorder="1">
      <alignment vertical="center"/>
    </xf>
    <xf numFmtId="0" fontId="1" fillId="6" borderId="1" xfId="9" applyFont="1" applyBorder="1" applyAlignment="1">
      <alignment horizontal="center" vertical="center"/>
    </xf>
    <xf numFmtId="0" fontId="1" fillId="6" borderId="2" xfId="9" applyFont="1" applyBorder="1" applyAlignment="1">
      <alignment horizontal="center" vertical="center"/>
    </xf>
    <xf numFmtId="0" fontId="1" fillId="6" borderId="3" xfId="9" applyFont="1" applyBorder="1" applyAlignment="1">
      <alignment horizontal="center" vertical="center"/>
    </xf>
    <xf numFmtId="0" fontId="0" fillId="0" borderId="4" xfId="9" applyFill="1" applyBorder="1" applyAlignment="1">
      <alignment horizontal="center" vertical="center"/>
    </xf>
    <xf numFmtId="0" fontId="0" fillId="0" borderId="25" xfId="9" applyFill="1" applyBorder="1" applyAlignment="1">
      <alignment horizontal="center" vertical="center"/>
    </xf>
    <xf numFmtId="0" fontId="0" fillId="0" borderId="26" xfId="9" applyFill="1" applyBorder="1" applyAlignment="1">
      <alignment horizontal="center" vertical="center"/>
    </xf>
    <xf numFmtId="0" fontId="0" fillId="0" borderId="8" xfId="9" applyNumberFormat="1" applyFill="1" applyBorder="1" applyAlignment="1" applyProtection="1">
      <alignment vertical="center"/>
    </xf>
    <xf numFmtId="0" fontId="4" fillId="0" borderId="27" xfId="9" applyNumberFormat="1" applyFont="1" applyFill="1" applyBorder="1" applyAlignment="1" applyProtection="1">
      <alignment vertical="center"/>
    </xf>
    <xf numFmtId="0" fontId="0" fillId="0" borderId="28" xfId="9" applyFont="1" applyFill="1" applyBorder="1" applyAlignment="1">
      <alignment vertical="center"/>
    </xf>
    <xf numFmtId="0" fontId="0" fillId="0" borderId="29" xfId="9" applyNumberFormat="1" applyFill="1" applyBorder="1" applyAlignment="1" applyProtection="1">
      <alignment vertical="center"/>
    </xf>
    <xf numFmtId="0" fontId="4" fillId="0" borderId="30" xfId="9" applyNumberFormat="1" applyFont="1" applyFill="1" applyBorder="1" applyAlignment="1" applyProtection="1">
      <alignment vertical="center"/>
    </xf>
    <xf numFmtId="0" fontId="0" fillId="0" borderId="31" xfId="9" applyFont="1" applyFill="1" applyBorder="1" applyAlignment="1">
      <alignment vertical="center"/>
    </xf>
    <xf numFmtId="0" fontId="5" fillId="0" borderId="14" xfId="0" applyNumberFormat="1" applyFont="1" applyFill="1" applyBorder="1" applyAlignment="1" applyProtection="1">
      <alignment vertical="center"/>
    </xf>
    <xf numFmtId="0" fontId="0" fillId="0" borderId="12" xfId="9" applyNumberFormat="1" applyFill="1" applyBorder="1" applyAlignment="1" applyProtection="1">
      <alignment vertical="center"/>
    </xf>
    <xf numFmtId="0" fontId="4" fillId="0" borderId="0" xfId="9" applyNumberFormat="1" applyFont="1" applyFill="1" applyBorder="1" applyAlignment="1" applyProtection="1">
      <alignment vertical="center"/>
    </xf>
    <xf numFmtId="0" fontId="0" fillId="0" borderId="14" xfId="9" applyFont="1" applyFill="1" applyBorder="1" applyAlignment="1">
      <alignment vertical="center"/>
    </xf>
    <xf numFmtId="0" fontId="2" fillId="0" borderId="15" xfId="0" applyNumberFormat="1" applyFont="1" applyFill="1" applyBorder="1" applyAlignment="1" applyProtection="1">
      <alignment vertical="center"/>
    </xf>
    <xf numFmtId="0" fontId="2" fillId="0" borderId="17" xfId="0" applyNumberFormat="1" applyFont="1" applyFill="1" applyBorder="1" applyAlignment="1" applyProtection="1">
      <alignment vertical="center"/>
    </xf>
    <xf numFmtId="0" fontId="5" fillId="0" borderId="18" xfId="0" applyNumberFormat="1" applyFont="1" applyFill="1" applyBorder="1" applyAlignment="1" applyProtection="1">
      <alignment vertical="center"/>
    </xf>
    <xf numFmtId="0" fontId="6" fillId="0" borderId="32" xfId="0" applyNumberFormat="1" applyFont="1" applyFill="1" applyBorder="1" applyAlignment="1" applyProtection="1">
      <alignment horizontal="center" vertical="center"/>
    </xf>
    <xf numFmtId="0" fontId="6" fillId="0" borderId="33" xfId="0" applyNumberFormat="1" applyFont="1" applyFill="1" applyBorder="1" applyAlignment="1" applyProtection="1">
      <alignment horizontal="center" vertical="center"/>
    </xf>
    <xf numFmtId="0" fontId="6" fillId="0" borderId="34" xfId="0" applyNumberFormat="1" applyFont="1" applyFill="1" applyBorder="1" applyAlignment="1" applyProtection="1">
      <alignment horizontal="center" vertical="center"/>
    </xf>
    <xf numFmtId="0" fontId="2" fillId="0" borderId="35" xfId="0" applyNumberFormat="1" applyFont="1" applyFill="1" applyBorder="1" applyAlignment="1" applyProtection="1">
      <alignment horizontal="center" vertical="center"/>
    </xf>
    <xf numFmtId="0" fontId="0" fillId="0" borderId="6" xfId="0" applyBorder="1">
      <alignment vertical="center"/>
    </xf>
    <xf numFmtId="0" fontId="5" fillId="0" borderId="7" xfId="0" applyNumberFormat="1" applyFont="1" applyFill="1" applyBorder="1" applyAlignment="1" applyProtection="1">
      <alignment vertical="center"/>
    </xf>
    <xf numFmtId="0" fontId="2" fillId="0" borderId="36" xfId="0" applyNumberFormat="1" applyFont="1" applyFill="1" applyBorder="1" applyAlignment="1" applyProtection="1">
      <alignment horizontal="center" vertical="center"/>
    </xf>
    <xf numFmtId="0" fontId="0" fillId="0" borderId="8" xfId="9" applyNumberFormat="1" applyFill="1" applyBorder="1" applyAlignment="1" applyProtection="1">
      <alignment horizontal="center" vertical="center"/>
    </xf>
    <xf numFmtId="0" fontId="0" fillId="0" borderId="27" xfId="9" applyNumberFormat="1" applyFill="1" applyBorder="1" applyAlignment="1" applyProtection="1">
      <alignment horizontal="center" vertical="center"/>
    </xf>
    <xf numFmtId="0" fontId="0" fillId="0" borderId="28" xfId="9" applyNumberFormat="1" applyFill="1" applyBorder="1" applyAlignment="1" applyProtection="1">
      <alignment horizontal="center" vertical="center"/>
    </xf>
    <xf numFmtId="0" fontId="2" fillId="0" borderId="37" xfId="0" applyNumberFormat="1" applyFont="1" applyFill="1" applyBorder="1" applyAlignment="1" applyProtection="1">
      <alignment horizontal="center" vertical="center"/>
    </xf>
    <xf numFmtId="0" fontId="0" fillId="0" borderId="15" xfId="9" applyNumberFormat="1" applyFill="1" applyBorder="1" applyAlignment="1" applyProtection="1">
      <alignment vertical="center"/>
    </xf>
    <xf numFmtId="0" fontId="4" fillId="0" borderId="17" xfId="9" applyNumberFormat="1" applyFont="1" applyFill="1" applyBorder="1" applyAlignment="1" applyProtection="1">
      <alignment vertical="center"/>
    </xf>
    <xf numFmtId="0" fontId="0" fillId="0" borderId="18" xfId="9" applyFont="1" applyFill="1" applyBorder="1" applyAlignment="1">
      <alignment vertical="center"/>
    </xf>
    <xf numFmtId="0" fontId="7" fillId="0" borderId="7" xfId="0" applyNumberFormat="1" applyFont="1" applyFill="1" applyBorder="1" applyAlignment="1" applyProtection="1">
      <alignment vertical="center"/>
    </xf>
    <xf numFmtId="0" fontId="8" fillId="0" borderId="7" xfId="0" applyNumberFormat="1" applyFont="1" applyFill="1" applyBorder="1" applyAlignment="1" applyProtection="1">
      <alignment vertical="center"/>
    </xf>
    <xf numFmtId="49" fontId="3" fillId="5" borderId="0" xfId="0" applyNumberFormat="1" applyFont="1" applyFill="1" applyBorder="1" applyAlignment="1" applyProtection="1">
      <alignment vertical="center"/>
    </xf>
    <xf numFmtId="0" fontId="9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38" xfId="0" applyFont="1" applyBorder="1">
      <alignment vertical="center"/>
    </xf>
    <xf numFmtId="0" fontId="9" fillId="0" borderId="39" xfId="0" applyFont="1" applyBorder="1">
      <alignment vertical="center"/>
    </xf>
    <xf numFmtId="0" fontId="1" fillId="7" borderId="19" xfId="7" applyFont="1" applyBorder="1" applyAlignment="1">
      <alignment horizontal="center" vertical="center"/>
    </xf>
    <xf numFmtId="0" fontId="1" fillId="7" borderId="20" xfId="7" applyFont="1" applyBorder="1" applyAlignment="1">
      <alignment horizontal="center" vertical="center"/>
    </xf>
    <xf numFmtId="0" fontId="1" fillId="7" borderId="21" xfId="7" applyFont="1" applyBorder="1" applyAlignment="1">
      <alignment horizontal="center" vertical="center"/>
    </xf>
    <xf numFmtId="0" fontId="2" fillId="0" borderId="29" xfId="0" applyNumberFormat="1" applyFont="1" applyFill="1" applyBorder="1" applyAlignment="1" applyProtection="1">
      <alignment horizontal="center" vertical="center"/>
    </xf>
    <xf numFmtId="0" fontId="2" fillId="0" borderId="31" xfId="0" applyNumberFormat="1" applyFont="1" applyFill="1" applyBorder="1" applyAlignment="1" applyProtection="1">
      <alignment horizontal="center" vertical="center"/>
    </xf>
    <xf numFmtId="0" fontId="0" fillId="0" borderId="29" xfId="7" applyNumberFormat="1" applyFont="1" applyFill="1" applyBorder="1" applyAlignment="1" applyProtection="1">
      <alignment horizontal="center" vertical="center" wrapText="1"/>
    </xf>
    <xf numFmtId="0" fontId="0" fillId="0" borderId="40" xfId="7" applyNumberFormat="1" applyFont="1" applyFill="1" applyBorder="1" applyAlignment="1" applyProtection="1">
      <alignment horizontal="center" vertical="center" wrapText="1"/>
    </xf>
    <xf numFmtId="0" fontId="0" fillId="0" borderId="25" xfId="7" applyNumberFormat="1" applyFont="1" applyFill="1" applyBorder="1" applyAlignment="1" applyProtection="1">
      <alignment horizontal="center" vertical="center" wrapText="1"/>
    </xf>
    <xf numFmtId="0" fontId="0" fillId="0" borderId="26" xfId="7" applyNumberFormat="1" applyFont="1" applyFill="1" applyBorder="1" applyAlignment="1" applyProtection="1">
      <alignment horizontal="center" vertical="center" wrapText="1"/>
    </xf>
    <xf numFmtId="0" fontId="0" fillId="0" borderId="8" xfId="7" applyNumberFormat="1" applyFont="1" applyFill="1" applyBorder="1" applyAlignment="1" applyProtection="1">
      <alignment horizontal="center" vertical="center" wrapText="1"/>
    </xf>
    <xf numFmtId="0" fontId="0" fillId="0" borderId="28" xfId="7" applyNumberFormat="1" applyFont="1" applyFill="1" applyBorder="1" applyAlignment="1" applyProtection="1">
      <alignment horizontal="center" vertical="center" wrapText="1"/>
    </xf>
    <xf numFmtId="0" fontId="0" fillId="0" borderId="35" xfId="7" applyNumberFormat="1" applyFont="1" applyFill="1" applyBorder="1" applyAlignment="1" applyProtection="1">
      <alignment vertical="center" wrapText="1"/>
    </xf>
    <xf numFmtId="176" fontId="0" fillId="0" borderId="41" xfId="7" applyNumberFormat="1" applyFont="1" applyFill="1" applyBorder="1" applyAlignment="1" applyProtection="1">
      <alignment vertical="center" wrapText="1"/>
    </xf>
    <xf numFmtId="0" fontId="0" fillId="0" borderId="41" xfId="7" applyNumberFormat="1" applyFont="1" applyFill="1" applyBorder="1" applyAlignment="1" applyProtection="1">
      <alignment horizontal="center" vertical="center" wrapText="1"/>
    </xf>
    <xf numFmtId="177" fontId="0" fillId="0" borderId="41" xfId="7" applyNumberFormat="1" applyFont="1" applyFill="1" applyBorder="1" applyAlignment="1" applyProtection="1">
      <alignment horizontal="center" vertical="center" wrapText="1"/>
    </xf>
    <xf numFmtId="177" fontId="0" fillId="0" borderId="7" xfId="0" applyNumberFormat="1" applyBorder="1" applyAlignment="1">
      <alignment horizontal="center" vertical="center"/>
    </xf>
    <xf numFmtId="0" fontId="0" fillId="0" borderId="12" xfId="7" applyNumberFormat="1" applyFont="1" applyFill="1" applyBorder="1" applyAlignment="1" applyProtection="1">
      <alignment horizontal="center" vertical="center" wrapText="1"/>
    </xf>
    <xf numFmtId="0" fontId="0" fillId="0" borderId="14" xfId="7" applyNumberFormat="1" applyFont="1" applyFill="1" applyBorder="1" applyAlignment="1" applyProtection="1">
      <alignment horizontal="center" vertical="center" wrapText="1"/>
    </xf>
    <xf numFmtId="0" fontId="0" fillId="0" borderId="37" xfId="7" applyNumberFormat="1" applyFont="1" applyFill="1" applyBorder="1" applyAlignment="1" applyProtection="1">
      <alignment vertical="center" wrapText="1"/>
    </xf>
    <xf numFmtId="176" fontId="0" fillId="0" borderId="42" xfId="7" applyNumberFormat="1" applyFont="1" applyFill="1" applyBorder="1" applyAlignment="1" applyProtection="1">
      <alignment vertical="center" wrapText="1"/>
    </xf>
    <xf numFmtId="0" fontId="0" fillId="0" borderId="42" xfId="7" applyNumberFormat="1" applyFont="1" applyFill="1" applyBorder="1" applyAlignment="1" applyProtection="1">
      <alignment horizontal="center" vertical="center" wrapText="1"/>
    </xf>
    <xf numFmtId="177" fontId="0" fillId="0" borderId="42" xfId="7" applyNumberFormat="1" applyFont="1" applyFill="1" applyBorder="1" applyAlignment="1" applyProtection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31" xfId="7" applyNumberFormat="1" applyFont="1" applyFill="1" applyBorder="1" applyAlignment="1" applyProtection="1">
      <alignment horizontal="center" vertical="center" wrapText="1"/>
    </xf>
    <xf numFmtId="0" fontId="0" fillId="0" borderId="36" xfId="7" applyNumberFormat="1" applyFont="1" applyFill="1" applyBorder="1" applyAlignment="1" applyProtection="1">
      <alignment vertical="center" wrapText="1"/>
    </xf>
    <xf numFmtId="176" fontId="0" fillId="0" borderId="10" xfId="7" applyNumberFormat="1" applyFont="1" applyFill="1" applyBorder="1" applyAlignment="1" applyProtection="1">
      <alignment vertical="center" wrapText="1"/>
    </xf>
    <xf numFmtId="0" fontId="0" fillId="0" borderId="10" xfId="7" applyNumberFormat="1" applyFont="1" applyFill="1" applyBorder="1" applyAlignment="1" applyProtection="1">
      <alignment horizontal="center" vertical="center" wrapText="1"/>
    </xf>
    <xf numFmtId="177" fontId="0" fillId="0" borderId="10" xfId="7" applyNumberFormat="1" applyFont="1" applyFill="1" applyBorder="1" applyAlignment="1" applyProtection="1">
      <alignment horizontal="center" vertical="center" wrapText="1"/>
    </xf>
    <xf numFmtId="0" fontId="1" fillId="0" borderId="0" xfId="9" applyFont="1" applyFill="1" applyBorder="1" applyAlignment="1">
      <alignment horizontal="center" vertical="center"/>
    </xf>
    <xf numFmtId="0" fontId="0" fillId="0" borderId="35" xfId="7" applyNumberFormat="1" applyFont="1" applyFill="1" applyBorder="1" applyAlignment="1" applyProtection="1">
      <alignment horizontal="center" vertical="center" wrapText="1"/>
    </xf>
    <xf numFmtId="176" fontId="0" fillId="0" borderId="41" xfId="7" applyNumberFormat="1" applyFont="1" applyFill="1" applyBorder="1" applyAlignment="1" applyProtection="1">
      <alignment horizontal="center" vertical="center" wrapText="1"/>
    </xf>
    <xf numFmtId="177" fontId="0" fillId="0" borderId="43" xfId="0" applyNumberFormat="1" applyBorder="1" applyAlignment="1">
      <alignment horizontal="center" vertical="center"/>
    </xf>
    <xf numFmtId="0" fontId="0" fillId="0" borderId="0" xfId="9" applyFill="1" applyBorder="1" applyAlignment="1">
      <alignment horizontal="center" vertical="center"/>
    </xf>
    <xf numFmtId="0" fontId="0" fillId="0" borderId="37" xfId="7" applyNumberFormat="1" applyFont="1" applyFill="1" applyBorder="1" applyAlignment="1" applyProtection="1">
      <alignment horizontal="center" vertical="center" wrapText="1"/>
    </xf>
    <xf numFmtId="176" fontId="0" fillId="0" borderId="42" xfId="7" applyNumberFormat="1" applyFont="1" applyFill="1" applyBorder="1" applyAlignment="1" applyProtection="1">
      <alignment horizontal="center" vertical="center" wrapText="1"/>
    </xf>
    <xf numFmtId="177" fontId="0" fillId="0" borderId="44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7" applyNumberFormat="1" applyFont="1" applyFill="1" applyBorder="1" applyAlignment="1" applyProtection="1">
      <alignment vertical="center" wrapText="1"/>
    </xf>
    <xf numFmtId="0" fontId="0" fillId="0" borderId="17" xfId="0" applyBorder="1">
      <alignment vertical="center"/>
    </xf>
    <xf numFmtId="177" fontId="0" fillId="0" borderId="49" xfId="7" applyNumberFormat="1" applyFont="1" applyFill="1" applyBorder="1" applyAlignment="1" applyProtection="1">
      <alignment horizontal="center" vertical="center" wrapText="1"/>
    </xf>
    <xf numFmtId="0" fontId="1" fillId="0" borderId="0" xfId="31" applyNumberFormat="1" applyFont="1" applyFill="1" applyBorder="1" applyAlignment="1" applyProtection="1">
      <alignment horizontal="center" vertical="center"/>
    </xf>
    <xf numFmtId="0" fontId="1" fillId="8" borderId="1" xfId="45" applyFont="1" applyFill="1" applyBorder="1" applyAlignment="1">
      <alignment horizontal="center" vertical="center"/>
    </xf>
    <xf numFmtId="0" fontId="1" fillId="8" borderId="2" xfId="45" applyFont="1" applyFill="1" applyBorder="1" applyAlignment="1">
      <alignment horizontal="center" vertical="center"/>
    </xf>
    <xf numFmtId="0" fontId="1" fillId="8" borderId="3" xfId="45" applyFont="1" applyFill="1" applyBorder="1" applyAlignment="1">
      <alignment horizontal="center" vertical="center"/>
    </xf>
    <xf numFmtId="0" fontId="0" fillId="0" borderId="0" xfId="9" applyNumberFormat="1" applyFill="1" applyBorder="1" applyAlignment="1" applyProtection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45" applyFont="1" applyFill="1" applyBorder="1" applyAlignment="1">
      <alignment horizontal="center" vertical="center"/>
    </xf>
    <xf numFmtId="0" fontId="0" fillId="0" borderId="6" xfId="45" applyFont="1" applyFill="1" applyBorder="1">
      <alignment vertical="center"/>
    </xf>
    <xf numFmtId="0" fontId="0" fillId="0" borderId="51" xfId="45" applyFont="1" applyFill="1" applyBorder="1" applyAlignment="1">
      <alignment horizontal="center" vertical="center"/>
    </xf>
    <xf numFmtId="0" fontId="0" fillId="0" borderId="26" xfId="45" applyFont="1" applyFill="1" applyBorder="1" applyAlignment="1">
      <alignment horizontal="center" vertical="center"/>
    </xf>
    <xf numFmtId="49" fontId="9" fillId="0" borderId="50" xfId="0" applyNumberFormat="1" applyFont="1" applyBorder="1" applyAlignment="1">
      <alignment horizontal="center" vertical="center"/>
    </xf>
    <xf numFmtId="0" fontId="0" fillId="0" borderId="5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77" fontId="0" fillId="0" borderId="6" xfId="45" applyNumberFormat="1" applyFill="1" applyBorder="1">
      <alignment vertical="center"/>
    </xf>
    <xf numFmtId="178" fontId="0" fillId="0" borderId="6" xfId="45" applyNumberFormat="1" applyFill="1" applyBorder="1" applyAlignment="1">
      <alignment horizontal="right" vertical="center"/>
    </xf>
    <xf numFmtId="0" fontId="0" fillId="0" borderId="51" xfId="45" applyFill="1" applyBorder="1" applyAlignment="1">
      <alignment vertical="center"/>
    </xf>
    <xf numFmtId="179" fontId="0" fillId="0" borderId="43" xfId="45" applyNumberFormat="1" applyFill="1" applyBorder="1" applyAlignment="1">
      <alignment horizontal="center" vertical="center"/>
    </xf>
    <xf numFmtId="179" fontId="0" fillId="0" borderId="11" xfId="45" applyNumberFormat="1" applyFill="1" applyBorder="1" applyAlignment="1">
      <alignment horizontal="center" vertical="center"/>
    </xf>
    <xf numFmtId="179" fontId="0" fillId="0" borderId="44" xfId="45" applyNumberFormat="1" applyFill="1" applyBorder="1" applyAlignment="1">
      <alignment horizontal="center" vertical="center"/>
    </xf>
    <xf numFmtId="49" fontId="2" fillId="0" borderId="50" xfId="0" applyNumberFormat="1" applyFont="1" applyFill="1" applyBorder="1" applyAlignment="1" applyProtection="1">
      <alignment horizontal="center" vertical="center"/>
    </xf>
    <xf numFmtId="0" fontId="0" fillId="0" borderId="6" xfId="45" applyFill="1" applyBorder="1" applyAlignment="1">
      <alignment horizontal="right" vertical="center"/>
    </xf>
    <xf numFmtId="0" fontId="9" fillId="0" borderId="51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41" xfId="0" applyFont="1" applyBorder="1" applyAlignment="1">
      <alignment horizontal="left" vertical="center"/>
    </xf>
    <xf numFmtId="0" fontId="0" fillId="0" borderId="6" xfId="45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79" fontId="0" fillId="0" borderId="18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66"/>
  <sheetViews>
    <sheetView tabSelected="1" topLeftCell="H55" workbookViewId="0">
      <selection activeCell="P66" sqref="P66"/>
    </sheetView>
  </sheetViews>
  <sheetFormatPr defaultColWidth="8.77777777777778" defaultRowHeight="13.8"/>
  <cols>
    <col min="2" max="2" width="44.3333333333333" customWidth="1"/>
    <col min="3" max="3" width="10.6666666666667" customWidth="1"/>
    <col min="6" max="6" width="33.1111111111111" customWidth="1"/>
    <col min="7" max="7" width="21" customWidth="1"/>
    <col min="8" max="8" width="52.5555555555556" customWidth="1"/>
    <col min="9" max="9" width="13" customWidth="1"/>
    <col min="10" max="10" width="15.3333333333333" customWidth="1"/>
    <col min="11" max="11" width="10" customWidth="1"/>
    <col min="12" max="12" width="25.4444444444444" customWidth="1"/>
    <col min="13" max="13" width="21" customWidth="1"/>
    <col min="14" max="15" width="24.3333333333333" customWidth="1"/>
    <col min="16" max="16" width="18.1111111111111" customWidth="1"/>
    <col min="19" max="19" width="47.7777777777778" customWidth="1"/>
  </cols>
  <sheetData>
    <row r="1" ht="17.4" spans="2:16">
      <c r="B1" s="1" t="s">
        <v>0</v>
      </c>
      <c r="C1" s="2"/>
      <c r="D1" s="2"/>
      <c r="E1" s="2"/>
      <c r="F1" s="2"/>
      <c r="G1" s="3"/>
      <c r="J1" s="79" t="s">
        <v>1</v>
      </c>
      <c r="K1" s="80"/>
      <c r="L1" s="80"/>
      <c r="M1" s="80"/>
      <c r="N1" s="80"/>
      <c r="O1" s="80"/>
      <c r="P1" s="81"/>
    </row>
    <row r="2" ht="15" customHeight="1" spans="2:16">
      <c r="B2" s="4"/>
      <c r="C2" s="5"/>
      <c r="D2" s="6" t="s">
        <v>2</v>
      </c>
      <c r="E2" s="6" t="s">
        <v>3</v>
      </c>
      <c r="F2" s="6" t="s">
        <v>4</v>
      </c>
      <c r="G2" s="7" t="s">
        <v>5</v>
      </c>
      <c r="J2" s="82" t="s">
        <v>6</v>
      </c>
      <c r="K2" s="83"/>
      <c r="L2" s="84" t="s">
        <v>7</v>
      </c>
      <c r="M2" s="85"/>
      <c r="N2" s="86" t="s">
        <v>8</v>
      </c>
      <c r="O2" s="86"/>
      <c r="P2" s="87"/>
    </row>
    <row r="3" spans="2:16">
      <c r="B3" s="8" t="s">
        <v>9</v>
      </c>
      <c r="C3" s="9"/>
      <c r="D3" s="10">
        <v>300</v>
      </c>
      <c r="E3" s="10">
        <v>300</v>
      </c>
      <c r="F3" s="10">
        <v>350</v>
      </c>
      <c r="G3" s="11">
        <v>350</v>
      </c>
      <c r="J3" s="88" t="s">
        <v>10</v>
      </c>
      <c r="K3" s="89"/>
      <c r="L3" s="90" t="s">
        <v>11</v>
      </c>
      <c r="M3" s="91">
        <f>D23</f>
        <v>21</v>
      </c>
      <c r="N3" s="92" t="s">
        <v>12</v>
      </c>
      <c r="O3" s="93">
        <f>(G21*LN(M4)-G22)-(G21*LN(M3)-G22)</f>
        <v>311.362071513678</v>
      </c>
      <c r="P3" s="94">
        <f>MAX(O3,O5)</f>
        <v>2115.1818</v>
      </c>
    </row>
    <row r="4" spans="2:16">
      <c r="B4" s="12" t="s">
        <v>13</v>
      </c>
      <c r="C4" s="13"/>
      <c r="D4" s="10">
        <v>730</v>
      </c>
      <c r="E4" s="10">
        <v>730</v>
      </c>
      <c r="F4" s="10">
        <v>1650</v>
      </c>
      <c r="G4" s="11">
        <v>1000</v>
      </c>
      <c r="J4" s="95"/>
      <c r="K4" s="96"/>
      <c r="L4" s="97" t="s">
        <v>14</v>
      </c>
      <c r="M4" s="98">
        <f>D24</f>
        <v>0.1</v>
      </c>
      <c r="N4" s="99"/>
      <c r="O4" s="100"/>
      <c r="P4" s="101"/>
    </row>
    <row r="5" spans="2:16">
      <c r="B5" s="12" t="s">
        <v>15</v>
      </c>
      <c r="C5" s="13"/>
      <c r="D5" s="10">
        <v>0.03</v>
      </c>
      <c r="E5" s="10">
        <v>0.03</v>
      </c>
      <c r="F5" s="10">
        <v>0.03</v>
      </c>
      <c r="G5" s="11">
        <v>0.03</v>
      </c>
      <c r="J5" s="95"/>
      <c r="K5" s="96"/>
      <c r="L5" s="90" t="s">
        <v>16</v>
      </c>
      <c r="M5" s="91">
        <f>D7</f>
        <v>27</v>
      </c>
      <c r="N5" s="92" t="s">
        <v>17</v>
      </c>
      <c r="O5" s="93">
        <f>(G23*M6^2+G24*M6-G25)-(G23*M5^2+G24*M5-G25)</f>
        <v>2115.1818</v>
      </c>
      <c r="P5" s="101"/>
    </row>
    <row r="6" spans="2:16">
      <c r="B6" s="12" t="s">
        <v>18</v>
      </c>
      <c r="C6" s="13"/>
      <c r="D6" s="10" t="s">
        <v>19</v>
      </c>
      <c r="E6" s="10" t="s">
        <v>19</v>
      </c>
      <c r="F6" s="10">
        <v>0.13</v>
      </c>
      <c r="G6" s="11">
        <v>0.18</v>
      </c>
      <c r="J6" s="84"/>
      <c r="K6" s="102"/>
      <c r="L6" s="97" t="s">
        <v>20</v>
      </c>
      <c r="M6" s="98">
        <f>D8</f>
        <v>150</v>
      </c>
      <c r="N6" s="99"/>
      <c r="O6" s="100"/>
      <c r="P6" s="101"/>
    </row>
    <row r="7" ht="16.2" customHeight="1" spans="2:16">
      <c r="B7" s="12" t="s">
        <v>21</v>
      </c>
      <c r="C7" s="13"/>
      <c r="D7" s="14">
        <v>27</v>
      </c>
      <c r="E7" s="14"/>
      <c r="F7" s="14"/>
      <c r="G7" s="15"/>
      <c r="J7" s="88" t="s">
        <v>22</v>
      </c>
      <c r="K7" s="89"/>
      <c r="L7" s="90" t="s">
        <v>23</v>
      </c>
      <c r="M7" s="91">
        <f>G14</f>
        <v>186122</v>
      </c>
      <c r="N7" s="92" t="s">
        <v>24</v>
      </c>
      <c r="O7" s="93">
        <f>M7/(M8*M9*M10)</f>
        <v>4249.36073059361</v>
      </c>
      <c r="P7" s="94">
        <f>SUM(O7:O18)</f>
        <v>32373.3867033525</v>
      </c>
    </row>
    <row r="8" ht="15.45" customHeight="1" spans="2:16">
      <c r="B8" s="16" t="s">
        <v>25</v>
      </c>
      <c r="C8" s="17"/>
      <c r="D8" s="14">
        <v>150</v>
      </c>
      <c r="E8" s="14"/>
      <c r="F8" s="14"/>
      <c r="G8" s="15"/>
      <c r="J8" s="95"/>
      <c r="K8" s="96"/>
      <c r="L8" s="103" t="s">
        <v>26</v>
      </c>
      <c r="M8" s="104">
        <f>D26</f>
        <v>2</v>
      </c>
      <c r="N8" s="105"/>
      <c r="O8" s="106"/>
      <c r="P8" s="101"/>
    </row>
    <row r="9" spans="2:16">
      <c r="B9" s="12" t="s">
        <v>27</v>
      </c>
      <c r="C9" s="13"/>
      <c r="D9" s="14">
        <v>150</v>
      </c>
      <c r="E9" s="14"/>
      <c r="F9" s="14"/>
      <c r="G9" s="15"/>
      <c r="J9" s="95"/>
      <c r="K9" s="96"/>
      <c r="L9" s="103" t="s">
        <v>28</v>
      </c>
      <c r="M9" s="104">
        <f>D4</f>
        <v>730</v>
      </c>
      <c r="N9" s="105"/>
      <c r="O9" s="106"/>
      <c r="P9" s="101"/>
    </row>
    <row r="10" spans="2:16">
      <c r="B10" s="18" t="s">
        <v>29</v>
      </c>
      <c r="C10" s="19"/>
      <c r="D10" s="20">
        <v>80</v>
      </c>
      <c r="E10" s="20"/>
      <c r="F10" s="20"/>
      <c r="G10" s="21"/>
      <c r="J10" s="95"/>
      <c r="K10" s="96"/>
      <c r="L10" s="97" t="s">
        <v>15</v>
      </c>
      <c r="M10" s="98">
        <f>D5</f>
        <v>0.03</v>
      </c>
      <c r="N10" s="99"/>
      <c r="O10" s="100"/>
      <c r="P10" s="101"/>
    </row>
    <row r="11" ht="15.45" customHeight="1" spans="10:16">
      <c r="J11" s="95"/>
      <c r="K11" s="96"/>
      <c r="L11" s="90" t="s">
        <v>23</v>
      </c>
      <c r="M11" s="91">
        <f>G14</f>
        <v>186122</v>
      </c>
      <c r="N11" s="92" t="s">
        <v>30</v>
      </c>
      <c r="O11" s="93">
        <f>M11/(M12*M13*M14)</f>
        <v>4249.36073059361</v>
      </c>
      <c r="P11" s="101"/>
    </row>
    <row r="12" ht="15.45" customHeight="1" spans="10:16">
      <c r="J12" s="95"/>
      <c r="K12" s="96"/>
      <c r="L12" s="103" t="s">
        <v>26</v>
      </c>
      <c r="M12" s="104">
        <f>D26</f>
        <v>2</v>
      </c>
      <c r="N12" s="105"/>
      <c r="O12" s="106"/>
      <c r="P12" s="101"/>
    </row>
    <row r="13" ht="18.15" spans="2:16">
      <c r="B13" s="22" t="s">
        <v>31</v>
      </c>
      <c r="C13" s="23"/>
      <c r="D13" s="24"/>
      <c r="F13" s="25" t="s">
        <v>32</v>
      </c>
      <c r="G13" s="26"/>
      <c r="J13" s="95"/>
      <c r="K13" s="96"/>
      <c r="L13" s="103" t="s">
        <v>28</v>
      </c>
      <c r="M13" s="104">
        <f>E4</f>
        <v>730</v>
      </c>
      <c r="N13" s="105"/>
      <c r="O13" s="106"/>
      <c r="P13" s="101"/>
    </row>
    <row r="14" spans="2:16">
      <c r="B14" s="27" t="s">
        <v>33</v>
      </c>
      <c r="C14" s="28"/>
      <c r="D14" s="15"/>
      <c r="F14" s="29" t="s">
        <v>34</v>
      </c>
      <c r="G14" s="30">
        <v>186122</v>
      </c>
      <c r="J14" s="95"/>
      <c r="K14" s="96"/>
      <c r="L14" s="97" t="s">
        <v>15</v>
      </c>
      <c r="M14" s="98">
        <f>E5</f>
        <v>0.03</v>
      </c>
      <c r="N14" s="99"/>
      <c r="O14" s="100"/>
      <c r="P14" s="101"/>
    </row>
    <row r="15" ht="15.45" customHeight="1" spans="2:16">
      <c r="B15" s="31" t="s">
        <v>35</v>
      </c>
      <c r="C15" s="32"/>
      <c r="D15" s="33">
        <v>569.7</v>
      </c>
      <c r="F15" s="34" t="s">
        <v>36</v>
      </c>
      <c r="G15" s="35">
        <v>239448</v>
      </c>
      <c r="J15" s="95"/>
      <c r="K15" s="96"/>
      <c r="L15" s="90" t="s">
        <v>36</v>
      </c>
      <c r="M15" s="91">
        <f>G15</f>
        <v>239448</v>
      </c>
      <c r="N15" s="92" t="s">
        <v>37</v>
      </c>
      <c r="O15" s="93">
        <f>M15/M16</f>
        <v>18605.1282051282</v>
      </c>
      <c r="P15" s="101"/>
    </row>
    <row r="16" ht="15.45" customHeight="1" spans="2:16">
      <c r="B16" s="31" t="s">
        <v>38</v>
      </c>
      <c r="C16" s="32"/>
      <c r="D16" s="33">
        <v>1122.3</v>
      </c>
      <c r="F16" s="34" t="s">
        <v>39</v>
      </c>
      <c r="G16" s="35">
        <v>56911</v>
      </c>
      <c r="J16" s="95"/>
      <c r="K16" s="96"/>
      <c r="L16" s="97" t="s">
        <v>40</v>
      </c>
      <c r="M16" s="98">
        <f>D26*F6*F5*F4</f>
        <v>12.87</v>
      </c>
      <c r="N16" s="99"/>
      <c r="O16" s="100"/>
      <c r="P16" s="101"/>
    </row>
    <row r="17" ht="15.45" customHeight="1" spans="2:16">
      <c r="B17" s="31" t="s">
        <v>41</v>
      </c>
      <c r="C17" s="32"/>
      <c r="D17" s="33">
        <v>541.6</v>
      </c>
      <c r="F17" s="36" t="s">
        <v>42</v>
      </c>
      <c r="G17" s="35">
        <v>1623</v>
      </c>
      <c r="J17" s="95"/>
      <c r="K17" s="96"/>
      <c r="L17" s="90" t="s">
        <v>43</v>
      </c>
      <c r="M17" s="91">
        <f>G16</f>
        <v>56911</v>
      </c>
      <c r="N17" s="92" t="s">
        <v>44</v>
      </c>
      <c r="O17" s="93">
        <f>M17/M18</f>
        <v>5269.53703703704</v>
      </c>
      <c r="P17" s="101"/>
    </row>
    <row r="18" ht="14.55" spans="2:16">
      <c r="B18" s="31" t="s">
        <v>45</v>
      </c>
      <c r="C18" s="32"/>
      <c r="D18" s="33">
        <v>1739.4</v>
      </c>
      <c r="J18" s="84"/>
      <c r="K18" s="102"/>
      <c r="L18" s="97" t="s">
        <v>40</v>
      </c>
      <c r="M18" s="98">
        <f>D26*G6*G5*G4</f>
        <v>10.8</v>
      </c>
      <c r="N18" s="99"/>
      <c r="O18" s="100"/>
      <c r="P18" s="101"/>
    </row>
    <row r="19" ht="27.6" customHeight="1" spans="2:16">
      <c r="B19" s="31" t="s">
        <v>46</v>
      </c>
      <c r="C19" s="37"/>
      <c r="D19" s="33">
        <v>713.3</v>
      </c>
      <c r="F19" s="38" t="s">
        <v>47</v>
      </c>
      <c r="G19" s="39"/>
      <c r="H19" s="40"/>
      <c r="I19" s="107"/>
      <c r="J19" s="88" t="s">
        <v>48</v>
      </c>
      <c r="K19" s="89"/>
      <c r="L19" s="108" t="s">
        <v>49</v>
      </c>
      <c r="M19" s="109">
        <f>D25</f>
        <v>11</v>
      </c>
      <c r="N19" s="92" t="s">
        <v>50</v>
      </c>
      <c r="O19" s="93">
        <f>M19*G17</f>
        <v>17853</v>
      </c>
      <c r="P19" s="110">
        <f>SUM(O19:O20)</f>
        <v>17853</v>
      </c>
    </row>
    <row r="20" spans="2:16">
      <c r="B20" s="31" t="s">
        <v>51</v>
      </c>
      <c r="C20" s="32"/>
      <c r="D20" s="33">
        <v>52.1</v>
      </c>
      <c r="F20" s="41" t="s">
        <v>52</v>
      </c>
      <c r="G20" s="42"/>
      <c r="H20" s="43"/>
      <c r="I20" s="111"/>
      <c r="J20" s="84"/>
      <c r="K20" s="102"/>
      <c r="L20" s="112"/>
      <c r="M20" s="113"/>
      <c r="N20" s="99"/>
      <c r="O20" s="100"/>
      <c r="P20" s="114"/>
    </row>
    <row r="21" spans="2:16">
      <c r="B21" s="31" t="s">
        <v>53</v>
      </c>
      <c r="C21" s="32"/>
      <c r="D21" s="33">
        <v>32.1</v>
      </c>
      <c r="F21" s="44" t="s">
        <v>54</v>
      </c>
      <c r="G21" s="45">
        <v>-58.23</v>
      </c>
      <c r="H21" s="46" t="s">
        <v>55</v>
      </c>
      <c r="I21" s="111"/>
      <c r="J21" s="88" t="s">
        <v>56</v>
      </c>
      <c r="K21" s="89"/>
      <c r="L21" s="90" t="s">
        <v>57</v>
      </c>
      <c r="M21" s="91">
        <v>150</v>
      </c>
      <c r="N21" s="92" t="s">
        <v>58</v>
      </c>
      <c r="O21" s="93">
        <f>(G26*M22^2-G27*M22+G28)-(G26*M21^2-G27*M21+G28)</f>
        <v>5379.92</v>
      </c>
      <c r="P21" s="110">
        <f>SUM(O21:O22)</f>
        <v>5379.92</v>
      </c>
    </row>
    <row r="22" spans="2:16">
      <c r="B22" s="31" t="s">
        <v>59</v>
      </c>
      <c r="C22" s="32"/>
      <c r="D22" s="33">
        <v>69.1</v>
      </c>
      <c r="F22" s="47" t="s">
        <v>60</v>
      </c>
      <c r="G22" s="48">
        <v>88.02</v>
      </c>
      <c r="H22" s="49" t="s">
        <v>61</v>
      </c>
      <c r="I22" s="111"/>
      <c r="J22" s="84"/>
      <c r="K22" s="102"/>
      <c r="L22" s="97" t="s">
        <v>62</v>
      </c>
      <c r="M22" s="98">
        <v>80</v>
      </c>
      <c r="N22" s="99"/>
      <c r="O22" s="100"/>
      <c r="P22" s="114"/>
    </row>
    <row r="23" ht="14.55" spans="2:16">
      <c r="B23" s="27" t="s">
        <v>63</v>
      </c>
      <c r="C23" s="28"/>
      <c r="D23" s="50">
        <v>21</v>
      </c>
      <c r="F23" s="44" t="s">
        <v>64</v>
      </c>
      <c r="G23" s="45">
        <v>0.0838</v>
      </c>
      <c r="H23" s="46" t="s">
        <v>65</v>
      </c>
      <c r="I23" s="111"/>
      <c r="J23" s="115"/>
      <c r="K23" s="116"/>
      <c r="L23" s="116"/>
      <c r="M23" s="117"/>
      <c r="N23" s="118" t="s">
        <v>66</v>
      </c>
      <c r="O23" s="119"/>
      <c r="P23" s="120">
        <f>SUM(P3:P22)</f>
        <v>57721.4885033525</v>
      </c>
    </row>
    <row r="24" ht="16.95" customHeight="1" spans="2:9">
      <c r="B24" s="27" t="s">
        <v>67</v>
      </c>
      <c r="C24" s="28"/>
      <c r="D24" s="50">
        <v>0.1</v>
      </c>
      <c r="F24" s="51" t="s">
        <v>68</v>
      </c>
      <c r="G24" s="52">
        <v>2.364</v>
      </c>
      <c r="H24" s="53" t="s">
        <v>69</v>
      </c>
      <c r="I24" s="111"/>
    </row>
    <row r="25" spans="2:9">
      <c r="B25" s="27" t="s">
        <v>70</v>
      </c>
      <c r="C25" s="28"/>
      <c r="D25" s="50">
        <v>11</v>
      </c>
      <c r="F25" s="47" t="s">
        <v>71</v>
      </c>
      <c r="G25" s="48">
        <v>82.844</v>
      </c>
      <c r="H25" s="49" t="s">
        <v>72</v>
      </c>
      <c r="I25" s="111"/>
    </row>
    <row r="26" ht="14.55" spans="2:9">
      <c r="B26" s="54" t="s">
        <v>26</v>
      </c>
      <c r="C26" s="55"/>
      <c r="D26" s="56">
        <v>2</v>
      </c>
      <c r="F26" s="44" t="s">
        <v>73</v>
      </c>
      <c r="G26" s="45">
        <v>0.5048</v>
      </c>
      <c r="H26" s="46" t="s">
        <v>74</v>
      </c>
      <c r="I26" s="111"/>
    </row>
    <row r="27" ht="18.15" spans="2:16">
      <c r="B27" s="57" t="s">
        <v>75</v>
      </c>
      <c r="C27" s="58"/>
      <c r="D27" s="59"/>
      <c r="F27" s="51" t="s">
        <v>76</v>
      </c>
      <c r="G27" s="52">
        <v>192.96</v>
      </c>
      <c r="H27" s="53" t="s">
        <v>77</v>
      </c>
      <c r="I27" s="111"/>
      <c r="L27" s="121"/>
      <c r="M27" s="121"/>
      <c r="N27" s="121"/>
      <c r="O27" s="121"/>
      <c r="P27" s="121"/>
    </row>
    <row r="28" ht="17.4" spans="2:16">
      <c r="B28" s="60" t="s">
        <v>78</v>
      </c>
      <c r="C28" s="61" t="s">
        <v>10</v>
      </c>
      <c r="D28" s="62">
        <v>1</v>
      </c>
      <c r="F28" s="47" t="s">
        <v>79</v>
      </c>
      <c r="G28" s="48">
        <v>18545</v>
      </c>
      <c r="H28" s="49" t="s">
        <v>80</v>
      </c>
      <c r="I28" s="111"/>
      <c r="J28" s="122" t="s">
        <v>81</v>
      </c>
      <c r="K28" s="123"/>
      <c r="L28" s="123"/>
      <c r="M28" s="123"/>
      <c r="N28" s="123"/>
      <c r="O28" s="123"/>
      <c r="P28" s="124"/>
    </row>
    <row r="29" spans="2:16">
      <c r="B29" s="63"/>
      <c r="C29" s="61" t="s">
        <v>22</v>
      </c>
      <c r="D29" s="62">
        <v>1</v>
      </c>
      <c r="F29" s="64" t="s">
        <v>82</v>
      </c>
      <c r="G29" s="65"/>
      <c r="H29" s="66"/>
      <c r="I29" s="125"/>
      <c r="J29" s="126" t="s">
        <v>83</v>
      </c>
      <c r="K29" s="127" t="s">
        <v>6</v>
      </c>
      <c r="L29" s="128"/>
      <c r="M29" s="129" t="s">
        <v>84</v>
      </c>
      <c r="N29" s="130" t="s">
        <v>85</v>
      </c>
      <c r="O29" s="131" t="s">
        <v>86</v>
      </c>
      <c r="P29" s="132"/>
    </row>
    <row r="30" spans="2:16">
      <c r="B30" s="63"/>
      <c r="C30" s="61" t="s">
        <v>87</v>
      </c>
      <c r="D30" s="62">
        <v>1</v>
      </c>
      <c r="F30" s="44" t="s">
        <v>88</v>
      </c>
      <c r="G30" s="45">
        <v>129.46</v>
      </c>
      <c r="H30" s="46" t="s">
        <v>89</v>
      </c>
      <c r="I30" s="111"/>
      <c r="J30" s="133" t="s">
        <v>78</v>
      </c>
      <c r="K30" s="134" t="s">
        <v>10</v>
      </c>
      <c r="L30" s="135"/>
      <c r="M30" s="136">
        <f>$P$3</f>
        <v>2115.1818</v>
      </c>
      <c r="N30" s="137">
        <f>$D$15*D28</f>
        <v>569.7</v>
      </c>
      <c r="O30" s="138">
        <f>M30*N30</f>
        <v>1205019.07146</v>
      </c>
      <c r="P30" s="139">
        <f>SUM(O30:O33)</f>
        <v>32883932.0003599</v>
      </c>
    </row>
    <row r="31" ht="14.55" spans="2:16">
      <c r="B31" s="67"/>
      <c r="C31" s="61" t="s">
        <v>56</v>
      </c>
      <c r="D31" s="62">
        <v>1</v>
      </c>
      <c r="F31" s="68" t="s">
        <v>90</v>
      </c>
      <c r="G31" s="69">
        <v>2.52</v>
      </c>
      <c r="H31" s="70" t="s">
        <v>91</v>
      </c>
      <c r="I31" s="111"/>
      <c r="J31" s="133"/>
      <c r="K31" s="134" t="s">
        <v>22</v>
      </c>
      <c r="L31" s="135"/>
      <c r="M31" s="136">
        <f>$P$7</f>
        <v>32373.3867033525</v>
      </c>
      <c r="N31" s="137">
        <f>$D$15*D29</f>
        <v>569.7</v>
      </c>
      <c r="O31" s="138">
        <f t="shared" ref="O31:O64" si="0">M31*N31</f>
        <v>18443118.4048999</v>
      </c>
      <c r="P31" s="140"/>
    </row>
    <row r="32" ht="14.4" spans="2:16">
      <c r="B32" s="60" t="s">
        <v>92</v>
      </c>
      <c r="C32" s="61" t="s">
        <v>10</v>
      </c>
      <c r="D32" s="71">
        <v>1</v>
      </c>
      <c r="J32" s="133"/>
      <c r="K32" s="134" t="s">
        <v>87</v>
      </c>
      <c r="L32" s="135"/>
      <c r="M32" s="136">
        <f>$P$19</f>
        <v>17853</v>
      </c>
      <c r="N32" s="137">
        <f>$D$15*D30</f>
        <v>569.7</v>
      </c>
      <c r="O32" s="138">
        <f t="shared" si="0"/>
        <v>10170854.1</v>
      </c>
      <c r="P32" s="140"/>
    </row>
    <row r="33" ht="14.4" spans="2:16">
      <c r="B33" s="63"/>
      <c r="C33" s="61" t="s">
        <v>22</v>
      </c>
      <c r="D33" s="72">
        <v>0.4826</v>
      </c>
      <c r="J33" s="133"/>
      <c r="K33" s="134" t="s">
        <v>56</v>
      </c>
      <c r="L33" s="135"/>
      <c r="M33" s="136">
        <f>$P$21</f>
        <v>5379.92</v>
      </c>
      <c r="N33" s="137">
        <f>$D$15*D31</f>
        <v>569.7</v>
      </c>
      <c r="O33" s="138">
        <f t="shared" si="0"/>
        <v>3064940.424</v>
      </c>
      <c r="P33" s="141"/>
    </row>
    <row r="34" ht="14.4" spans="2:16">
      <c r="B34" s="63"/>
      <c r="C34" s="61" t="s">
        <v>87</v>
      </c>
      <c r="D34" s="72">
        <v>0.4826</v>
      </c>
      <c r="J34" s="142" t="s">
        <v>92</v>
      </c>
      <c r="K34" s="134" t="s">
        <v>10</v>
      </c>
      <c r="L34" s="135"/>
      <c r="M34" s="136">
        <f>$P$3</f>
        <v>2115.1818</v>
      </c>
      <c r="N34" s="137">
        <f>D16</f>
        <v>1122.3</v>
      </c>
      <c r="O34" s="138">
        <f t="shared" si="0"/>
        <v>2373868.53414</v>
      </c>
      <c r="P34" s="139">
        <f>SUM(O34:O37)</f>
        <v>29576479.5726757</v>
      </c>
    </row>
    <row r="35" ht="14.4" spans="2:16">
      <c r="B35" s="67"/>
      <c r="C35" s="61" t="s">
        <v>56</v>
      </c>
      <c r="D35" s="71">
        <v>0</v>
      </c>
      <c r="J35" s="142"/>
      <c r="K35" s="134" t="s">
        <v>22</v>
      </c>
      <c r="L35" s="135"/>
      <c r="M35" s="136">
        <f>$P$7</f>
        <v>32373.3867033525</v>
      </c>
      <c r="N35" s="137">
        <f>D17</f>
        <v>541.6</v>
      </c>
      <c r="O35" s="138">
        <f t="shared" si="0"/>
        <v>17533426.2385357</v>
      </c>
      <c r="P35" s="140"/>
    </row>
    <row r="36" ht="14.4" spans="2:16">
      <c r="B36" s="60" t="s">
        <v>93</v>
      </c>
      <c r="C36" s="61" t="s">
        <v>10</v>
      </c>
      <c r="D36" s="71">
        <v>1</v>
      </c>
      <c r="J36" s="142"/>
      <c r="K36" s="134" t="s">
        <v>87</v>
      </c>
      <c r="L36" s="135"/>
      <c r="M36" s="136">
        <f>$P$19</f>
        <v>17853</v>
      </c>
      <c r="N36" s="137">
        <f>D17</f>
        <v>541.6</v>
      </c>
      <c r="O36" s="138">
        <f t="shared" si="0"/>
        <v>9669184.8</v>
      </c>
      <c r="P36" s="140"/>
    </row>
    <row r="37" ht="14.4" spans="2:16">
      <c r="B37" s="63"/>
      <c r="C37" s="61" t="s">
        <v>22</v>
      </c>
      <c r="D37" s="71">
        <v>1</v>
      </c>
      <c r="J37" s="142"/>
      <c r="K37" s="134" t="s">
        <v>56</v>
      </c>
      <c r="L37" s="135"/>
      <c r="M37" s="136">
        <f>$P$21</f>
        <v>5379.92</v>
      </c>
      <c r="N37" s="137">
        <f>$D$17*D35</f>
        <v>0</v>
      </c>
      <c r="O37" s="138">
        <f t="shared" si="0"/>
        <v>0</v>
      </c>
      <c r="P37" s="141"/>
    </row>
    <row r="38" ht="14.4" spans="2:16">
      <c r="B38" s="63"/>
      <c r="C38" s="61" t="s">
        <v>87</v>
      </c>
      <c r="D38" s="71">
        <v>1</v>
      </c>
      <c r="J38" s="142" t="s">
        <v>93</v>
      </c>
      <c r="K38" s="134" t="s">
        <v>10</v>
      </c>
      <c r="L38" s="135"/>
      <c r="M38" s="136">
        <f>$P$3</f>
        <v>2115.1818</v>
      </c>
      <c r="N38" s="143">
        <f>D19</f>
        <v>713.3</v>
      </c>
      <c r="O38" s="138">
        <f t="shared" si="0"/>
        <v>1508759.17794</v>
      </c>
      <c r="P38" s="139">
        <f>SUM(O38:O41)</f>
        <v>41172737.7494413</v>
      </c>
    </row>
    <row r="39" ht="14.4" spans="2:16">
      <c r="B39" s="67"/>
      <c r="C39" s="61" t="s">
        <v>56</v>
      </c>
      <c r="D39" s="71">
        <v>1</v>
      </c>
      <c r="F39" s="73" t="s">
        <v>94</v>
      </c>
      <c r="J39" s="142"/>
      <c r="K39" s="134" t="s">
        <v>22</v>
      </c>
      <c r="L39" s="135"/>
      <c r="M39" s="136">
        <f>$P$7</f>
        <v>32373.3867033525</v>
      </c>
      <c r="N39" s="143">
        <f>D19</f>
        <v>713.3</v>
      </c>
      <c r="O39" s="138">
        <f t="shared" si="0"/>
        <v>23091936.7355013</v>
      </c>
      <c r="P39" s="140"/>
    </row>
    <row r="40" ht="14.4" spans="2:16">
      <c r="B40" s="60" t="s">
        <v>95</v>
      </c>
      <c r="C40" s="61" t="s">
        <v>10</v>
      </c>
      <c r="D40" s="72">
        <v>0.168</v>
      </c>
      <c r="J40" s="142"/>
      <c r="K40" s="134" t="s">
        <v>87</v>
      </c>
      <c r="L40" s="135"/>
      <c r="M40" s="136">
        <f>$P$19</f>
        <v>17853</v>
      </c>
      <c r="N40" s="143">
        <f>D19</f>
        <v>713.3</v>
      </c>
      <c r="O40" s="138">
        <f t="shared" si="0"/>
        <v>12734544.9</v>
      </c>
      <c r="P40" s="140"/>
    </row>
    <row r="41" ht="14.4" spans="2:16">
      <c r="B41" s="63"/>
      <c r="C41" s="61" t="s">
        <v>22</v>
      </c>
      <c r="D41" s="72">
        <v>0.353</v>
      </c>
      <c r="J41" s="142"/>
      <c r="K41" s="134" t="s">
        <v>56</v>
      </c>
      <c r="L41" s="135"/>
      <c r="M41" s="136">
        <f>$P$21</f>
        <v>5379.92</v>
      </c>
      <c r="N41" s="143">
        <f>D19</f>
        <v>713.3</v>
      </c>
      <c r="O41" s="138">
        <f t="shared" si="0"/>
        <v>3837496.936</v>
      </c>
      <c r="P41" s="141"/>
    </row>
    <row r="42" ht="14.4" spans="2:16">
      <c r="B42" s="63"/>
      <c r="C42" s="61" t="s">
        <v>87</v>
      </c>
      <c r="D42" s="72">
        <v>0.353</v>
      </c>
      <c r="J42" s="142" t="s">
        <v>96</v>
      </c>
      <c r="K42" s="134" t="s">
        <v>10</v>
      </c>
      <c r="L42" s="135"/>
      <c r="M42" s="136">
        <f>$P$3</f>
        <v>2115.1818</v>
      </c>
      <c r="N42" s="143">
        <f>D18*D40</f>
        <v>292.2192</v>
      </c>
      <c r="O42" s="138">
        <f t="shared" si="0"/>
        <v>618096.73345056</v>
      </c>
      <c r="P42" s="139">
        <f>SUM(O42:O45)</f>
        <v>33478801.9208479</v>
      </c>
    </row>
    <row r="43" ht="14.4" spans="2:16">
      <c r="B43" s="67"/>
      <c r="C43" s="61" t="s">
        <v>56</v>
      </c>
      <c r="D43" s="72">
        <v>0.216</v>
      </c>
      <c r="J43" s="142"/>
      <c r="K43" s="134" t="s">
        <v>22</v>
      </c>
      <c r="L43" s="135"/>
      <c r="M43" s="136">
        <f>$P$7</f>
        <v>32373.3867033525</v>
      </c>
      <c r="N43" s="143">
        <f>D18*D41</f>
        <v>614.0082</v>
      </c>
      <c r="O43" s="138">
        <f t="shared" si="0"/>
        <v>19877524.8976294</v>
      </c>
      <c r="P43" s="140"/>
    </row>
    <row r="44" ht="14.4" spans="2:16">
      <c r="B44" s="60" t="s">
        <v>97</v>
      </c>
      <c r="C44" s="74" t="s">
        <v>10</v>
      </c>
      <c r="D44" s="75">
        <v>0</v>
      </c>
      <c r="J44" s="142"/>
      <c r="K44" s="134" t="s">
        <v>87</v>
      </c>
      <c r="L44" s="135"/>
      <c r="M44" s="136">
        <f>$P$19</f>
        <v>17853</v>
      </c>
      <c r="N44" s="143">
        <f>D18*D42</f>
        <v>614.0082</v>
      </c>
      <c r="O44" s="138">
        <f t="shared" si="0"/>
        <v>10961888.3946</v>
      </c>
      <c r="P44" s="140"/>
    </row>
    <row r="45" ht="14.4" spans="2:16">
      <c r="B45" s="63"/>
      <c r="C45" s="74" t="s">
        <v>22</v>
      </c>
      <c r="D45" s="75">
        <v>1</v>
      </c>
      <c r="J45" s="142"/>
      <c r="K45" s="134" t="s">
        <v>56</v>
      </c>
      <c r="L45" s="135"/>
      <c r="M45" s="136">
        <f>$P$21</f>
        <v>5379.92</v>
      </c>
      <c r="N45" s="143">
        <f>D18*D43</f>
        <v>375.7104</v>
      </c>
      <c r="O45" s="138">
        <f t="shared" si="0"/>
        <v>2021291.895168</v>
      </c>
      <c r="P45" s="141"/>
    </row>
    <row r="46" ht="14.4" spans="2:16">
      <c r="B46" s="63"/>
      <c r="C46" s="74" t="s">
        <v>87</v>
      </c>
      <c r="D46" s="75">
        <v>0</v>
      </c>
      <c r="J46" s="133" t="s">
        <v>97</v>
      </c>
      <c r="K46" s="144" t="s">
        <v>10</v>
      </c>
      <c r="L46" s="145"/>
      <c r="M46" s="136">
        <f>$P$3</f>
        <v>2115.1818</v>
      </c>
      <c r="N46" s="143">
        <v>0</v>
      </c>
      <c r="O46" s="138">
        <f t="shared" si="0"/>
        <v>0</v>
      </c>
      <c r="P46" s="139">
        <f>SUM(O46:O52)</f>
        <v>63347093.6217266</v>
      </c>
    </row>
    <row r="47" spans="2:16">
      <c r="B47" s="67"/>
      <c r="C47" s="74" t="s">
        <v>56</v>
      </c>
      <c r="D47" s="76">
        <v>0</v>
      </c>
      <c r="J47" s="133"/>
      <c r="K47" s="146" t="s">
        <v>22</v>
      </c>
      <c r="L47" s="147" t="s">
        <v>98</v>
      </c>
      <c r="M47" s="136">
        <f>O7</f>
        <v>4249.36073059361</v>
      </c>
      <c r="N47" s="143">
        <f>D26*(G30+G31*D3)</f>
        <v>1770.92</v>
      </c>
      <c r="O47" s="138">
        <f t="shared" si="0"/>
        <v>7525277.90502283</v>
      </c>
      <c r="P47" s="140"/>
    </row>
    <row r="48" spans="2:16">
      <c r="B48" s="60" t="s">
        <v>99</v>
      </c>
      <c r="C48" s="74" t="s">
        <v>10</v>
      </c>
      <c r="D48" s="76">
        <v>0</v>
      </c>
      <c r="J48" s="133"/>
      <c r="K48" s="148"/>
      <c r="L48" s="149" t="s">
        <v>100</v>
      </c>
      <c r="M48" s="136">
        <f>O11</f>
        <v>4249.36073059361</v>
      </c>
      <c r="N48" s="143">
        <f>D26*(G30+G31*E3)</f>
        <v>1770.92</v>
      </c>
      <c r="O48" s="138">
        <f t="shared" si="0"/>
        <v>7525277.90502283</v>
      </c>
      <c r="P48" s="140"/>
    </row>
    <row r="49" spans="2:16">
      <c r="B49" s="63"/>
      <c r="C49" s="74" t="s">
        <v>22</v>
      </c>
      <c r="D49" s="76">
        <v>0</v>
      </c>
      <c r="J49" s="133"/>
      <c r="K49" s="148"/>
      <c r="L49" s="147" t="s">
        <v>101</v>
      </c>
      <c r="M49" s="136">
        <f>O15</f>
        <v>18605.1282051282</v>
      </c>
      <c r="N49" s="143">
        <f>D26*(G30+G31*F3)</f>
        <v>2022.92</v>
      </c>
      <c r="O49" s="138">
        <f t="shared" si="0"/>
        <v>37636685.948718</v>
      </c>
      <c r="P49" s="140"/>
    </row>
    <row r="50" spans="2:16">
      <c r="B50" s="63"/>
      <c r="C50" s="74" t="s">
        <v>87</v>
      </c>
      <c r="D50" s="76">
        <v>1</v>
      </c>
      <c r="J50" s="133"/>
      <c r="K50" s="150"/>
      <c r="L50" s="147" t="s">
        <v>102</v>
      </c>
      <c r="M50" s="136">
        <f>O17</f>
        <v>5269.53703703704</v>
      </c>
      <c r="N50" s="143">
        <f>D26*(G30+G31*G3)</f>
        <v>2022.92</v>
      </c>
      <c r="O50" s="138">
        <f t="shared" si="0"/>
        <v>10659851.862963</v>
      </c>
      <c r="P50" s="140"/>
    </row>
    <row r="51" spans="2:16">
      <c r="B51" s="67"/>
      <c r="C51" s="74" t="s">
        <v>56</v>
      </c>
      <c r="D51" s="76">
        <v>0</v>
      </c>
      <c r="J51" s="133"/>
      <c r="K51" s="144" t="s">
        <v>87</v>
      </c>
      <c r="L51" s="145"/>
      <c r="M51" s="136">
        <f>$P$19</f>
        <v>17853</v>
      </c>
      <c r="N51" s="143">
        <v>0</v>
      </c>
      <c r="O51" s="138">
        <f t="shared" si="0"/>
        <v>0</v>
      </c>
      <c r="P51" s="140"/>
    </row>
    <row r="52" spans="2:16">
      <c r="B52" s="60" t="s">
        <v>103</v>
      </c>
      <c r="C52" s="74" t="s">
        <v>10</v>
      </c>
      <c r="D52" s="76">
        <v>1</v>
      </c>
      <c r="J52" s="133"/>
      <c r="K52" s="144" t="s">
        <v>56</v>
      </c>
      <c r="L52" s="145"/>
      <c r="M52" s="136">
        <f>$P$21</f>
        <v>5379.92</v>
      </c>
      <c r="N52" s="143">
        <v>0</v>
      </c>
      <c r="O52" s="138">
        <f t="shared" si="0"/>
        <v>0</v>
      </c>
      <c r="P52" s="141"/>
    </row>
    <row r="53" spans="2:16">
      <c r="B53" s="63"/>
      <c r="C53" s="74" t="s">
        <v>22</v>
      </c>
      <c r="D53" s="76">
        <v>1</v>
      </c>
      <c r="J53" s="133" t="s">
        <v>99</v>
      </c>
      <c r="K53" s="134" t="s">
        <v>10</v>
      </c>
      <c r="L53" s="135"/>
      <c r="M53" s="136">
        <f>$P$3</f>
        <v>2115.1818</v>
      </c>
      <c r="N53" s="143">
        <v>0</v>
      </c>
      <c r="O53" s="138">
        <f t="shared" si="0"/>
        <v>0</v>
      </c>
      <c r="P53" s="139">
        <f>SUM(O53:O56)</f>
        <v>930141.3</v>
      </c>
    </row>
    <row r="54" spans="2:16">
      <c r="B54" s="63"/>
      <c r="C54" s="74" t="s">
        <v>87</v>
      </c>
      <c r="D54" s="76">
        <v>1</v>
      </c>
      <c r="J54" s="133"/>
      <c r="K54" s="134" t="s">
        <v>22</v>
      </c>
      <c r="L54" s="135"/>
      <c r="M54" s="136">
        <f>$P$7</f>
        <v>32373.3867033525</v>
      </c>
      <c r="N54" s="143">
        <v>0</v>
      </c>
      <c r="O54" s="138">
        <f t="shared" si="0"/>
        <v>0</v>
      </c>
      <c r="P54" s="140"/>
    </row>
    <row r="55" spans="2:16">
      <c r="B55" s="67"/>
      <c r="C55" s="74" t="s">
        <v>56</v>
      </c>
      <c r="D55" s="76">
        <v>0</v>
      </c>
      <c r="J55" s="133"/>
      <c r="K55" s="134" t="s">
        <v>87</v>
      </c>
      <c r="L55" s="135"/>
      <c r="M55" s="136">
        <f>$P$19</f>
        <v>17853</v>
      </c>
      <c r="N55" s="143">
        <f>D20</f>
        <v>52.1</v>
      </c>
      <c r="O55" s="138">
        <f t="shared" si="0"/>
        <v>930141.3</v>
      </c>
      <c r="P55" s="140"/>
    </row>
    <row r="56" spans="2:16">
      <c r="B56" s="60" t="s">
        <v>104</v>
      </c>
      <c r="C56" s="74" t="s">
        <v>10</v>
      </c>
      <c r="D56" s="76">
        <v>0</v>
      </c>
      <c r="J56" s="133"/>
      <c r="K56" s="134" t="s">
        <v>56</v>
      </c>
      <c r="L56" s="135"/>
      <c r="M56" s="136">
        <f>$P$21</f>
        <v>5379.92</v>
      </c>
      <c r="N56" s="143">
        <v>0</v>
      </c>
      <c r="O56" s="138">
        <f t="shared" si="0"/>
        <v>0</v>
      </c>
      <c r="P56" s="141"/>
    </row>
    <row r="57" spans="2:16">
      <c r="B57" s="63"/>
      <c r="C57" s="74" t="s">
        <v>22</v>
      </c>
      <c r="D57" s="76">
        <v>1</v>
      </c>
      <c r="J57" s="133" t="s">
        <v>103</v>
      </c>
      <c r="K57" s="134" t="s">
        <v>10</v>
      </c>
      <c r="L57" s="135"/>
      <c r="M57" s="136">
        <f>$P$3</f>
        <v>2115.1818</v>
      </c>
      <c r="N57" s="143">
        <f>D21</f>
        <v>32.1</v>
      </c>
      <c r="O57" s="138">
        <f t="shared" si="0"/>
        <v>67897.33578</v>
      </c>
      <c r="P57" s="139">
        <f>SUM(O57:O60)</f>
        <v>1680164.34895761</v>
      </c>
    </row>
    <row r="58" spans="2:16">
      <c r="B58" s="63"/>
      <c r="C58" s="74" t="s">
        <v>87</v>
      </c>
      <c r="D58" s="76">
        <v>1</v>
      </c>
      <c r="J58" s="133"/>
      <c r="K58" s="134" t="s">
        <v>22</v>
      </c>
      <c r="L58" s="135"/>
      <c r="M58" s="136">
        <f>$P$7</f>
        <v>32373.3867033525</v>
      </c>
      <c r="N58" s="143">
        <f>D21</f>
        <v>32.1</v>
      </c>
      <c r="O58" s="138">
        <f t="shared" si="0"/>
        <v>1039185.71317761</v>
      </c>
      <c r="P58" s="140"/>
    </row>
    <row r="59" ht="14.55" spans="2:16">
      <c r="B59" s="67"/>
      <c r="C59" s="77" t="s">
        <v>56</v>
      </c>
      <c r="D59" s="78">
        <v>0</v>
      </c>
      <c r="J59" s="133"/>
      <c r="K59" s="134" t="s">
        <v>87</v>
      </c>
      <c r="L59" s="135"/>
      <c r="M59" s="136">
        <f>$P$19</f>
        <v>17853</v>
      </c>
      <c r="N59" s="151">
        <f>D21</f>
        <v>32.1</v>
      </c>
      <c r="O59" s="138">
        <f t="shared" si="0"/>
        <v>573081.3</v>
      </c>
      <c r="P59" s="140"/>
    </row>
    <row r="60" spans="10:16">
      <c r="J60" s="133"/>
      <c r="K60" s="134" t="s">
        <v>56</v>
      </c>
      <c r="L60" s="135"/>
      <c r="M60" s="136">
        <f>$P$21</f>
        <v>5379.92</v>
      </c>
      <c r="N60" s="143">
        <v>0</v>
      </c>
      <c r="O60" s="138">
        <f t="shared" si="0"/>
        <v>0</v>
      </c>
      <c r="P60" s="141"/>
    </row>
    <row r="61" spans="10:16">
      <c r="J61" s="133" t="s">
        <v>104</v>
      </c>
      <c r="K61" s="134" t="s">
        <v>10</v>
      </c>
      <c r="L61" s="135"/>
      <c r="M61" s="136">
        <f>$P$3</f>
        <v>2115.1818</v>
      </c>
      <c r="N61" s="151">
        <v>0</v>
      </c>
      <c r="O61" s="138">
        <f t="shared" si="0"/>
        <v>0</v>
      </c>
      <c r="P61" s="139">
        <f>SUM(O61:O64)</f>
        <v>3470643.32120165</v>
      </c>
    </row>
    <row r="62" spans="10:16">
      <c r="J62" s="133"/>
      <c r="K62" s="134" t="s">
        <v>22</v>
      </c>
      <c r="L62" s="135"/>
      <c r="M62" s="136">
        <f>$P$7</f>
        <v>32373.3867033525</v>
      </c>
      <c r="N62" s="151">
        <f>D22</f>
        <v>69.1</v>
      </c>
      <c r="O62" s="138">
        <f t="shared" si="0"/>
        <v>2237001.02120165</v>
      </c>
      <c r="P62" s="140"/>
    </row>
    <row r="63" spans="10:16">
      <c r="J63" s="133"/>
      <c r="K63" s="134" t="s">
        <v>87</v>
      </c>
      <c r="L63" s="135"/>
      <c r="M63" s="136">
        <f>$P$19</f>
        <v>17853</v>
      </c>
      <c r="N63" s="151">
        <f>D22</f>
        <v>69.1</v>
      </c>
      <c r="O63" s="138">
        <f t="shared" si="0"/>
        <v>1233642.3</v>
      </c>
      <c r="P63" s="140"/>
    </row>
    <row r="64" spans="10:16">
      <c r="J64" s="133"/>
      <c r="K64" s="134" t="s">
        <v>56</v>
      </c>
      <c r="L64" s="135"/>
      <c r="M64" s="136">
        <f>$P$21</f>
        <v>5379.92</v>
      </c>
      <c r="N64" s="151">
        <v>0</v>
      </c>
      <c r="O64" s="138">
        <f t="shared" si="0"/>
        <v>0</v>
      </c>
      <c r="P64" s="141"/>
    </row>
    <row r="65" spans="10:16">
      <c r="J65" s="152"/>
      <c r="K65" s="37"/>
      <c r="L65" s="37"/>
      <c r="M65" s="37"/>
      <c r="N65" s="37"/>
      <c r="O65" s="37"/>
      <c r="P65" s="153"/>
    </row>
    <row r="66" ht="14.55" spans="10:16">
      <c r="J66" s="154"/>
      <c r="K66" s="119"/>
      <c r="L66" s="119"/>
      <c r="M66" s="119"/>
      <c r="N66" s="119" t="s">
        <v>105</v>
      </c>
      <c r="O66" s="119"/>
      <c r="P66" s="155">
        <f>SUM(P30:P64)</f>
        <v>206539993.835211</v>
      </c>
    </row>
  </sheetData>
  <mergeCells count="110">
    <mergeCell ref="B1:G1"/>
    <mergeCell ref="J1:P1"/>
    <mergeCell ref="B2:C2"/>
    <mergeCell ref="J2:K2"/>
    <mergeCell ref="L2:M2"/>
    <mergeCell ref="N2:P2"/>
    <mergeCell ref="B3:C3"/>
    <mergeCell ref="B4:C4"/>
    <mergeCell ref="B5:C5"/>
    <mergeCell ref="B6:C6"/>
    <mergeCell ref="B7:C7"/>
    <mergeCell ref="D7:G7"/>
    <mergeCell ref="B8:C8"/>
    <mergeCell ref="D8:G8"/>
    <mergeCell ref="B9:C9"/>
    <mergeCell ref="D9:G9"/>
    <mergeCell ref="B10:C10"/>
    <mergeCell ref="D10:G10"/>
    <mergeCell ref="B13:D13"/>
    <mergeCell ref="F13:G13"/>
    <mergeCell ref="F19:H19"/>
    <mergeCell ref="F20:H20"/>
    <mergeCell ref="J23:M23"/>
    <mergeCell ref="L27:P27"/>
    <mergeCell ref="J28:P28"/>
    <mergeCell ref="F29:H29"/>
    <mergeCell ref="K29:L29"/>
    <mergeCell ref="O29:P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46:L46"/>
    <mergeCell ref="K51:L51"/>
    <mergeCell ref="K52:L52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64:L64"/>
    <mergeCell ref="B28:B31"/>
    <mergeCell ref="B32:B35"/>
    <mergeCell ref="B36:B39"/>
    <mergeCell ref="B40:B43"/>
    <mergeCell ref="B44:B47"/>
    <mergeCell ref="B48:B51"/>
    <mergeCell ref="B52:B55"/>
    <mergeCell ref="B56:B59"/>
    <mergeCell ref="J30:J33"/>
    <mergeCell ref="J34:J37"/>
    <mergeCell ref="J38:J41"/>
    <mergeCell ref="J42:J45"/>
    <mergeCell ref="J46:J52"/>
    <mergeCell ref="J53:J56"/>
    <mergeCell ref="J57:J60"/>
    <mergeCell ref="J61:J64"/>
    <mergeCell ref="K47:K50"/>
    <mergeCell ref="L19:L20"/>
    <mergeCell ref="M19:M20"/>
    <mergeCell ref="N3:N4"/>
    <mergeCell ref="N5:N6"/>
    <mergeCell ref="N7:N10"/>
    <mergeCell ref="N11:N14"/>
    <mergeCell ref="N15:N16"/>
    <mergeCell ref="N17:N18"/>
    <mergeCell ref="N19:N20"/>
    <mergeCell ref="N21:N22"/>
    <mergeCell ref="O3:O4"/>
    <mergeCell ref="O5:O6"/>
    <mergeCell ref="O7:O10"/>
    <mergeCell ref="O11:O14"/>
    <mergeCell ref="O15:O16"/>
    <mergeCell ref="O17:O18"/>
    <mergeCell ref="O19:O20"/>
    <mergeCell ref="O21:O22"/>
    <mergeCell ref="P3:P6"/>
    <mergeCell ref="P7:P18"/>
    <mergeCell ref="P19:P20"/>
    <mergeCell ref="P21:P22"/>
    <mergeCell ref="P30:P33"/>
    <mergeCell ref="P34:P37"/>
    <mergeCell ref="P38:P41"/>
    <mergeCell ref="P42:P45"/>
    <mergeCell ref="P46:P52"/>
    <mergeCell ref="P53:P56"/>
    <mergeCell ref="P57:P60"/>
    <mergeCell ref="P61:P64"/>
    <mergeCell ref="J7:K18"/>
    <mergeCell ref="J3:K6"/>
    <mergeCell ref="J21:K22"/>
    <mergeCell ref="J19:K2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能耗模型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Junjie</dc:creator>
  <cp:lastModifiedBy>林俊杰</cp:lastModifiedBy>
  <dcterms:created xsi:type="dcterms:W3CDTF">2022-03-20T08:32:00Z</dcterms:created>
  <cp:lastPrinted>2022-03-20T11:43:00Z</cp:lastPrinted>
  <dcterms:modified xsi:type="dcterms:W3CDTF">2023-01-11T10:36:57Z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711DF6959E73497CA84529834D067454</vt:lpwstr>
  </property>
  <property fmtid="{D5CDD505-2E9C-101B-9397-08002B2CF9AE}" pid="3" name="KSOProductBuildVer">
    <vt:lpwstr>2052-11.1.0.13703</vt:lpwstr>
  </property>
  <property fmtid="{D5CDD505-2E9C-101B-9397-08002B2CF9AE}" pid="4" name="commondata">
    <vt:lpwstr>eyJoZGlkIjoiYjJjOTQxYzhjODMyMDAzZmE0MDJkMWFkNmJlNDkwYTUifQ==</vt:lpwstr>
  </property>
</Properties>
</file>