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3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bile Friendly" sheetId="1" r:id="rId4"/>
    <sheet state="visible" name="Scores" sheetId="2" r:id="rId5"/>
    <sheet state="visible" name="Brkt Status" sheetId="3" r:id="rId6"/>
    <sheet state="visible" name="Fun Stats" sheetId="4" r:id="rId7"/>
    <sheet state="visible" name="Master" sheetId="5" r:id="rId8"/>
    <sheet state="hidden" name="Pocket_schedule" sheetId="6" r:id="rId9"/>
    <sheet state="hidden" name="z_Source" sheetId="7" r:id="rId10"/>
    <sheet state="hidden" name="z_source_brackets" sheetId="8" r:id="rId11"/>
  </sheets>
  <definedNames>
    <definedName hidden="1" localSheetId="1" name="_xlnm._FilterDatabase">Scores!$A$1:$J$86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2">
      <text>
        <t xml:space="preserve">order: Wins↓, Goal Diff↓, Goals Against↑; within same Division and Bracket</t>
      </text>
    </comment>
    <comment authorId="0" ref="F2">
      <text>
        <t xml:space="preserve">order: Wins↓, Goal Diff↓, Goals Against↑; within same Division</t>
      </text>
    </comment>
  </commentList>
</comments>
</file>

<file path=xl/sharedStrings.xml><?xml version="1.0" encoding="utf-8"?>
<sst xmlns="http://schemas.openxmlformats.org/spreadsheetml/2006/main" count="950" uniqueCount="156">
  <si>
    <t xml:space="preserve"> </t>
  </si>
  <si>
    <t>Updated</t>
  </si>
  <si>
    <t>FRIDAY - OCT 3</t>
  </si>
  <si>
    <t>Game</t>
  </si>
  <si>
    <t>Pool</t>
  </si>
  <si>
    <t>Div</t>
  </si>
  <si>
    <t>Time</t>
  </si>
  <si>
    <t>Dark vs Light</t>
  </si>
  <si>
    <t>Winner</t>
  </si>
  <si>
    <t>SATURDAY - OCT 4</t>
  </si>
  <si>
    <t>SUNDAY - OCT 5</t>
  </si>
  <si>
    <t>GM</t>
  </si>
  <si>
    <t>Day</t>
  </si>
  <si>
    <t>Dark caps</t>
  </si>
  <si>
    <t>Dk Score</t>
  </si>
  <si>
    <t>Light caps</t>
  </si>
  <si>
    <t>Lt Score</t>
  </si>
  <si>
    <t>18u Boys</t>
  </si>
  <si>
    <t>Fri</t>
  </si>
  <si>
    <t>Seminole</t>
  </si>
  <si>
    <t>Patriots</t>
  </si>
  <si>
    <t>18u Girls</t>
  </si>
  <si>
    <t>Team Orlando</t>
  </si>
  <si>
    <t>16u Boys</t>
  </si>
  <si>
    <t>SJ Cariba</t>
  </si>
  <si>
    <t>Orl. Thunder</t>
  </si>
  <si>
    <t>14u CoEd</t>
  </si>
  <si>
    <t>Mens Open</t>
  </si>
  <si>
    <t>TO Black</t>
  </si>
  <si>
    <t>TO Blue</t>
  </si>
  <si>
    <t>Cayman Islands</t>
  </si>
  <si>
    <t>12u CoEd</t>
  </si>
  <si>
    <t>Sat</t>
  </si>
  <si>
    <t>NextLevel</t>
  </si>
  <si>
    <t>Sarasota</t>
  </si>
  <si>
    <t>Gladiators</t>
  </si>
  <si>
    <t>Barcelona</t>
  </si>
  <si>
    <t>Tampa</t>
  </si>
  <si>
    <t>Orl. United</t>
  </si>
  <si>
    <t>BREAK</t>
  </si>
  <si>
    <t>BREAK_</t>
  </si>
  <si>
    <t>Sun</t>
  </si>
  <si>
    <t>16u Girls</t>
  </si>
  <si>
    <t>Wins / Brackets / Goals</t>
  </si>
  <si>
    <t>Division</t>
  </si>
  <si>
    <t>Bracket</t>
  </si>
  <si>
    <t>Team Name</t>
  </si>
  <si>
    <t>Wins</t>
  </si>
  <si>
    <t>Brk Rank</t>
  </si>
  <si>
    <t>Div Rank</t>
  </si>
  <si>
    <t>Goals For</t>
  </si>
  <si>
    <t>Goal Against</t>
  </si>
  <si>
    <t>Goal Diff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</si>
  <si>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</si>
  <si>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</si>
  <si>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</si>
  <si>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</si>
  <si>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</si>
  <si>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</si>
  <si>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</si>
  <si>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</si>
  <si>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</si>
  <si>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</si>
  <si>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...just some overall numbers from the tournament.</t>
  </si>
  <si>
    <t xml:space="preserve">Don't take any of them too seriously. </t>
  </si>
  <si>
    <t>Dark Pts</t>
  </si>
  <si>
    <t>Light Pts</t>
  </si>
  <si>
    <t>Total</t>
  </si>
  <si>
    <t>No. Games</t>
  </si>
  <si>
    <t>Avg per Game</t>
  </si>
  <si>
    <t>Club</t>
  </si>
  <si>
    <t>Pool 1 - Main Pool - Scoreboard</t>
  </si>
  <si>
    <t>Pool 2 - Main Pool - Mid Building</t>
  </si>
  <si>
    <t>Dark Caps</t>
  </si>
  <si>
    <t>Light Caps</t>
  </si>
  <si>
    <t>Pool 3 - Dive Well</t>
  </si>
  <si>
    <t>Pocket Schedule</t>
  </si>
  <si>
    <t>Team List</t>
  </si>
  <si>
    <t>Team:</t>
  </si>
  <si>
    <t>🥇 FINAL</t>
  </si>
  <si>
    <t>Updated:</t>
  </si>
  <si>
    <t>GAME</t>
  </si>
  <si>
    <t>Semi / Playoffs / Finals</t>
  </si>
  <si>
    <t>3A</t>
  </si>
  <si>
    <t>3B</t>
  </si>
  <si>
    <t>Semi Final 1A</t>
  </si>
  <si>
    <t>2B</t>
  </si>
  <si>
    <t>Semi Final 1B</t>
  </si>
  <si>
    <t>2A</t>
  </si>
  <si>
    <t>4B</t>
  </si>
  <si>
    <t>3H</t>
  </si>
  <si>
    <t>4H</t>
  </si>
  <si>
    <t>3C</t>
  </si>
  <si>
    <t>3D</t>
  </si>
  <si>
    <t>Semi Final 1H</t>
  </si>
  <si>
    <t>2I</t>
  </si>
  <si>
    <t>Semi Final 1C</t>
  </si>
  <si>
    <t>2D</t>
  </si>
  <si>
    <t>Semi Final 1I</t>
  </si>
  <si>
    <t>2H</t>
  </si>
  <si>
    <t>3I</t>
  </si>
  <si>
    <t>Semi Final 1D</t>
  </si>
  <si>
    <t>2C</t>
  </si>
  <si>
    <t>4D</t>
  </si>
  <si>
    <t>3rd Place</t>
  </si>
  <si>
    <t>Loss in games 48/51</t>
  </si>
  <si>
    <t>FINAL</t>
  </si>
  <si>
    <t>Winners in games 58/61</t>
  </si>
  <si>
    <t>Winners in games 48/51</t>
  </si>
  <si>
    <t>Loss in games 58/61</t>
  </si>
  <si>
    <t>Loss in games 60/63</t>
  </si>
  <si>
    <t>Winners in games 60/63</t>
  </si>
  <si>
    <t>TeamName</t>
  </si>
  <si>
    <t>12U CoEd</t>
  </si>
  <si>
    <t>13U CoEd</t>
  </si>
  <si>
    <t>14U CoEd</t>
  </si>
  <si>
    <t>M Open</t>
  </si>
  <si>
    <t>15U Boys</t>
  </si>
  <si>
    <t>`--</t>
  </si>
  <si>
    <t>16U Boys</t>
  </si>
  <si>
    <t>NL Cayman Islands</t>
  </si>
  <si>
    <t>16U Girls</t>
  </si>
  <si>
    <t>Thunder</t>
  </si>
  <si>
    <t>18U Boys</t>
  </si>
  <si>
    <t>Orlando United</t>
  </si>
  <si>
    <t>18U Girls</t>
  </si>
  <si>
    <t>W Open</t>
  </si>
  <si>
    <t>K</t>
  </si>
  <si>
    <t>L</t>
  </si>
  <si>
    <t>M</t>
  </si>
  <si>
    <t>N</t>
  </si>
  <si>
    <t>O</t>
  </si>
  <si>
    <t>P</t>
  </si>
  <si>
    <t>Q</t>
  </si>
  <si>
    <t>Delayed</t>
  </si>
  <si>
    <t>R</t>
  </si>
  <si>
    <t>Break</t>
  </si>
  <si>
    <t>S</t>
  </si>
  <si>
    <t>Canceled</t>
  </si>
  <si>
    <t>T</t>
  </si>
  <si>
    <t>Forefit</t>
  </si>
  <si>
    <t>U</t>
  </si>
  <si>
    <t>V</t>
  </si>
  <si>
    <t>W</t>
  </si>
  <si>
    <t>X</t>
  </si>
  <si>
    <t>Y</t>
  </si>
  <si>
    <t>Z</t>
  </si>
  <si>
    <t>12U coed</t>
  </si>
  <si>
    <t>Team</t>
  </si>
  <si>
    <t>San Juan Cariba</t>
  </si>
  <si>
    <t>Orlando Thunder</t>
  </si>
  <si>
    <t>Satasota</t>
  </si>
  <si>
    <t>Next Level</t>
  </si>
  <si>
    <t>14U coed</t>
  </si>
  <si>
    <t>18 Boys</t>
  </si>
  <si>
    <t>Men Open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</si>
</sst>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m&quot;/&quot;d&quot; - &quot;h&quot;:&quot;m&quot; &quot;am/pm"/>
    <numFmt numFmtId="165" formatCode="h:mm am/pm"/>
    <numFmt numFmtId="166" formatCode="#,##0.0"/>
    <numFmt numFmtId="167" formatCode="dddd, mmm d, yyyy"/>
    <numFmt numFmtId="168" formatCode="dddd, mmmm d, yyyy"/>
    <numFmt numFmtId="169" formatCode="mm/dd/yyyy"/>
    <numFmt numFmtId="170" formatCode="h&quot;:&quot;mm&quot; &quot;am/pm"/>
  </numFmts>
  <fonts count="44">
    <font>
      <sz val="12.0"/>
      <color theme="1"/>
      <name val="Aptos Narrow"/>
      <scheme val="minor"/>
    </font>
    <font>
      <b/>
      <sz val="19.0"/>
      <color theme="1"/>
      <name val="Roboto"/>
    </font>
    <font>
      <b/>
      <sz val="6.0"/>
      <color rgb="FFB7B7B7"/>
      <name val="Roboto"/>
    </font>
    <font>
      <b/>
      <sz val="7.0"/>
      <color rgb="FFCCCCCC"/>
      <name val="Roboto"/>
    </font>
    <font>
      <b/>
      <sz val="13.0"/>
      <color theme="1"/>
      <name val="Roboto"/>
    </font>
    <font/>
    <font>
      <b/>
      <sz val="9.0"/>
      <color theme="1"/>
      <name val="Roboto"/>
    </font>
    <font>
      <sz val="9.0"/>
      <color theme="1"/>
      <name val="Roboto"/>
    </font>
    <font>
      <sz val="9.0"/>
      <color rgb="FF666666"/>
      <name val="Roboto"/>
    </font>
    <font>
      <b/>
      <sz val="9.0"/>
      <color theme="1"/>
      <name val="Arial"/>
    </font>
    <font>
      <b/>
      <sz val="9.0"/>
      <color theme="1"/>
      <name val="Aptos Narrow"/>
      <scheme val="minor"/>
    </font>
    <font>
      <b/>
      <sz val="11.0"/>
      <color rgb="FFFFFFFF"/>
      <name val="Roboto"/>
    </font>
    <font>
      <b/>
      <sz val="10.0"/>
      <color rgb="FF000000"/>
      <name val="Roboto"/>
    </font>
    <font>
      <sz val="10.0"/>
      <color rgb="FF000000"/>
      <name val="Roboto"/>
    </font>
    <font>
      <b/>
      <sz val="15.0"/>
      <color theme="1"/>
      <name val="Roboto"/>
    </font>
    <font>
      <b/>
      <sz val="10.0"/>
      <color theme="1"/>
      <name val="Roboto"/>
    </font>
    <font>
      <sz val="10.0"/>
      <color theme="1"/>
      <name val="Roboto"/>
    </font>
    <font>
      <sz val="10.0"/>
      <color theme="1"/>
      <name val="Arial"/>
    </font>
    <font>
      <sz val="10.0"/>
      <color theme="1"/>
      <name val="Aptos Narrow"/>
      <scheme val="minor"/>
    </font>
    <font>
      <i/>
      <sz val="10.0"/>
      <color theme="1"/>
      <name val="Roboto"/>
    </font>
    <font>
      <b/>
      <sz val="12.0"/>
      <color theme="1"/>
      <name val="Roboto"/>
    </font>
    <font>
      <b/>
      <sz val="10.0"/>
      <color theme="1"/>
      <name val="Aptos Narrow"/>
      <scheme val="minor"/>
    </font>
    <font>
      <sz val="7.0"/>
      <color theme="1"/>
      <name val="Roboto"/>
    </font>
    <font>
      <sz val="12.0"/>
      <color theme="1"/>
      <name val="Roboto"/>
    </font>
    <font>
      <b/>
      <sz val="20.0"/>
      <color theme="1"/>
      <name val="Roboto"/>
    </font>
    <font>
      <b/>
      <sz val="14.0"/>
      <color theme="1"/>
      <name val="Roboto"/>
    </font>
    <font>
      <b/>
      <sz val="12.0"/>
      <color rgb="FF000000"/>
      <name val="Roboto"/>
    </font>
    <font>
      <sz val="12.0"/>
      <color rgb="FFCCCCCC"/>
      <name val="Roboto"/>
    </font>
    <font>
      <sz val="10.0"/>
      <color rgb="FF000000"/>
      <name val="Calibri"/>
    </font>
    <font>
      <b/>
      <sz val="16.0"/>
      <color theme="1"/>
      <name val="Roboto"/>
    </font>
    <font>
      <b/>
      <sz val="7.0"/>
      <color theme="1"/>
      <name val="Arial"/>
    </font>
    <font>
      <sz val="13.0"/>
      <color theme="1"/>
      <name val="Roboto"/>
    </font>
    <font>
      <color theme="1"/>
      <name val="Roboto"/>
    </font>
    <font>
      <sz val="7.0"/>
      <color rgb="FFB7B7B7"/>
      <name val="Aptos Narrow"/>
      <scheme val="minor"/>
    </font>
    <font>
      <b/>
      <color theme="1"/>
      <name val="Roboto"/>
    </font>
    <font>
      <color theme="1"/>
      <name val="Aptos Narrow"/>
      <scheme val="minor"/>
    </font>
    <font>
      <color theme="1"/>
      <name val="Arial"/>
    </font>
    <font>
      <b/>
      <color theme="1"/>
      <name val="Arial"/>
    </font>
    <font>
      <color rgb="FF000000"/>
      <name val="Arial"/>
    </font>
    <font>
      <color rgb="FF000000"/>
      <name val="Aptos Narrow"/>
      <scheme val="minor"/>
    </font>
    <font>
      <sz val="11.0"/>
      <color theme="1"/>
      <name val="Aptos Narrow"/>
      <scheme val="minor"/>
    </font>
    <font>
      <sz val="11.0"/>
      <color rgb="FF000000"/>
      <name val="Calibri"/>
    </font>
    <font>
      <sz val="11.0"/>
      <color theme="1"/>
      <name val="Calibri"/>
    </font>
    <font>
      <sz val="12.0"/>
      <color theme="1"/>
      <name val="Aptos Narrow"/>
    </font>
  </fonts>
  <fills count="27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EAD1DC"/>
        <bgColor rgb="FFEAD1D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D9D9D9"/>
      </patternFill>
    </fill>
    <fill>
      <patternFill patternType="solid">
        <fgColor rgb="FFEFEFEF"/>
        <bgColor rgb="FFEFEFEF"/>
      </patternFill>
    </fill>
    <fill>
      <patternFill patternType="solid">
        <fgColor rgb="FFCDD9D4"/>
        <bgColor rgb="FFCDD9D4"/>
      </patternFill>
    </fill>
    <fill>
      <patternFill patternType="solid">
        <fgColor theme="1"/>
        <bgColor theme="1"/>
      </patternFill>
    </fill>
    <fill>
      <patternFill patternType="solid">
        <fgColor rgb="FFD0D0D0"/>
        <bgColor rgb="FFD0D0D0"/>
      </patternFill>
    </fill>
    <fill>
      <patternFill patternType="solid">
        <fgColor rgb="FFE8E8E8"/>
        <bgColor rgb="FFE8E8E8"/>
      </patternFill>
    </fill>
    <fill>
      <patternFill patternType="solid">
        <fgColor rgb="FFFFFFFF"/>
        <bgColor rgb="FFFFFFFF"/>
      </patternFill>
    </fill>
    <fill>
      <patternFill patternType="solid">
        <fgColor rgb="FFF6F8F9"/>
        <bgColor rgb="FFF6F8F9"/>
      </patternFill>
    </fill>
    <fill>
      <patternFill patternType="solid">
        <fgColor theme="0"/>
        <bgColor theme="0"/>
      </patternFill>
    </fill>
    <fill>
      <patternFill patternType="solid">
        <fgColor rgb="FF9FC5E8"/>
        <bgColor rgb="FF9FC5E8"/>
      </patternFill>
    </fill>
    <fill>
      <patternFill patternType="solid">
        <fgColor rgb="FFCCCCCC"/>
        <bgColor rgb="FFCCCCCC"/>
      </patternFill>
    </fill>
    <fill>
      <patternFill patternType="solid">
        <fgColor rgb="FFFFD966"/>
        <bgColor rgb="FFFFD966"/>
      </patternFill>
    </fill>
    <fill>
      <patternFill patternType="solid">
        <fgColor rgb="FFF1C232"/>
        <bgColor rgb="FFF1C232"/>
      </patternFill>
    </fill>
    <fill>
      <patternFill patternType="solid">
        <fgColor rgb="FFDDEBF7"/>
        <bgColor rgb="FFDDEBF7"/>
      </patternFill>
    </fill>
    <fill>
      <patternFill patternType="solid">
        <fgColor rgb="FFFCE4D6"/>
        <bgColor rgb="FFFCE4D6"/>
      </patternFill>
    </fill>
    <fill>
      <patternFill patternType="solid">
        <fgColor rgb="FFF2E2E8"/>
        <bgColor rgb="FFF2E2E8"/>
      </patternFill>
    </fill>
    <fill>
      <patternFill patternType="solid">
        <fgColor rgb="FFE2EFDA"/>
        <bgColor rgb="FFE2EFDA"/>
      </patternFill>
    </fill>
    <fill>
      <patternFill patternType="solid">
        <fgColor rgb="FFFFF2CC"/>
        <bgColor rgb="FFFFF2CC"/>
      </patternFill>
    </fill>
    <fill>
      <patternFill patternType="solid">
        <fgColor rgb="FFE7E6E6"/>
        <bgColor rgb="FFE7E6E6"/>
      </patternFill>
    </fill>
    <fill>
      <patternFill patternType="solid">
        <fgColor rgb="FF8EA9DB"/>
        <bgColor rgb="FF8EA9DB"/>
      </patternFill>
    </fill>
  </fills>
  <borders count="229">
    <border/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</border>
    <border>
      <left style="thick">
        <color rgb="FF000000"/>
      </left>
    </border>
    <border>
      <left style="thick">
        <color rgb="FFA64D79"/>
      </left>
      <top style="thick">
        <color rgb="FFA64D79"/>
      </top>
    </border>
    <border>
      <top style="thick">
        <color rgb="FFA64D79"/>
      </top>
    </border>
    <border>
      <right style="thick">
        <color rgb="FFA64D79"/>
      </right>
      <top style="thick">
        <color rgb="FFA64D79"/>
      </top>
    </border>
    <border>
      <left style="thick">
        <color rgb="FFA64D79"/>
      </left>
    </border>
    <border>
      <right style="thick">
        <color rgb="FFA64D79"/>
      </right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ck">
        <color rgb="FFA64D79"/>
      </left>
      <bottom style="thick">
        <color rgb="FFA64D79"/>
      </bottom>
    </border>
    <border>
      <bottom style="thick">
        <color rgb="FFA64D79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ck">
        <color rgb="FFA64D79"/>
      </bottom>
    </border>
    <border>
      <right style="thick">
        <color rgb="FFA64D79"/>
      </right>
      <bottom style="thick">
        <color rgb="FFA64D79"/>
      </bottom>
    </border>
    <border>
      <left style="thick">
        <color rgb="FF8EAADB"/>
      </left>
      <top style="thick">
        <color rgb="FF8EAADB"/>
      </top>
    </border>
    <border>
      <top style="thick">
        <color rgb="FF8EAADB"/>
      </top>
    </border>
    <border>
      <right style="thick">
        <color rgb="FF8EAADB"/>
      </right>
      <top style="thick">
        <color rgb="FF8EAADB"/>
      </top>
    </border>
    <border>
      <left style="thick">
        <color rgb="FF8EAADB"/>
      </left>
    </border>
    <border>
      <right style="thick">
        <color rgb="FF8EAADB"/>
      </right>
    </border>
    <border>
      <left style="thin">
        <color rgb="FFCCCCCC"/>
      </left>
      <right style="thin">
        <color rgb="FFCCCCCC"/>
      </right>
      <top style="thin">
        <color rgb="FFCCCCCC"/>
      </top>
    </border>
    <border>
      <left style="thick">
        <color rgb="FF8EAADB"/>
      </left>
      <bottom style="thick">
        <color rgb="FF8EAADB"/>
      </bottom>
    </border>
    <border>
      <bottom style="thick">
        <color rgb="FF8EAADB"/>
      </bottom>
    </border>
    <border>
      <right style="thick">
        <color rgb="FF8EAADB"/>
      </right>
      <bottom style="thick">
        <color rgb="FF8EAADB"/>
      </bottom>
    </border>
    <border>
      <left style="thick">
        <color rgb="FFFFD08A"/>
      </left>
      <top style="thick">
        <color rgb="FFFFD08A"/>
      </top>
    </border>
    <border>
      <top style="thick">
        <color rgb="FFFFD08A"/>
      </top>
    </border>
    <border>
      <right style="thick">
        <color rgb="FFFFD08A"/>
      </right>
      <top style="thick">
        <color rgb="FFFFD08A"/>
      </top>
    </border>
    <border>
      <left style="thick">
        <color rgb="FFFFD08A"/>
      </left>
    </border>
    <border>
      <right style="thick">
        <color rgb="FFFFD08A"/>
      </right>
    </border>
    <border>
      <left style="thin">
        <color rgb="FFCCCCCC"/>
      </left>
      <top style="thin">
        <color rgb="FFCCCCCC"/>
      </top>
      <bottom style="thin">
        <color rgb="FFCCCCCC"/>
      </bottom>
    </border>
    <border>
      <left style="thick">
        <color rgb="FFFFD08A"/>
      </left>
      <bottom style="thick">
        <color rgb="FFFFD08A"/>
      </bottom>
    </border>
    <border>
      <bottom style="thick">
        <color rgb="FFFFD08A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ck">
        <color rgb="FFFFD08A"/>
      </bottom>
    </border>
    <border>
      <right style="thick">
        <color rgb="FFFFD08A"/>
      </right>
      <bottom style="thick">
        <color rgb="FFFFD08A"/>
      </bottom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156082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ck">
        <color rgb="FFA64D79"/>
      </left>
      <right style="thin">
        <color rgb="FFEAD1DC"/>
      </right>
      <top style="thick">
        <color rgb="FFA64D79"/>
      </top>
      <bottom style="thin">
        <color rgb="FFFFFFFF"/>
      </bottom>
    </border>
    <border>
      <left style="thin">
        <color rgb="FFCCCCCC"/>
      </left>
      <right style="thin">
        <color rgb="FFCCCCCC"/>
      </right>
      <top style="thick">
        <color rgb="FFA64D79"/>
      </top>
      <bottom style="thin">
        <color rgb="FFCCCCCC"/>
      </bottom>
    </border>
    <border>
      <left style="thin">
        <color rgb="FFFFFFFF"/>
      </left>
      <right style="thin">
        <color rgb="FFFFFFFF"/>
      </right>
      <top style="thick">
        <color rgb="FFA64D79"/>
      </top>
      <bottom style="thin">
        <color rgb="FFFFFFFF"/>
      </bottom>
    </border>
    <border>
      <left style="thin">
        <color rgb="FFD9D9D9"/>
      </left>
      <right style="thin">
        <color rgb="FFD9D9D9"/>
      </right>
      <top style="thick">
        <color rgb="FFA64D79"/>
      </top>
      <bottom style="thin">
        <color rgb="FFD9D9D9"/>
      </bottom>
    </border>
    <border>
      <left style="thin">
        <color rgb="FFEFEFEF"/>
      </left>
      <right style="thin">
        <color rgb="FFEFEFEF"/>
      </right>
      <top style="thick">
        <color rgb="FFA64D79"/>
      </top>
      <bottom style="hair">
        <color rgb="FF000000"/>
      </bottom>
    </border>
    <border>
      <left style="medium">
        <color rgb="FF434343"/>
      </left>
      <right style="thick">
        <color rgb="FFA64D79"/>
      </right>
      <top style="thick">
        <color rgb="FFA64D79"/>
      </top>
      <bottom style="medium">
        <color rgb="FF434343"/>
      </bottom>
    </border>
    <border>
      <left style="thick">
        <color rgb="FFA64D79"/>
      </left>
      <right style="thin">
        <color rgb="FFEAD1DC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hair">
        <color rgb="FF000000"/>
      </bottom>
    </border>
    <border>
      <left style="medium">
        <color rgb="FF434343"/>
      </left>
      <right style="thick">
        <color rgb="FFA64D79"/>
      </right>
      <top style="medium">
        <color rgb="FF434343"/>
      </top>
      <bottom style="medium">
        <color rgb="FF434343"/>
      </bottom>
    </border>
    <border>
      <left style="thick">
        <color rgb="FFA64D79"/>
      </left>
      <right style="thin">
        <color rgb="FFEAD1DC"/>
      </right>
      <top style="thin">
        <color rgb="FFFFFFFF"/>
      </top>
      <bottom style="thin">
        <color rgb="FFFFFFFF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ck">
        <color rgb="FFA64D79"/>
      </left>
      <right style="thin">
        <color rgb="FFEAD1DC"/>
      </right>
      <top style="thin">
        <color rgb="FFFFFFFF"/>
      </top>
      <bottom style="thin">
        <color rgb="FFEAD1DC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DEEAF6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medium">
        <color rgb="FF434343"/>
      </left>
      <right style="thick">
        <color rgb="FFA64D79"/>
      </right>
      <top style="medium">
        <color rgb="FF434343"/>
      </top>
      <bottom style="thin">
        <color rgb="FFD4EDBC"/>
      </bottom>
    </border>
    <border>
      <left style="thick">
        <color rgb="FF156082"/>
      </left>
      <right style="thin">
        <color rgb="FFC9DAF8"/>
      </right>
      <top style="thick">
        <color rgb="FF156082"/>
      </top>
      <bottom style="thin">
        <color rgb="FFF6F8F9"/>
      </bottom>
    </border>
    <border>
      <left style="thin">
        <color rgb="FFCCCCCC"/>
      </left>
      <right style="thin">
        <color rgb="FFCCCCCC"/>
      </right>
      <top style="thick">
        <color rgb="FF156082"/>
      </top>
      <bottom style="thin">
        <color rgb="FFCCCCCC"/>
      </bottom>
    </border>
    <border>
      <left style="thin">
        <color rgb="FFF6F8F9"/>
      </left>
      <right style="thin">
        <color rgb="FFFFFFFF"/>
      </right>
      <top style="thick">
        <color rgb="FF156082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ck">
        <color rgb="FF156082"/>
      </top>
      <bottom style="thin">
        <color rgb="FFFFFFFF"/>
      </bottom>
    </border>
    <border>
      <left style="thin">
        <color rgb="FFF6F8F9"/>
      </left>
      <right style="thin">
        <color rgb="FFF6F8F9"/>
      </right>
      <top style="thick">
        <color rgb="FF156082"/>
      </top>
      <bottom style="thin">
        <color rgb="FFF6F8F9"/>
      </bottom>
    </border>
    <border>
      <left style="thin">
        <color rgb="FFEFEFEF"/>
      </left>
      <right style="thin">
        <color rgb="FFEFEFEF"/>
      </right>
      <top style="thick">
        <color rgb="FF156082"/>
      </top>
      <bottom style="hair">
        <color rgb="FF000000"/>
      </bottom>
    </border>
    <border>
      <left style="medium">
        <color rgb="FF434343"/>
      </left>
      <right style="thick">
        <color rgb="FF156082"/>
      </right>
      <top style="thick">
        <color rgb="FF156082"/>
      </top>
      <bottom style="medium">
        <color rgb="FF434343"/>
      </bottom>
    </border>
    <border>
      <left style="thick">
        <color rgb="FF156082"/>
      </left>
      <right style="thin">
        <color rgb="FFC9DAF8"/>
      </right>
      <top style="thin">
        <color rgb="FFFFFFFF"/>
      </top>
      <bottom style="thin">
        <color rgb="FFFFFFFF"/>
      </bottom>
    </border>
    <border>
      <left style="medium">
        <color rgb="FF434343"/>
      </left>
      <right style="thick">
        <color rgb="FF156082"/>
      </right>
      <top style="medium">
        <color rgb="FF434343"/>
      </top>
      <bottom style="medium">
        <color rgb="FF434343"/>
      </bottom>
    </border>
    <border>
      <left style="thick">
        <color rgb="FF156082"/>
      </left>
      <right style="thin">
        <color rgb="FFC9DAF8"/>
      </right>
      <top style="thin">
        <color rgb="FFF6F8F9"/>
      </top>
      <bottom style="thin">
        <color rgb="FFF6F8F9"/>
      </bottom>
    </border>
    <border>
      <left style="thin">
        <color rgb="FFFFFFF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ck">
        <color rgb="FF156082"/>
      </left>
      <right style="thin">
        <color rgb="FFC9DAF8"/>
      </right>
      <top style="thin">
        <color rgb="FFFFFFFF"/>
      </top>
      <bottom style="thin">
        <color rgb="FFC9DAF8"/>
      </bottom>
    </border>
    <border>
      <left style="thin">
        <color rgb="FFFFFFFF"/>
      </left>
      <right style="thin">
        <color rgb="FFF6F8F9"/>
      </right>
      <top style="thin">
        <color rgb="FFF6F8F9"/>
      </top>
      <bottom style="thin">
        <color rgb="FFFFFFFF"/>
      </bottom>
    </border>
    <border>
      <left style="medium">
        <color rgb="FF434343"/>
      </left>
      <right style="thick">
        <color rgb="FF156082"/>
      </right>
      <top style="medium">
        <color rgb="FF434343"/>
      </top>
      <bottom style="thin">
        <color rgb="FFD4EDBC"/>
      </bottom>
    </border>
    <border>
      <left style="thick">
        <color rgb="FFE97132"/>
      </left>
      <right style="thin">
        <color rgb="FFFCE5CD"/>
      </right>
      <top style="thick">
        <color rgb="FFE97132"/>
      </top>
      <bottom style="thin">
        <color rgb="FFF6F8F9"/>
      </bottom>
    </border>
    <border>
      <left style="thin">
        <color rgb="FFCCCCCC"/>
      </left>
      <right style="thin">
        <color rgb="FFCCCCCC"/>
      </right>
      <top style="thick">
        <color rgb="FFE97132"/>
      </top>
      <bottom style="thin">
        <color rgb="FFCCCCCC"/>
      </bottom>
    </border>
    <border>
      <left style="thin">
        <color rgb="FFF6F8F9"/>
      </left>
      <right style="thin">
        <color rgb="FFF6F8F9"/>
      </right>
      <top style="thick">
        <color rgb="FFE97132"/>
      </top>
      <bottom style="thin">
        <color rgb="FFF6F8F9"/>
      </bottom>
    </border>
    <border>
      <left style="thin">
        <color rgb="FFFFFFFF"/>
      </left>
      <right style="thin">
        <color rgb="FFFFFFFF"/>
      </right>
      <top style="thick">
        <color rgb="FFE97132"/>
      </top>
      <bottom style="thin">
        <color rgb="FFFFFFFF"/>
      </bottom>
    </border>
    <border>
      <left style="thin">
        <color rgb="FFEFEFEF"/>
      </left>
      <right style="thin">
        <color rgb="FFEFEFEF"/>
      </right>
      <top style="thick">
        <color rgb="FFE97132"/>
      </top>
      <bottom style="hair">
        <color rgb="FF000000"/>
      </bottom>
    </border>
    <border>
      <left style="medium">
        <color rgb="FF434343"/>
      </left>
      <right style="thick">
        <color rgb="FFE97132"/>
      </right>
      <top style="thick">
        <color rgb="FFE97132"/>
      </top>
      <bottom style="medium">
        <color rgb="FF434343"/>
      </bottom>
    </border>
    <border>
      <left style="thick">
        <color rgb="FFE97132"/>
      </left>
      <right style="thin">
        <color rgb="FFFCE5CD"/>
      </right>
      <top style="thin">
        <color rgb="FFFFFFFF"/>
      </top>
      <bottom style="thin">
        <color rgb="FFFFFFFF"/>
      </bottom>
    </border>
    <border>
      <left style="medium">
        <color rgb="FF434343"/>
      </left>
      <right style="thick">
        <color rgb="FFE97132"/>
      </right>
      <top style="medium">
        <color rgb="FF434343"/>
      </top>
      <bottom style="medium">
        <color rgb="FF434343"/>
      </bottom>
    </border>
    <border>
      <left style="thick">
        <color rgb="FFE97132"/>
      </left>
      <right style="thin">
        <color rgb="FFFCE5CD"/>
      </right>
      <top style="thin">
        <color rgb="FFF6F8F9"/>
      </top>
      <bottom style="thin">
        <color rgb="FFF6F8F9"/>
      </bottom>
    </border>
    <border>
      <left style="thick">
        <color rgb="FFE97132"/>
      </left>
      <right style="thin">
        <color rgb="FFFCE5CD"/>
      </right>
      <top style="thin">
        <color rgb="FFF6F8F9"/>
      </top>
      <bottom style="thick">
        <color rgb="FFE97132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ck">
        <color rgb="FFE97132"/>
      </bottom>
    </border>
    <border>
      <left style="thin">
        <color rgb="FFFFFFFF"/>
      </left>
      <right style="thin">
        <color rgb="FFF6F8F9"/>
      </right>
      <top style="thin">
        <color rgb="FFF6F8F9"/>
      </top>
      <bottom style="thick">
        <color rgb="FFE97132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ck">
        <color rgb="FFE97132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ck">
        <color rgb="FFE97132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thick">
        <color rgb="FFE97132"/>
      </bottom>
    </border>
    <border>
      <left style="medium">
        <color rgb="FF434343"/>
      </left>
      <right style="thick">
        <color rgb="FFE97132"/>
      </right>
      <top style="medium">
        <color rgb="FF434343"/>
      </top>
      <bottom style="thick">
        <color rgb="FFE97132"/>
      </bottom>
    </border>
    <border>
      <left style="thin">
        <color rgb="FFCCCCCC"/>
      </left>
      <right style="thin">
        <color rgb="FFDEEAF6"/>
      </right>
      <top style="thin">
        <color rgb="FFCCCCCC"/>
      </top>
      <bottom style="thin">
        <color rgb="FFCCCCCC"/>
      </bottom>
    </border>
    <border>
      <left style="medium">
        <color rgb="FF8CB6FF"/>
      </left>
      <right style="thin">
        <color rgb="FFFFFFFF"/>
      </right>
      <top style="medium">
        <color rgb="FF8CB6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medium">
        <color rgb="FF8CB6FF"/>
      </top>
      <bottom style="thin">
        <color rgb="FFFFFFFF"/>
      </bottom>
    </border>
    <border>
      <left style="thin">
        <color rgb="FFFFFF00"/>
      </left>
      <right style="thin">
        <color rgb="FFFFFF00"/>
      </right>
      <top style="medium">
        <color rgb="FF8CB6FF"/>
      </top>
      <bottom style="thin">
        <color rgb="FFFFFF00"/>
      </bottom>
    </border>
    <border>
      <left style="thin">
        <color rgb="FFCCCCCC"/>
      </left>
      <right style="thin">
        <color rgb="FFCCCCCC"/>
      </right>
      <top style="medium">
        <color rgb="FF8CB6FF"/>
      </top>
      <bottom style="thin">
        <color rgb="FFCCCCCC"/>
      </bottom>
    </border>
    <border>
      <left style="thin">
        <color rgb="FFFFFFFF"/>
      </left>
      <right style="medium">
        <color rgb="FF8CB6FF"/>
      </right>
      <top style="medium">
        <color rgb="FF8CB6FF"/>
      </top>
      <bottom style="thin">
        <color rgb="FFFFFFFF"/>
      </bottom>
    </border>
    <border>
      <left style="medium">
        <color rgb="FF8CB6F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medium">
        <color rgb="FF8CB6FF"/>
      </right>
      <top style="thin">
        <color rgb="FFF6F8F9"/>
      </top>
      <bottom style="thin">
        <color rgb="FFF6F8F9"/>
      </bottom>
    </border>
    <border>
      <left style="medium">
        <color rgb="FF8CB6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6B26B"/>
      </left>
      <right style="thin">
        <color rgb="FFF6B26B"/>
      </right>
      <top style="thin">
        <color rgb="FFF6B26B"/>
      </top>
      <bottom style="thin">
        <color rgb="FFF6B26B"/>
      </bottom>
    </border>
    <border>
      <left style="thin">
        <color rgb="FFFFFFFF"/>
      </left>
      <right style="medium">
        <color rgb="FF8CB6FF"/>
      </right>
      <top style="thin">
        <color rgb="FFFFFFFF"/>
      </top>
      <bottom style="thin">
        <color rgb="FFFFFFFF"/>
      </bottom>
    </border>
    <border>
      <left style="medium">
        <color rgb="FF8CB6FF"/>
      </left>
      <right style="thin">
        <color rgb="FFF6F8F9"/>
      </right>
      <top style="thick">
        <color rgb="FF8CB6FF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ck">
        <color rgb="FF8CB6FF"/>
      </top>
      <bottom style="thin">
        <color rgb="FFF6F8F9"/>
      </bottom>
    </border>
    <border>
      <left style="thin">
        <color rgb="FFF6B26B"/>
      </left>
      <right style="thin">
        <color rgb="FFF6B26B"/>
      </right>
      <top style="thick">
        <color rgb="FF8CB6FF"/>
      </top>
      <bottom style="thin">
        <color rgb="FFF6B26B"/>
      </bottom>
    </border>
    <border>
      <left style="thin">
        <color rgb="FFF6F8F9"/>
      </left>
      <right style="medium">
        <color rgb="FF8CB6FF"/>
      </right>
      <top style="thick">
        <color rgb="FF8CB6FF"/>
      </top>
      <bottom style="thin">
        <color rgb="FFF6F8F9"/>
      </bottom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</border>
    <border>
      <left style="thin">
        <color rgb="FFCCCCCC"/>
      </left>
      <right style="thin">
        <color rgb="FFFCE3D6"/>
      </right>
      <top style="thin">
        <color rgb="FFCCCCCC"/>
      </top>
      <bottom style="thin">
        <color rgb="FFCCCCCC"/>
      </bottom>
    </border>
    <border>
      <left style="medium">
        <color rgb="FFF6B26B"/>
      </left>
      <right style="thin">
        <color rgb="FFF6F8F9"/>
      </right>
      <top style="medium">
        <color rgb="FFF6B26B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medium">
        <color rgb="FFF6B26B"/>
      </top>
      <bottom style="thin">
        <color rgb="FFF6F8F9"/>
      </bottom>
    </border>
    <border>
      <left style="thin">
        <color rgb="FFFFFF00"/>
      </left>
      <right style="thin">
        <color rgb="FFFFFF00"/>
      </right>
      <top style="medium">
        <color rgb="FFF6B26B"/>
      </top>
      <bottom style="thin">
        <color rgb="FFFFFF00"/>
      </bottom>
    </border>
    <border>
      <left style="thin">
        <color rgb="FFF6F8F9"/>
      </left>
      <right style="medium">
        <color rgb="FFF6B26B"/>
      </right>
      <top style="medium">
        <color rgb="FFF6B26B"/>
      </top>
      <bottom style="thin">
        <color rgb="FFF6F8F9"/>
      </bottom>
    </border>
    <border>
      <left style="medium">
        <color rgb="FFF6B26B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medium">
        <color rgb="FFF6B26B"/>
      </right>
      <top style="thin">
        <color rgb="FFFFFFFF"/>
      </top>
      <bottom style="thin">
        <color rgb="FFFFFFFF"/>
      </bottom>
    </border>
    <border>
      <left style="medium">
        <color rgb="FFF6B26B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medium">
        <color rgb="FFF6B26B"/>
      </right>
      <top style="thin">
        <color rgb="FFF6F8F9"/>
      </top>
      <bottom style="thin">
        <color rgb="FFF6F8F9"/>
      </bottom>
    </border>
    <border>
      <left style="medium">
        <color rgb="FFF6B26B"/>
      </left>
      <right style="thin">
        <color rgb="FFF6F8F9"/>
      </right>
      <top style="thick">
        <color rgb="FFF6B26B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ck">
        <color rgb="FFF6B26B"/>
      </top>
      <bottom style="thin">
        <color rgb="FFF6F8F9"/>
      </bottom>
    </border>
    <border>
      <left style="thin">
        <color rgb="FFCCCCCC"/>
      </left>
      <right style="thin">
        <color rgb="FFCCCCCC"/>
      </right>
      <top style="thick">
        <color rgb="FFF6B26B"/>
      </top>
      <bottom style="thin">
        <color rgb="FFCCCCCC"/>
      </bottom>
    </border>
    <border>
      <left style="thin">
        <color rgb="FFF6B26B"/>
      </left>
      <right style="thin">
        <color rgb="FFF6B26B"/>
      </right>
      <top style="thick">
        <color rgb="FFF6B26B"/>
      </top>
      <bottom style="thin">
        <color rgb="FFF6B26B"/>
      </bottom>
    </border>
    <border>
      <left style="thin">
        <color rgb="FFF6F8F9"/>
      </left>
      <right style="medium">
        <color rgb="FFF6B26B"/>
      </right>
      <top style="thick">
        <color rgb="FFF6B26B"/>
      </top>
      <bottom style="thin">
        <color rgb="FFF6F8F9"/>
      </bottom>
    </border>
    <border>
      <left style="thin">
        <color rgb="FFCCCCCC"/>
      </left>
      <right style="thin">
        <color rgb="FFF1E2E8"/>
      </right>
      <top style="thin">
        <color rgb="FFCCCCCC"/>
      </top>
      <bottom style="thin">
        <color rgb="FFCCCCCC"/>
      </bottom>
    </border>
    <border>
      <left style="medium">
        <color rgb="FFE06666"/>
      </left>
      <right style="thin">
        <color rgb="FFFFFFFF"/>
      </right>
      <top style="medium">
        <color rgb="FFE06666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medium">
        <color rgb="FFE06666"/>
      </top>
      <bottom style="thin">
        <color rgb="FFFFFFFF"/>
      </bottom>
    </border>
    <border>
      <left style="thin">
        <color rgb="FFFFFF00"/>
      </left>
      <right style="thin">
        <color rgb="FFFFFF00"/>
      </right>
      <top style="medium">
        <color rgb="FFE06666"/>
      </top>
      <bottom style="thin">
        <color rgb="FFFFFF00"/>
      </bottom>
    </border>
    <border>
      <left style="thin">
        <color rgb="FFFFFFFF"/>
      </left>
      <right style="medium">
        <color rgb="FFE06666"/>
      </right>
      <top style="medium">
        <color rgb="FFE06666"/>
      </top>
      <bottom style="thin">
        <color rgb="FFFFFFFF"/>
      </bottom>
    </border>
    <border>
      <left style="medium">
        <color rgb="FFE06666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medium">
        <color rgb="FFE06666"/>
      </right>
      <top style="thin">
        <color rgb="FFF6F8F9"/>
      </top>
      <bottom style="thin">
        <color rgb="FFF6F8F9"/>
      </bottom>
    </border>
    <border>
      <left style="thin">
        <color rgb="FFCCCCCC"/>
      </left>
      <right style="thin">
        <color rgb="FFE1F0DA"/>
      </right>
      <top style="thin">
        <color rgb="FFCCCCCC"/>
      </top>
      <bottom style="thin">
        <color rgb="FFCCCCCC"/>
      </bottom>
    </border>
    <border>
      <left style="medium">
        <color rgb="FF93C47D"/>
      </left>
      <right style="thin">
        <color rgb="FFFFFFFF"/>
      </right>
      <top style="medium">
        <color rgb="FF93C47D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medium">
        <color rgb="FF93C47D"/>
      </top>
      <bottom style="thin">
        <color rgb="FFFFFFFF"/>
      </bottom>
    </border>
    <border>
      <left style="thin">
        <color rgb="FFFFFFFF"/>
      </left>
      <right style="medium">
        <color rgb="FF93C47D"/>
      </right>
      <top style="medium">
        <color rgb="FF93C47D"/>
      </top>
      <bottom style="thin">
        <color rgb="FFFFFFFF"/>
      </bottom>
    </border>
    <border>
      <left style="medium">
        <color rgb="FF93C47D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medium">
        <color rgb="FF93C47D"/>
      </right>
      <top style="thin">
        <color rgb="FFF6F8F9"/>
      </top>
      <bottom style="thin">
        <color rgb="FFF6F8F9"/>
      </bottom>
    </border>
    <border>
      <left style="medium">
        <color rgb="FF93C47D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medium">
        <color rgb="FF93C47D"/>
      </right>
      <top style="thin">
        <color rgb="FFFFFFFF"/>
      </top>
      <bottom style="thin">
        <color rgb="FFFFFFFF"/>
      </bottom>
    </border>
    <border>
      <left style="thin">
        <color rgb="FFCCCCCC"/>
      </left>
      <right style="thin">
        <color rgb="FFFFF3CC"/>
      </right>
      <top style="thin">
        <color rgb="FFCCCCCC"/>
      </top>
      <bottom style="thin">
        <color rgb="FFCCCCCC"/>
      </bottom>
    </border>
    <border>
      <left style="medium">
        <color rgb="FFF1C232"/>
      </left>
      <right style="thin">
        <color rgb="FFF6F8F9"/>
      </right>
      <top style="medium">
        <color rgb="FFF1C232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medium">
        <color rgb="FFF1C232"/>
      </top>
      <bottom style="thin">
        <color rgb="FFF6F8F9"/>
      </bottom>
    </border>
    <border>
      <left style="thin">
        <color rgb="FFCCCCCC"/>
      </left>
      <right style="thin">
        <color rgb="FFCCCCCC"/>
      </right>
      <top style="medium">
        <color rgb="FFF1C232"/>
      </top>
      <bottom style="thin">
        <color rgb="FFCCCCCC"/>
      </bottom>
    </border>
    <border>
      <left style="thin">
        <color rgb="FFF6F8F9"/>
      </left>
      <right style="medium">
        <color rgb="FFF1C232"/>
      </right>
      <top style="medium">
        <color rgb="FFF1C232"/>
      </top>
      <bottom style="thin">
        <color rgb="FFF6F8F9"/>
      </bottom>
    </border>
    <border>
      <left style="medium">
        <color rgb="FFF1C232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medium">
        <color rgb="FFF1C232"/>
      </right>
      <top style="thin">
        <color rgb="FFFFFFFF"/>
      </top>
      <bottom style="thin">
        <color rgb="FFFFFFFF"/>
      </bottom>
    </border>
    <border>
      <left style="medium">
        <color rgb="FFF1C232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medium">
        <color rgb="FFF1C232"/>
      </right>
      <top style="thin">
        <color rgb="FFF6F8F9"/>
      </top>
      <bottom style="thin">
        <color rgb="FFF6F8F9"/>
      </bottom>
    </border>
    <border>
      <left style="thin">
        <color rgb="FFCCCCCC"/>
      </left>
      <right style="thin">
        <color rgb="FFE8E5E6"/>
      </right>
      <top style="thin">
        <color rgb="FFCCCCCC"/>
      </top>
      <bottom style="thin">
        <color rgb="FFCCCCCC"/>
      </bottom>
    </border>
    <border>
      <left style="medium">
        <color rgb="FFB7B7B7"/>
      </left>
      <right style="thin">
        <color rgb="FFF6F8F9"/>
      </right>
      <top style="medium">
        <color rgb="FFB7B7B7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medium">
        <color rgb="FFB7B7B7"/>
      </top>
      <bottom style="thin">
        <color rgb="FFF6F8F9"/>
      </bottom>
    </border>
    <border>
      <left style="thin">
        <color rgb="FFFFFF00"/>
      </left>
      <right style="thin">
        <color rgb="FFFFFF00"/>
      </right>
      <top style="medium">
        <color rgb="FFB7B7B7"/>
      </top>
      <bottom style="thin">
        <color rgb="FFFFFF00"/>
      </bottom>
    </border>
    <border>
      <left style="thin">
        <color rgb="FFF6F8F9"/>
      </left>
      <right style="medium">
        <color rgb="FFB7B7B7"/>
      </right>
      <top style="medium">
        <color rgb="FFB7B7B7"/>
      </top>
      <bottom style="thin">
        <color rgb="FFF6F8F9"/>
      </bottom>
    </border>
    <border>
      <left style="medium">
        <color rgb="FFB7B7B7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medium">
        <color rgb="FFB7B7B7"/>
      </right>
      <top style="thin">
        <color rgb="FFFFFFFF"/>
      </top>
      <bottom style="thin">
        <color rgb="FFFFFFFF"/>
      </bottom>
    </border>
    <border>
      <left style="medium">
        <color rgb="FFB7B7B7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medium">
        <color rgb="FFB7B7B7"/>
      </right>
      <top style="thin">
        <color rgb="FFF6F8F9"/>
      </top>
      <bottom style="thin">
        <color rgb="FFF6F8F9"/>
      </bottom>
    </border>
    <border>
      <left style="medium">
        <color rgb="FFB7B7B7"/>
      </left>
      <right style="thin">
        <color rgb="FFF6F8F9"/>
      </right>
      <top style="thick">
        <color rgb="FFB7B7B7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ck">
        <color rgb="FFB7B7B7"/>
      </top>
      <bottom style="thin">
        <color rgb="FFF6F8F9"/>
      </bottom>
    </border>
    <border>
      <left style="thin">
        <color rgb="FFCCCCCC"/>
      </left>
      <right style="thin">
        <color rgb="FFCCCCCC"/>
      </right>
      <top style="thick">
        <color rgb="FFB7B7B7"/>
      </top>
      <bottom style="thin">
        <color rgb="FFCCCCCC"/>
      </bottom>
    </border>
    <border>
      <left style="thin">
        <color rgb="FFF6B26B"/>
      </left>
      <right style="thin">
        <color rgb="FFF6B26B"/>
      </right>
      <top style="thick">
        <color rgb="FFB7B7B7"/>
      </top>
      <bottom style="thin">
        <color rgb="FFF6B26B"/>
      </bottom>
    </border>
    <border>
      <left style="thin">
        <color rgb="FFF6F8F9"/>
      </left>
      <right style="medium">
        <color rgb="FFB7B7B7"/>
      </right>
      <top style="thick">
        <color rgb="FFB7B7B7"/>
      </top>
      <bottom style="thin">
        <color rgb="FFF6F8F9"/>
      </bottom>
    </border>
    <border>
      <left style="medium">
        <color rgb="FFB7B7B7"/>
      </left>
      <right style="thin">
        <color rgb="FFF6F8F9"/>
      </right>
      <top style="thin">
        <color rgb="FFF6F8F9"/>
      </top>
      <bottom style="medium">
        <color rgb="FFB7B7B7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medium">
        <color rgb="FFB7B7B7"/>
      </bottom>
    </border>
    <border>
      <left style="thin">
        <color rgb="FFF6B26B"/>
      </left>
      <right style="thin">
        <color rgb="FFF6B26B"/>
      </right>
      <top style="thin">
        <color rgb="FFF6B26B"/>
      </top>
      <bottom style="medium">
        <color rgb="FFB7B7B7"/>
      </bottom>
    </border>
    <border>
      <left style="thin">
        <color rgb="FFF6F8F9"/>
      </left>
      <right style="medium">
        <color rgb="FFB7B7B7"/>
      </right>
      <top style="thin">
        <color rgb="FFF6F8F9"/>
      </top>
      <bottom style="medium">
        <color rgb="FFB7B7B7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6B26B"/>
      </left>
      <right style="thin">
        <color rgb="FFF6B26B"/>
      </right>
      <top style="thin">
        <color rgb="FFF6B26B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8EAADB"/>
      </bottom>
    </border>
    <border>
      <left style="thin">
        <color rgb="FF284E3F"/>
      </left>
      <right style="thin">
        <color rgb="FFCDD9D4"/>
      </right>
      <top style="thin">
        <color rgb="FF000000"/>
      </top>
      <bottom style="thin">
        <color rgb="FF284E3F"/>
      </bottom>
    </border>
    <border>
      <left style="thin">
        <color rgb="FFCDD9D4"/>
      </left>
      <right style="thin">
        <color rgb="FFCDD9D4"/>
      </right>
      <top style="thin">
        <color rgb="FF000000"/>
      </top>
      <bottom style="thin">
        <color rgb="FF284E3F"/>
      </bottom>
    </border>
    <border>
      <left style="thin">
        <color rgb="FFCDD9D4"/>
      </left>
      <right style="thin">
        <color rgb="FF284E3F"/>
      </right>
      <top style="thin">
        <color rgb="FF000000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right/>
    </border>
    <border>
      <bottom/>
    </border>
    <border>
      <right/>
      <bottom/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/>
      <top style="thick">
        <color rgb="FF000000"/>
      </top>
      <bottom style="double">
        <color rgb="FF000000"/>
      </bottom>
    </border>
    <border>
      <left/>
      <right/>
      <top style="thick">
        <color rgb="FF000000"/>
      </top>
      <bottom style="double">
        <color rgb="FF000000"/>
      </bottom>
    </border>
    <border>
      <left/>
      <right style="thick">
        <color rgb="FF000000"/>
      </right>
      <top style="thick">
        <color rgb="FF000000"/>
      </top>
      <bottom style="double">
        <color rgb="FF000000"/>
      </bottom>
    </border>
    <border>
      <left style="thin">
        <color rgb="FFCCCCCC"/>
      </left>
      <right style="thin">
        <color rgb="FFCCCCCC"/>
      </right>
      <bottom style="thin">
        <color rgb="FFCCCCCC"/>
      </bottom>
    </border>
    <border>
      <left style="thick">
        <color rgb="FF000000"/>
      </left>
      <bottom style="thick">
        <color rgb="FF000000"/>
      </bottom>
    </border>
    <border>
      <left style="thin">
        <color rgb="FFCCCCCC"/>
      </left>
      <right style="thin">
        <color rgb="FFCCCCCC"/>
      </righ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ck">
        <color rgb="FF000000"/>
      </bottom>
    </border>
    <border>
      <left/>
      <top/>
    </border>
    <border>
      <top/>
    </border>
    <border>
      <left/>
    </border>
    <border>
      <left style="thick">
        <color rgb="FF000000"/>
      </left>
      <bottom style="thin">
        <color rgb="FFFFFFFF"/>
      </bottom>
    </border>
    <border>
      <left style="thick">
        <color rgb="FF000000"/>
      </left>
      <top style="thin">
        <color rgb="FFF6F8F9"/>
      </top>
      <bottom style="thin">
        <color rgb="FFF6F8F9"/>
      </bottom>
    </border>
    <border>
      <left style="thick">
        <color rgb="FF000000"/>
      </left>
      <top style="thin">
        <color rgb="FFFFFFFF"/>
      </top>
      <bottom style="thin">
        <color rgb="FFFFFFFF"/>
      </bottom>
    </border>
    <border>
      <left style="thick">
        <color rgb="FF000000"/>
      </left>
      <top style="thin">
        <color rgb="FFF6F8F9"/>
      </top>
      <bottom style="thick">
        <color rgb="FF000000"/>
      </bottom>
    </border>
    <border>
      <left style="thick">
        <color rgb="FF000000"/>
      </left>
      <bottom style="double">
        <color rgb="FF000000"/>
      </bottom>
    </border>
    <border>
      <bottom style="double">
        <color rgb="FF000000"/>
      </bottom>
    </border>
    <border>
      <right style="thick">
        <color rgb="FF000000"/>
      </right>
      <bottom style="double">
        <color rgb="FF000000"/>
      </bottom>
    </border>
    <border>
      <left style="thick">
        <color rgb="FF000000"/>
      </left>
      <top style="double">
        <color rgb="FF000000"/>
      </top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  <border>
      <left style="thick">
        <color rgb="FFE97132"/>
      </left>
      <top style="thick">
        <color rgb="FFE97132"/>
      </top>
    </border>
    <border>
      <top style="thick">
        <color rgb="FFE97132"/>
      </top>
    </border>
    <border>
      <right style="thick">
        <color rgb="FFE97132"/>
      </right>
      <top style="thick">
        <color rgb="FFE97132"/>
      </top>
    </border>
    <border>
      <left style="thick">
        <color rgb="FFE97132"/>
      </left>
      <right style="thin">
        <color rgb="FFF1C232"/>
      </right>
      <top style="thin">
        <color rgb="FFB59226"/>
      </top>
      <bottom style="thin">
        <color rgb="FFB59226"/>
      </bottom>
    </border>
    <border>
      <left style="thin">
        <color rgb="FFF1C232"/>
      </left>
      <right style="thin">
        <color rgb="FFF1C232"/>
      </right>
      <top style="thin">
        <color rgb="FFB59226"/>
      </top>
      <bottom style="thin">
        <color rgb="FFB59226"/>
      </bottom>
    </border>
    <border>
      <left style="thin">
        <color rgb="FFF1C232"/>
      </left>
      <right style="thick">
        <color rgb="FFE97132"/>
      </right>
      <top style="thin">
        <color rgb="FFB59226"/>
      </top>
      <bottom style="thin">
        <color rgb="FFB59226"/>
      </bottom>
    </border>
    <border>
      <left style="thick">
        <color rgb="FFE97132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ck">
        <color rgb="FFE97132"/>
      </right>
      <top style="thin">
        <color rgb="FFFFFFFF"/>
      </top>
      <bottom style="thin">
        <color rgb="FFFFFFFF"/>
      </bottom>
    </border>
    <border>
      <left style="thick">
        <color rgb="FFE97132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ck">
        <color rgb="FFE97132"/>
      </right>
      <top style="thin">
        <color rgb="FFF6F8F9"/>
      </top>
      <bottom style="thin">
        <color rgb="FFF6F8F9"/>
      </bottom>
    </border>
    <border>
      <left style="thick">
        <color rgb="FFE97132"/>
      </left>
      <right style="thin">
        <color rgb="FFF6F8F9"/>
      </right>
      <top style="thin">
        <color rgb="FFF6F8F9"/>
      </top>
      <bottom style="thick">
        <color rgb="FFE97132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ck">
        <color rgb="FFE97132"/>
      </bottom>
    </border>
    <border>
      <left style="thin">
        <color rgb="FFF6F8F9"/>
      </left>
      <right style="thick">
        <color rgb="FFE97132"/>
      </right>
      <top style="thin">
        <color rgb="FFF6F8F9"/>
      </top>
      <bottom style="thick">
        <color rgb="FFE97132"/>
      </bottom>
    </border>
    <border>
      <left style="thin">
        <color rgb="FF284E3F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284E3F"/>
      </left>
      <right style="thin">
        <color rgb="FF284E3F"/>
      </right>
      <top style="thin">
        <color rgb="FFF6F8F9"/>
      </top>
      <bottom style="thin">
        <color rgb="FF284E3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49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3" fillId="2" fontId="2" numFmtId="0" xfId="0" applyAlignment="1" applyBorder="1" applyFont="1">
      <alignment horizontal="center" readingOrder="0" vertical="center"/>
    </xf>
    <xf borderId="4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3" fillId="2" fontId="1" numFmtId="0" xfId="0" applyAlignment="1" applyBorder="1" applyFont="1">
      <alignment horizontal="center" readingOrder="0" vertical="center"/>
    </xf>
    <xf borderId="3" fillId="2" fontId="3" numFmtId="0" xfId="0" applyAlignment="1" applyBorder="1" applyFont="1">
      <alignment horizontal="center" readingOrder="0" vertical="center"/>
    </xf>
    <xf borderId="3" fillId="2" fontId="3" numFmtId="164" xfId="0" applyAlignment="1" applyBorder="1" applyFont="1" applyNumberFormat="1">
      <alignment horizontal="center" readingOrder="0" vertical="center"/>
    </xf>
    <xf borderId="5" fillId="3" fontId="4" numFmtId="0" xfId="0" applyAlignment="1" applyBorder="1" applyFill="1" applyFont="1">
      <alignment horizontal="left" readingOrder="0" vertical="center"/>
    </xf>
    <xf borderId="6" fillId="0" fontId="5" numFmtId="0" xfId="0" applyBorder="1" applyFont="1"/>
    <xf borderId="7" fillId="0" fontId="5" numFmtId="0" xfId="0" applyBorder="1" applyFont="1"/>
    <xf borderId="8" fillId="3" fontId="6" numFmtId="0" xfId="0" applyAlignment="1" applyBorder="1" applyFont="1">
      <alignment horizontal="center" readingOrder="0" vertical="center"/>
    </xf>
    <xf borderId="0" fillId="3" fontId="6" numFmtId="0" xfId="0" applyAlignment="1" applyFont="1">
      <alignment horizontal="center" readingOrder="0" vertical="center"/>
    </xf>
    <xf borderId="9" fillId="3" fontId="6" numFmtId="0" xfId="0" applyAlignment="1" applyBorder="1" applyFont="1">
      <alignment horizontal="center" readingOrder="0" vertical="center"/>
    </xf>
    <xf borderId="8" fillId="0" fontId="6" numFmtId="0" xfId="0" applyAlignment="1" applyBorder="1" applyFont="1">
      <alignment horizontal="center" readingOrder="0" vertical="center"/>
    </xf>
    <xf borderId="0" fillId="0" fontId="7" numFmtId="0" xfId="0" applyAlignment="1" applyFont="1">
      <alignment horizontal="center" readingOrder="0" vertical="center"/>
    </xf>
    <xf borderId="10" fillId="0" fontId="7" numFmtId="0" xfId="0" applyAlignment="1" applyBorder="1" applyFont="1">
      <alignment horizontal="center" vertical="center"/>
    </xf>
    <xf borderId="0" fillId="0" fontId="8" numFmtId="165" xfId="0" applyAlignment="1" applyFont="1" applyNumberFormat="1">
      <alignment horizontal="center" vertical="center"/>
    </xf>
    <xf borderId="0" fillId="0" fontId="8" numFmtId="0" xfId="0" applyAlignment="1" applyFont="1">
      <alignment horizontal="center" vertical="center"/>
    </xf>
    <xf borderId="9" fillId="0" fontId="7" numFmtId="0" xfId="0" applyAlignment="1" applyBorder="1" applyFont="1">
      <alignment horizontal="center" vertical="center"/>
    </xf>
    <xf borderId="8" fillId="0" fontId="9" numFmtId="0" xfId="0" applyAlignment="1" applyBorder="1" applyFont="1">
      <alignment horizontal="center" readingOrder="0" vertical="center"/>
    </xf>
    <xf borderId="11" fillId="0" fontId="9" numFmtId="0" xfId="0" applyAlignment="1" applyBorder="1" applyFont="1">
      <alignment horizontal="center" readingOrder="0" vertical="center"/>
    </xf>
    <xf borderId="12" fillId="0" fontId="7" numFmtId="0" xfId="0" applyAlignment="1" applyBorder="1" applyFont="1">
      <alignment horizontal="center" readingOrder="0" vertical="center"/>
    </xf>
    <xf borderId="13" fillId="0" fontId="7" numFmtId="0" xfId="0" applyAlignment="1" applyBorder="1" applyFont="1">
      <alignment horizontal="center" vertical="center"/>
    </xf>
    <xf borderId="12" fillId="0" fontId="8" numFmtId="165" xfId="0" applyAlignment="1" applyBorder="1" applyFont="1" applyNumberFormat="1">
      <alignment horizontal="center" vertical="center"/>
    </xf>
    <xf borderId="12" fillId="0" fontId="8" numFmtId="0" xfId="0" applyAlignment="1" applyBorder="1" applyFont="1">
      <alignment horizontal="center" vertical="center"/>
    </xf>
    <xf borderId="14" fillId="0" fontId="7" numFmtId="0" xfId="0" applyAlignment="1" applyBorder="1" applyFont="1">
      <alignment horizontal="center" vertical="center"/>
    </xf>
    <xf borderId="0" fillId="0" fontId="6" numFmtId="0" xfId="0" applyAlignment="1" applyFont="1">
      <alignment horizontal="center" readingOrder="0" vertical="center"/>
    </xf>
    <xf borderId="15" fillId="4" fontId="4" numFmtId="0" xfId="0" applyAlignment="1" applyBorder="1" applyFill="1" applyFont="1">
      <alignment horizontal="left" readingOrder="0" vertical="center"/>
    </xf>
    <xf borderId="16" fillId="0" fontId="5" numFmtId="0" xfId="0" applyBorder="1" applyFont="1"/>
    <xf borderId="17" fillId="0" fontId="5" numFmtId="0" xfId="0" applyBorder="1" applyFont="1"/>
    <xf borderId="18" fillId="4" fontId="6" numFmtId="0" xfId="0" applyAlignment="1" applyBorder="1" applyFont="1">
      <alignment horizontal="center" vertical="center"/>
    </xf>
    <xf borderId="0" fillId="4" fontId="6" numFmtId="0" xfId="0" applyAlignment="1" applyFont="1">
      <alignment horizontal="center" readingOrder="0" vertical="center"/>
    </xf>
    <xf borderId="0" fillId="4" fontId="6" numFmtId="0" xfId="0" applyAlignment="1" applyFont="1">
      <alignment horizontal="center" vertical="center"/>
    </xf>
    <xf borderId="19" fillId="4" fontId="6" numFmtId="0" xfId="0" applyAlignment="1" applyBorder="1" applyFont="1">
      <alignment horizontal="center" readingOrder="0" vertical="center"/>
    </xf>
    <xf borderId="18" fillId="0" fontId="6" numFmtId="0" xfId="0" applyAlignment="1" applyBorder="1" applyFont="1">
      <alignment horizontal="center" readingOrder="0" vertical="center"/>
    </xf>
    <xf borderId="19" fillId="0" fontId="7" numFmtId="0" xfId="0" applyAlignment="1" applyBorder="1" applyFont="1">
      <alignment horizontal="center" vertical="center"/>
    </xf>
    <xf borderId="20" fillId="0" fontId="7" numFmtId="0" xfId="0" applyAlignment="1" applyBorder="1" applyFont="1">
      <alignment horizontal="center" vertical="center"/>
    </xf>
    <xf borderId="0" fillId="0" fontId="7" numFmtId="0" xfId="0" applyAlignment="1" applyFont="1">
      <alignment horizontal="center" vertical="center"/>
    </xf>
    <xf borderId="21" fillId="0" fontId="10" numFmtId="0" xfId="0" applyAlignment="1" applyBorder="1" applyFont="1">
      <alignment horizontal="center" readingOrder="0" vertical="center"/>
    </xf>
    <xf borderId="22" fillId="0" fontId="7" numFmtId="0" xfId="0" applyAlignment="1" applyBorder="1" applyFont="1">
      <alignment horizontal="center" readingOrder="0" vertical="center"/>
    </xf>
    <xf borderId="22" fillId="0" fontId="7" numFmtId="0" xfId="0" applyAlignment="1" applyBorder="1" applyFont="1">
      <alignment horizontal="center" vertical="center"/>
    </xf>
    <xf borderId="22" fillId="0" fontId="8" numFmtId="165" xfId="0" applyAlignment="1" applyBorder="1" applyFont="1" applyNumberFormat="1">
      <alignment horizontal="center" vertical="center"/>
    </xf>
    <xf borderId="22" fillId="0" fontId="8" numFmtId="0" xfId="0" applyAlignment="1" applyBorder="1" applyFont="1">
      <alignment horizontal="center" vertical="center"/>
    </xf>
    <xf borderId="23" fillId="0" fontId="7" numFmtId="0" xfId="0" applyAlignment="1" applyBorder="1" applyFont="1">
      <alignment horizontal="center" vertical="center"/>
    </xf>
    <xf borderId="0" fillId="0" fontId="4" numFmtId="0" xfId="0" applyAlignment="1" applyFont="1">
      <alignment horizontal="center" readingOrder="0" vertical="center"/>
    </xf>
    <xf borderId="24" fillId="5" fontId="4" numFmtId="0" xfId="0" applyAlignment="1" applyBorder="1" applyFill="1" applyFont="1">
      <alignment horizontal="left" readingOrder="0" vertical="center"/>
    </xf>
    <xf borderId="25" fillId="0" fontId="5" numFmtId="0" xfId="0" applyBorder="1" applyFont="1"/>
    <xf borderId="26" fillId="0" fontId="5" numFmtId="0" xfId="0" applyBorder="1" applyFont="1"/>
    <xf borderId="27" fillId="5" fontId="6" numFmtId="0" xfId="0" applyAlignment="1" applyBorder="1" applyFont="1">
      <alignment horizontal="center" vertical="center"/>
    </xf>
    <xf borderId="0" fillId="5" fontId="6" numFmtId="0" xfId="0" applyAlignment="1" applyFont="1">
      <alignment horizontal="center" readingOrder="0" vertical="center"/>
    </xf>
    <xf borderId="0" fillId="5" fontId="6" numFmtId="0" xfId="0" applyAlignment="1" applyFont="1">
      <alignment horizontal="center" vertical="center"/>
    </xf>
    <xf borderId="28" fillId="5" fontId="6" numFmtId="0" xfId="0" applyAlignment="1" applyBorder="1" applyFont="1">
      <alignment horizontal="center" readingOrder="0" vertical="center"/>
    </xf>
    <xf borderId="27" fillId="0" fontId="6" numFmtId="0" xfId="0" applyAlignment="1" applyBorder="1" applyFont="1">
      <alignment horizontal="center" readingOrder="0" vertical="center"/>
    </xf>
    <xf borderId="0" fillId="0" fontId="8" numFmtId="0" xfId="0" applyAlignment="1" applyFont="1">
      <alignment horizontal="left" vertical="center"/>
    </xf>
    <xf borderId="28" fillId="0" fontId="7" numFmtId="0" xfId="0" applyAlignment="1" applyBorder="1" applyFont="1">
      <alignment horizontal="center" vertical="center"/>
    </xf>
    <xf borderId="29" fillId="0" fontId="7" numFmtId="0" xfId="0" applyAlignment="1" applyBorder="1" applyFont="1">
      <alignment horizontal="center" vertical="center"/>
    </xf>
    <xf borderId="30" fillId="0" fontId="6" numFmtId="0" xfId="0" applyAlignment="1" applyBorder="1" applyFont="1">
      <alignment horizontal="center" readingOrder="0" vertical="center"/>
    </xf>
    <xf borderId="31" fillId="0" fontId="7" numFmtId="0" xfId="0" applyAlignment="1" applyBorder="1" applyFont="1">
      <alignment horizontal="center" readingOrder="0" vertical="center"/>
    </xf>
    <xf borderId="32" fillId="0" fontId="7" numFmtId="0" xfId="0" applyAlignment="1" applyBorder="1" applyFont="1">
      <alignment horizontal="center" vertical="center"/>
    </xf>
    <xf borderId="31" fillId="0" fontId="8" numFmtId="165" xfId="0" applyAlignment="1" applyBorder="1" applyFont="1" applyNumberFormat="1">
      <alignment horizontal="center" vertical="center"/>
    </xf>
    <xf borderId="31" fillId="0" fontId="8" numFmtId="0" xfId="0" applyAlignment="1" applyBorder="1" applyFont="1">
      <alignment horizontal="left" vertical="center"/>
    </xf>
    <xf borderId="33" fillId="0" fontId="7" numFmtId="0" xfId="0" applyAlignment="1" applyBorder="1" applyFont="1">
      <alignment horizontal="center" vertical="center"/>
    </xf>
    <xf borderId="34" fillId="6" fontId="11" numFmtId="0" xfId="0" applyAlignment="1" applyBorder="1" applyFill="1" applyFont="1">
      <alignment horizontal="center" readingOrder="0" shrinkToFit="0" vertical="center" wrapText="0"/>
    </xf>
    <xf borderId="35" fillId="6" fontId="11" numFmtId="0" xfId="0" applyAlignment="1" applyBorder="1" applyFont="1">
      <alignment horizontal="center" readingOrder="0" shrinkToFit="0" vertical="center" wrapText="0"/>
    </xf>
    <xf borderId="35" fillId="6" fontId="11" numFmtId="49" xfId="0" applyAlignment="1" applyBorder="1" applyFont="1" applyNumberFormat="1">
      <alignment horizontal="center" readingOrder="0" shrinkToFit="0" vertical="center" wrapText="0"/>
    </xf>
    <xf borderId="36" fillId="6" fontId="11" numFmtId="0" xfId="0" applyAlignment="1" applyBorder="1" applyFont="1">
      <alignment horizontal="center" readingOrder="0" shrinkToFit="0" vertical="center" wrapText="0"/>
    </xf>
    <xf borderId="37" fillId="6" fontId="11" numFmtId="0" xfId="0" applyAlignment="1" applyBorder="1" applyFont="1">
      <alignment horizontal="center" readingOrder="0" shrinkToFit="0" vertical="center" wrapText="0"/>
    </xf>
    <xf borderId="37" fillId="6" fontId="11" numFmtId="0" xfId="0" applyAlignment="1" applyBorder="1" applyFont="1">
      <alignment horizontal="center" readingOrder="0" shrinkToFit="0" vertical="center" wrapText="0"/>
    </xf>
    <xf borderId="38" fillId="3" fontId="12" numFmtId="0" xfId="0" applyAlignment="1" applyBorder="1" applyFont="1">
      <alignment horizontal="center" readingOrder="0" shrinkToFit="0" vertical="center" wrapText="0"/>
    </xf>
    <xf borderId="39" fillId="0" fontId="13" numFmtId="0" xfId="0" applyAlignment="1" applyBorder="1" applyFont="1">
      <alignment horizontal="center" readingOrder="0" shrinkToFit="0" vertical="center" wrapText="0"/>
    </xf>
    <xf borderId="40" fillId="0" fontId="13" numFmtId="0" xfId="0" applyAlignment="1" applyBorder="1" applyFont="1">
      <alignment horizontal="center" readingOrder="0" shrinkToFit="0" vertical="center" wrapText="0"/>
    </xf>
    <xf borderId="41" fillId="7" fontId="13" numFmtId="165" xfId="0" applyAlignment="1" applyBorder="1" applyFill="1" applyFont="1" applyNumberFormat="1">
      <alignment horizontal="right" readingOrder="0" shrinkToFit="0" vertical="center" wrapText="0"/>
    </xf>
    <xf borderId="41" fillId="7" fontId="13" numFmtId="0" xfId="0" applyAlignment="1" applyBorder="1" applyFont="1">
      <alignment horizontal="center" readingOrder="0" shrinkToFit="0" vertical="center" wrapText="0"/>
    </xf>
    <xf borderId="42" fillId="8" fontId="13" numFmtId="0" xfId="0" applyAlignment="1" applyBorder="1" applyFill="1" applyFont="1">
      <alignment horizontal="center" readingOrder="0" shrinkToFit="0" vertical="center" wrapText="0"/>
    </xf>
    <xf borderId="43" fillId="0" fontId="12" numFmtId="0" xfId="0" applyAlignment="1" applyBorder="1" applyFont="1">
      <alignment horizontal="center" readingOrder="0" shrinkToFit="0" vertical="center" wrapText="0"/>
    </xf>
    <xf borderId="44" fillId="3" fontId="12" numFmtId="0" xfId="0" applyAlignment="1" applyBorder="1" applyFont="1">
      <alignment horizontal="center" readingOrder="0" shrinkToFit="0" vertical="center" wrapText="0"/>
    </xf>
    <xf borderId="10" fillId="0" fontId="13" numFmtId="0" xfId="0" applyAlignment="1" applyBorder="1" applyFont="1">
      <alignment horizontal="center" readingOrder="0" shrinkToFit="0" vertical="center" wrapText="0"/>
    </xf>
    <xf borderId="45" fillId="0" fontId="13" numFmtId="0" xfId="0" applyAlignment="1" applyBorder="1" applyFont="1">
      <alignment horizontal="center" readingOrder="0" shrinkToFit="0" vertical="center" wrapText="0"/>
    </xf>
    <xf borderId="46" fillId="0" fontId="13" numFmtId="0" xfId="0" applyAlignment="1" applyBorder="1" applyFont="1">
      <alignment horizontal="center" readingOrder="0" shrinkToFit="0" vertical="center" wrapText="0"/>
    </xf>
    <xf borderId="47" fillId="0" fontId="13" numFmtId="165" xfId="0" applyAlignment="1" applyBorder="1" applyFont="1" applyNumberFormat="1">
      <alignment horizontal="right" readingOrder="0" shrinkToFit="0" vertical="center" wrapText="0"/>
    </xf>
    <xf borderId="47" fillId="0" fontId="13" numFmtId="0" xfId="0" applyAlignment="1" applyBorder="1" applyFont="1">
      <alignment horizontal="center" readingOrder="0" shrinkToFit="0" vertical="center" wrapText="0"/>
    </xf>
    <xf borderId="48" fillId="8" fontId="13" numFmtId="0" xfId="0" applyAlignment="1" applyBorder="1" applyFont="1">
      <alignment horizontal="center" readingOrder="0" shrinkToFit="0" vertical="center" wrapText="0"/>
    </xf>
    <xf borderId="49" fillId="0" fontId="12" numFmtId="0" xfId="0" applyAlignment="1" applyBorder="1" applyFont="1">
      <alignment horizontal="center" readingOrder="0" shrinkToFit="0" vertical="center" wrapText="0"/>
    </xf>
    <xf borderId="50" fillId="3" fontId="12" numFmtId="0" xfId="0" applyAlignment="1" applyBorder="1" applyFont="1">
      <alignment horizontal="center" readingOrder="0" shrinkToFit="0" vertical="center" wrapText="0"/>
    </xf>
    <xf borderId="51" fillId="7" fontId="13" numFmtId="165" xfId="0" applyAlignment="1" applyBorder="1" applyFont="1" applyNumberFormat="1">
      <alignment horizontal="right" readingOrder="0" shrinkToFit="0" vertical="center" wrapText="0"/>
    </xf>
    <xf borderId="51" fillId="7" fontId="13" numFmtId="0" xfId="0" applyAlignment="1" applyBorder="1" applyFont="1">
      <alignment horizontal="center" readingOrder="0" shrinkToFit="0" vertical="center" wrapText="0"/>
    </xf>
    <xf borderId="52" fillId="3" fontId="12" numFmtId="0" xfId="0" applyAlignment="1" applyBorder="1" applyFont="1">
      <alignment horizontal="center" readingOrder="0" shrinkToFit="0" vertical="center" wrapText="0"/>
    </xf>
    <xf borderId="53" fillId="0" fontId="13" numFmtId="0" xfId="0" applyAlignment="1" applyBorder="1" applyFont="1">
      <alignment horizontal="center" readingOrder="0" shrinkToFit="0" vertical="center" wrapText="0"/>
    </xf>
    <xf borderId="54" fillId="8" fontId="13" numFmtId="0" xfId="0" applyAlignment="1" applyBorder="1" applyFont="1">
      <alignment horizontal="center" readingOrder="0" shrinkToFit="0" vertical="center" wrapText="0"/>
    </xf>
    <xf borderId="55" fillId="0" fontId="12" numFmtId="0" xfId="0" applyAlignment="1" applyBorder="1" applyFont="1">
      <alignment horizontal="center" readingOrder="0" shrinkToFit="0" vertical="center" wrapText="0"/>
    </xf>
    <xf borderId="56" fillId="4" fontId="12" numFmtId="0" xfId="0" applyAlignment="1" applyBorder="1" applyFont="1">
      <alignment horizontal="center" readingOrder="0" shrinkToFit="0" vertical="center" wrapText="0"/>
    </xf>
    <xf borderId="57" fillId="0" fontId="13" numFmtId="0" xfId="0" applyAlignment="1" applyBorder="1" applyFont="1">
      <alignment horizontal="center" readingOrder="0" shrinkToFit="0" vertical="center" wrapText="0"/>
    </xf>
    <xf borderId="58" fillId="0" fontId="13" numFmtId="0" xfId="0" applyAlignment="1" applyBorder="1" applyFont="1">
      <alignment horizontal="center" readingOrder="0" shrinkToFit="0" vertical="center" wrapText="0"/>
    </xf>
    <xf borderId="59" fillId="0" fontId="13" numFmtId="0" xfId="0" applyAlignment="1" applyBorder="1" applyFont="1">
      <alignment horizontal="center" readingOrder="0" shrinkToFit="0" vertical="center" wrapText="0"/>
    </xf>
    <xf borderId="60" fillId="0" fontId="13" numFmtId="165" xfId="0" applyAlignment="1" applyBorder="1" applyFont="1" applyNumberFormat="1">
      <alignment horizontal="right" readingOrder="0" shrinkToFit="0" vertical="center" wrapText="0"/>
    </xf>
    <xf borderId="60" fillId="0" fontId="13" numFmtId="0" xfId="0" applyAlignment="1" applyBorder="1" applyFont="1">
      <alignment horizontal="center" readingOrder="0" shrinkToFit="0" vertical="center" wrapText="0"/>
    </xf>
    <xf borderId="61" fillId="8" fontId="13" numFmtId="0" xfId="0" applyAlignment="1" applyBorder="1" applyFont="1">
      <alignment horizontal="center" readingOrder="0" shrinkToFit="0" vertical="center" wrapText="0"/>
    </xf>
    <xf borderId="62" fillId="0" fontId="12" numFmtId="0" xfId="0" applyAlignment="1" applyBorder="1" applyFont="1">
      <alignment horizontal="center" readingOrder="0" shrinkToFit="0" vertical="center" wrapText="0"/>
    </xf>
    <xf borderId="63" fillId="4" fontId="12" numFmtId="0" xfId="0" applyAlignment="1" applyBorder="1" applyFont="1">
      <alignment horizontal="center" readingOrder="0" shrinkToFit="0" vertical="center" wrapText="0"/>
    </xf>
    <xf borderId="64" fillId="0" fontId="12" numFmtId="0" xfId="0" applyAlignment="1" applyBorder="1" applyFont="1">
      <alignment horizontal="center" readingOrder="0" shrinkToFit="0" vertical="center" wrapText="0"/>
    </xf>
    <xf borderId="65" fillId="4" fontId="12" numFmtId="0" xfId="0" applyAlignment="1" applyBorder="1" applyFont="1">
      <alignment horizontal="center" readingOrder="0" shrinkToFit="0" vertical="center" wrapText="0"/>
    </xf>
    <xf borderId="66" fillId="0" fontId="13" numFmtId="0" xfId="0" applyAlignment="1" applyBorder="1" applyFont="1">
      <alignment horizontal="center" readingOrder="0" shrinkToFit="0" vertical="center" wrapText="0"/>
    </xf>
    <xf borderId="67" fillId="4" fontId="12" numFmtId="0" xfId="0" applyAlignment="1" applyBorder="1" applyFont="1">
      <alignment horizontal="center" readingOrder="0" shrinkToFit="0" vertical="center" wrapText="0"/>
    </xf>
    <xf borderId="68" fillId="0" fontId="13" numFmtId="0" xfId="0" applyAlignment="1" applyBorder="1" applyFont="1">
      <alignment horizontal="center" readingOrder="0" shrinkToFit="0" vertical="center" wrapText="0"/>
    </xf>
    <xf borderId="69" fillId="0" fontId="12" numFmtId="0" xfId="0" applyAlignment="1" applyBorder="1" applyFont="1">
      <alignment horizontal="center" readingOrder="0" shrinkToFit="0" vertical="center" wrapText="0"/>
    </xf>
    <xf borderId="70" fillId="5" fontId="12" numFmtId="0" xfId="0" applyAlignment="1" applyBorder="1" applyFont="1">
      <alignment horizontal="center" readingOrder="0" shrinkToFit="0" vertical="center" wrapText="0"/>
    </xf>
    <xf borderId="71" fillId="0" fontId="13" numFmtId="0" xfId="0" applyAlignment="1" applyBorder="1" applyFont="1">
      <alignment horizontal="center" readingOrder="0" shrinkToFit="0" vertical="center" wrapText="0"/>
    </xf>
    <xf borderId="72" fillId="0" fontId="13" numFmtId="0" xfId="0" applyAlignment="1" applyBorder="1" applyFont="1">
      <alignment horizontal="center" readingOrder="0" shrinkToFit="0" vertical="center" wrapText="0"/>
    </xf>
    <xf borderId="73" fillId="0" fontId="13" numFmtId="0" xfId="0" applyAlignment="1" applyBorder="1" applyFont="1">
      <alignment horizontal="center" readingOrder="0" shrinkToFit="0" vertical="center" wrapText="0"/>
    </xf>
    <xf borderId="72" fillId="0" fontId="13" numFmtId="165" xfId="0" applyAlignment="1" applyBorder="1" applyFont="1" applyNumberFormat="1">
      <alignment horizontal="right" readingOrder="0" shrinkToFit="0" vertical="center" wrapText="0"/>
    </xf>
    <xf borderId="74" fillId="8" fontId="13" numFmtId="0" xfId="0" applyAlignment="1" applyBorder="1" applyFont="1">
      <alignment horizontal="center" readingOrder="0" shrinkToFit="0" vertical="center" wrapText="0"/>
    </xf>
    <xf borderId="75" fillId="0" fontId="12" numFmtId="0" xfId="0" applyAlignment="1" applyBorder="1" applyFont="1">
      <alignment horizontal="center" readingOrder="0" shrinkToFit="0" vertical="center" wrapText="0"/>
    </xf>
    <xf borderId="76" fillId="5" fontId="12" numFmtId="0" xfId="0" applyAlignment="1" applyBorder="1" applyFont="1">
      <alignment horizontal="center" readingOrder="0" shrinkToFit="0" vertical="center" wrapText="0"/>
    </xf>
    <xf borderId="77" fillId="0" fontId="12" numFmtId="0" xfId="0" applyAlignment="1" applyBorder="1" applyFont="1">
      <alignment horizontal="center" readingOrder="0" shrinkToFit="0" vertical="center" wrapText="0"/>
    </xf>
    <xf borderId="78" fillId="5" fontId="12" numFmtId="0" xfId="0" applyAlignment="1" applyBorder="1" applyFont="1">
      <alignment horizontal="center" readingOrder="0" shrinkToFit="0" vertical="center" wrapText="0"/>
    </xf>
    <xf borderId="79" fillId="5" fontId="12" numFmtId="0" xfId="0" applyAlignment="1" applyBorder="1" applyFont="1">
      <alignment horizontal="center" readingOrder="0" shrinkToFit="0" vertical="center" wrapText="0"/>
    </xf>
    <xf borderId="80" fillId="0" fontId="13" numFmtId="0" xfId="0" applyAlignment="1" applyBorder="1" applyFont="1">
      <alignment horizontal="center" readingOrder="0" shrinkToFit="0" vertical="center" wrapText="0"/>
    </xf>
    <xf borderId="81" fillId="0" fontId="13" numFmtId="0" xfId="0" applyAlignment="1" applyBorder="1" applyFont="1">
      <alignment horizontal="center" readingOrder="0" shrinkToFit="0" vertical="center" wrapText="0"/>
    </xf>
    <xf borderId="82" fillId="0" fontId="13" numFmtId="0" xfId="0" applyAlignment="1" applyBorder="1" applyFont="1">
      <alignment horizontal="center" readingOrder="0" shrinkToFit="0" vertical="center" wrapText="0"/>
    </xf>
    <xf borderId="83" fillId="7" fontId="13" numFmtId="165" xfId="0" applyAlignment="1" applyBorder="1" applyFont="1" applyNumberFormat="1">
      <alignment horizontal="right" readingOrder="0" shrinkToFit="0" vertical="center" wrapText="0"/>
    </xf>
    <xf borderId="83" fillId="7" fontId="13" numFmtId="0" xfId="0" applyAlignment="1" applyBorder="1" applyFont="1">
      <alignment horizontal="center" readingOrder="0" shrinkToFit="0" vertical="center" wrapText="0"/>
    </xf>
    <xf borderId="84" fillId="8" fontId="13" numFmtId="0" xfId="0" applyAlignment="1" applyBorder="1" applyFont="1">
      <alignment horizontal="center" readingOrder="0" shrinkToFit="0" vertical="center" wrapText="0"/>
    </xf>
    <xf borderId="85" fillId="0" fontId="12" numFmtId="0" xfId="0" applyAlignment="1" applyBorder="1" applyFont="1">
      <alignment horizontal="center" readingOrder="0" shrinkToFit="0" vertical="center" wrapText="0"/>
    </xf>
    <xf borderId="0" fillId="0" fontId="14" numFmtId="0" xfId="0" applyAlignment="1" applyFont="1">
      <alignment horizontal="center" readingOrder="0" vertical="center"/>
    </xf>
    <xf borderId="34" fillId="0" fontId="15" numFmtId="0" xfId="0" applyAlignment="1" applyBorder="1" applyFont="1">
      <alignment horizontal="center" readingOrder="0" shrinkToFit="0" vertical="center" wrapText="0"/>
    </xf>
    <xf borderId="35" fillId="0" fontId="15" numFmtId="0" xfId="0" applyAlignment="1" applyBorder="1" applyFont="1">
      <alignment horizontal="center" readingOrder="0" shrinkToFit="0" vertical="center" wrapText="0"/>
    </xf>
    <xf borderId="35" fillId="0" fontId="15" numFmtId="0" xfId="0" applyAlignment="1" applyBorder="1" applyFont="1">
      <alignment horizontal="center" readingOrder="0" shrinkToFit="0" vertical="center" wrapText="0"/>
    </xf>
    <xf borderId="35" fillId="0" fontId="15" numFmtId="49" xfId="0" applyAlignment="1" applyBorder="1" applyFont="1" applyNumberFormat="1">
      <alignment horizontal="center" readingOrder="0" shrinkToFit="0" vertical="center" wrapText="0"/>
    </xf>
    <xf borderId="35" fillId="0" fontId="15" numFmtId="0" xfId="0" applyAlignment="1" applyBorder="1" applyFont="1">
      <alignment horizontal="center" readingOrder="0" shrinkToFit="0" vertical="center" wrapText="0"/>
    </xf>
    <xf borderId="37" fillId="0" fontId="15" numFmtId="0" xfId="0" applyAlignment="1" applyBorder="1" applyFont="1">
      <alignment horizontal="center" readingOrder="0" shrinkToFit="0" vertical="center" wrapText="0"/>
    </xf>
    <xf borderId="86" fillId="0" fontId="16" numFmtId="0" xfId="0" applyAlignment="1" applyBorder="1" applyFont="1">
      <alignment readingOrder="0" shrinkToFit="0" vertical="center" wrapText="0"/>
    </xf>
    <xf borderId="87" fillId="0" fontId="16" numFmtId="0" xfId="0" applyAlignment="1" applyBorder="1" applyFont="1">
      <alignment horizontal="center" readingOrder="0" shrinkToFit="0" vertical="center" wrapText="0"/>
    </xf>
    <xf borderId="88" fillId="0" fontId="16" numFmtId="0" xfId="0" applyAlignment="1" applyBorder="1" applyFont="1">
      <alignment readingOrder="0" shrinkToFit="0" vertical="center" wrapText="0"/>
    </xf>
    <xf borderId="88" fillId="0" fontId="16" numFmtId="0" xfId="0" applyAlignment="1" applyBorder="1" applyFont="1">
      <alignment horizontal="center" shrinkToFit="0" vertical="center" wrapText="0"/>
    </xf>
    <xf borderId="89" fillId="0" fontId="16" numFmtId="0" xfId="0" applyAlignment="1" applyBorder="1" applyFont="1">
      <alignment horizontal="center" readingOrder="0" shrinkToFit="0" vertical="center" wrapText="0"/>
    </xf>
    <xf borderId="90" fillId="0" fontId="17" numFmtId="0" xfId="0" applyAlignment="1" applyBorder="1" applyFont="1">
      <alignment horizontal="center" readingOrder="0" shrinkToFit="0" vertical="center" wrapText="0"/>
    </xf>
    <xf borderId="88" fillId="0" fontId="17" numFmtId="0" xfId="0" applyAlignment="1" applyBorder="1" applyFont="1">
      <alignment horizontal="center" readingOrder="0" shrinkToFit="0" vertical="center" wrapText="0"/>
    </xf>
    <xf borderId="91" fillId="0" fontId="17" numFmtId="0" xfId="0" applyAlignment="1" applyBorder="1" applyFont="1">
      <alignment horizontal="center" readingOrder="0" shrinkToFit="0" vertical="center" wrapText="0"/>
    </xf>
    <xf borderId="92" fillId="0" fontId="16" numFmtId="0" xfId="0" applyAlignment="1" applyBorder="1" applyFont="1">
      <alignment horizontal="center" readingOrder="0" shrinkToFit="0" vertical="center" wrapText="0"/>
    </xf>
    <xf borderId="47" fillId="0" fontId="16" numFmtId="0" xfId="0" applyAlignment="1" applyBorder="1" applyFont="1">
      <alignment readingOrder="0" shrinkToFit="0" vertical="center" wrapText="0"/>
    </xf>
    <xf borderId="47" fillId="0" fontId="16" numFmtId="0" xfId="0" applyAlignment="1" applyBorder="1" applyFont="1">
      <alignment horizontal="center" shrinkToFit="0" vertical="center" wrapText="0"/>
    </xf>
    <xf borderId="10" fillId="0" fontId="16" numFmtId="0" xfId="0" applyAlignment="1" applyBorder="1" applyFont="1">
      <alignment horizontal="center" readingOrder="0" shrinkToFit="0" vertical="center" wrapText="0"/>
    </xf>
    <xf borderId="47" fillId="0" fontId="17" numFmtId="0" xfId="0" applyAlignment="1" applyBorder="1" applyFont="1">
      <alignment horizontal="center" readingOrder="0" shrinkToFit="0" vertical="center" wrapText="0"/>
    </xf>
    <xf borderId="93" fillId="0" fontId="17" numFmtId="0" xfId="0" applyAlignment="1" applyBorder="1" applyFont="1">
      <alignment horizontal="center" readingOrder="0" shrinkToFit="0" vertical="center" wrapText="0"/>
    </xf>
    <xf borderId="94" fillId="0" fontId="16" numFmtId="0" xfId="0" applyAlignment="1" applyBorder="1" applyFont="1">
      <alignment horizontal="center" readingOrder="0" shrinkToFit="0" vertical="center" wrapText="0"/>
    </xf>
    <xf borderId="46" fillId="0" fontId="16" numFmtId="0" xfId="0" applyAlignment="1" applyBorder="1" applyFont="1">
      <alignment readingOrder="0" shrinkToFit="0" vertical="center" wrapText="0"/>
    </xf>
    <xf borderId="46" fillId="0" fontId="16" numFmtId="0" xfId="0" applyAlignment="1" applyBorder="1" applyFont="1">
      <alignment horizontal="center" shrinkToFit="0" vertical="center" wrapText="0"/>
    </xf>
    <xf borderId="95" fillId="0" fontId="16" numFmtId="0" xfId="0" applyAlignment="1" applyBorder="1" applyFont="1">
      <alignment horizontal="center" readingOrder="0" shrinkToFit="0" vertical="center" wrapText="0"/>
    </xf>
    <xf borderId="46" fillId="0" fontId="17" numFmtId="0" xfId="0" applyAlignment="1" applyBorder="1" applyFont="1">
      <alignment horizontal="center" readingOrder="0" shrinkToFit="0" vertical="center" wrapText="0"/>
    </xf>
    <xf borderId="96" fillId="0" fontId="17" numFmtId="0" xfId="0" applyAlignment="1" applyBorder="1" applyFont="1">
      <alignment horizontal="center" readingOrder="0" shrinkToFit="0" vertical="center" wrapText="0"/>
    </xf>
    <xf borderId="97" fillId="0" fontId="16" numFmtId="0" xfId="0" applyAlignment="1" applyBorder="1" applyFont="1">
      <alignment horizontal="center" readingOrder="0" shrinkToFit="0" vertical="center" wrapText="0"/>
    </xf>
    <xf borderId="98" fillId="0" fontId="16" numFmtId="0" xfId="0" applyAlignment="1" applyBorder="1" applyFont="1">
      <alignment readingOrder="0" shrinkToFit="0" vertical="center" wrapText="0"/>
    </xf>
    <xf borderId="98" fillId="0" fontId="16" numFmtId="0" xfId="0" applyAlignment="1" applyBorder="1" applyFont="1">
      <alignment horizontal="center" shrinkToFit="0" vertical="center" wrapText="0"/>
    </xf>
    <xf borderId="99" fillId="0" fontId="16" numFmtId="0" xfId="0" applyAlignment="1" applyBorder="1" applyFont="1">
      <alignment horizontal="center" readingOrder="0" shrinkToFit="0" vertical="center" wrapText="0"/>
    </xf>
    <xf borderId="98" fillId="0" fontId="17" numFmtId="0" xfId="0" applyAlignment="1" applyBorder="1" applyFont="1">
      <alignment horizontal="center" readingOrder="0" shrinkToFit="0" vertical="center" wrapText="0"/>
    </xf>
    <xf borderId="100" fillId="0" fontId="17" numFmtId="0" xfId="0" applyAlignment="1" applyBorder="1" applyFont="1">
      <alignment horizontal="center" readingOrder="0" shrinkToFit="0" vertical="center" wrapText="0"/>
    </xf>
    <xf borderId="95" fillId="0" fontId="17" numFmtId="0" xfId="0" applyAlignment="1" applyBorder="1" applyFont="1">
      <alignment horizontal="center" readingOrder="0" shrinkToFit="0" vertical="center" wrapText="0"/>
    </xf>
    <xf borderId="101" fillId="0" fontId="16" numFmtId="0" xfId="0" applyAlignment="1" applyBorder="1" applyFont="1">
      <alignment horizontal="center" readingOrder="0" shrinkToFit="0" vertical="center" wrapText="0"/>
    </xf>
    <xf borderId="101" fillId="0" fontId="17" numFmtId="0" xfId="0" applyAlignment="1" applyBorder="1" applyFont="1">
      <alignment horizontal="center" readingOrder="0" shrinkToFit="0" vertical="center" wrapText="0"/>
    </xf>
    <xf borderId="46" fillId="0" fontId="16" numFmtId="0" xfId="0" applyAlignment="1" applyBorder="1" applyFont="1">
      <alignment horizontal="center" readingOrder="0" shrinkToFit="0" vertical="center" wrapText="0"/>
    </xf>
    <xf borderId="102" fillId="0" fontId="16" numFmtId="0" xfId="0" applyAlignment="1" applyBorder="1" applyFont="1">
      <alignment readingOrder="0" shrinkToFit="0" vertical="center" wrapText="0"/>
    </xf>
    <xf borderId="103" fillId="0" fontId="16" numFmtId="0" xfId="0" applyAlignment="1" applyBorder="1" applyFont="1">
      <alignment horizontal="center" readingOrder="0" shrinkToFit="0" vertical="center" wrapText="0"/>
    </xf>
    <xf borderId="104" fillId="0" fontId="16" numFmtId="0" xfId="0" applyAlignment="1" applyBorder="1" applyFont="1">
      <alignment readingOrder="0" shrinkToFit="0" vertical="center" wrapText="0"/>
    </xf>
    <xf borderId="104" fillId="0" fontId="16" numFmtId="0" xfId="0" applyAlignment="1" applyBorder="1" applyFont="1">
      <alignment horizontal="center" shrinkToFit="0" vertical="center" wrapText="0"/>
    </xf>
    <xf borderId="105" fillId="0" fontId="16" numFmtId="0" xfId="0" applyAlignment="1" applyBorder="1" applyFont="1">
      <alignment horizontal="center" readingOrder="0" shrinkToFit="0" vertical="center" wrapText="0"/>
    </xf>
    <xf borderId="105" fillId="0" fontId="17" numFmtId="0" xfId="0" applyAlignment="1" applyBorder="1" applyFont="1">
      <alignment horizontal="center" readingOrder="0" shrinkToFit="0" vertical="center" wrapText="0"/>
    </xf>
    <xf borderId="104" fillId="0" fontId="17" numFmtId="0" xfId="0" applyAlignment="1" applyBorder="1" applyFont="1">
      <alignment horizontal="center" readingOrder="0" shrinkToFit="0" vertical="center" wrapText="0"/>
    </xf>
    <xf borderId="106" fillId="0" fontId="17" numFmtId="0" xfId="0" applyAlignment="1" applyBorder="1" applyFont="1">
      <alignment horizontal="center" readingOrder="0" shrinkToFit="0" vertical="center" wrapText="0"/>
    </xf>
    <xf borderId="107" fillId="0" fontId="16" numFmtId="0" xfId="0" applyAlignment="1" applyBorder="1" applyFont="1">
      <alignment horizontal="center" readingOrder="0" shrinkToFit="0" vertical="center" wrapText="0"/>
    </xf>
    <xf borderId="108" fillId="0" fontId="17" numFmtId="0" xfId="0" applyAlignment="1" applyBorder="1" applyFont="1">
      <alignment horizontal="center" readingOrder="0" shrinkToFit="0" vertical="center" wrapText="0"/>
    </xf>
    <xf borderId="109" fillId="0" fontId="16" numFmtId="0" xfId="0" applyAlignment="1" applyBorder="1" applyFont="1">
      <alignment horizontal="center" readingOrder="0" shrinkToFit="0" vertical="center" wrapText="0"/>
    </xf>
    <xf borderId="47" fillId="0" fontId="16" numFmtId="0" xfId="0" applyAlignment="1" applyBorder="1" applyFont="1">
      <alignment horizontal="center" readingOrder="0" shrinkToFit="0" vertical="center" wrapText="0"/>
    </xf>
    <xf borderId="110" fillId="0" fontId="17" numFmtId="0" xfId="0" applyAlignment="1" applyBorder="1" applyFont="1">
      <alignment horizontal="center" readingOrder="0" shrinkToFit="0" vertical="center" wrapText="0"/>
    </xf>
    <xf borderId="111" fillId="0" fontId="16" numFmtId="0" xfId="0" applyAlignment="1" applyBorder="1" applyFont="1">
      <alignment horizontal="center" readingOrder="0" shrinkToFit="0" vertical="center" wrapText="0"/>
    </xf>
    <xf borderId="112" fillId="0" fontId="16" numFmtId="0" xfId="0" applyAlignment="1" applyBorder="1" applyFont="1">
      <alignment readingOrder="0" shrinkToFit="0" vertical="center" wrapText="0"/>
    </xf>
    <xf borderId="112" fillId="0" fontId="16" numFmtId="0" xfId="0" applyAlignment="1" applyBorder="1" applyFont="1">
      <alignment horizontal="center" shrinkToFit="0" vertical="center" wrapText="0"/>
    </xf>
    <xf borderId="113" fillId="0" fontId="16" numFmtId="0" xfId="0" applyAlignment="1" applyBorder="1" applyFont="1">
      <alignment horizontal="center" readingOrder="0" shrinkToFit="0" vertical="center" wrapText="0"/>
    </xf>
    <xf borderId="114" fillId="0" fontId="17" numFmtId="0" xfId="0" applyAlignment="1" applyBorder="1" applyFont="1">
      <alignment horizontal="center" readingOrder="0" shrinkToFit="0" vertical="center" wrapText="0"/>
    </xf>
    <xf borderId="112" fillId="0" fontId="17" numFmtId="0" xfId="0" applyAlignment="1" applyBorder="1" applyFont="1">
      <alignment horizontal="center" readingOrder="0" shrinkToFit="0" vertical="center" wrapText="0"/>
    </xf>
    <xf borderId="115" fillId="0" fontId="17" numFmtId="0" xfId="0" applyAlignment="1" applyBorder="1" applyFont="1">
      <alignment horizontal="center" readingOrder="0" shrinkToFit="0" vertical="center" wrapText="0"/>
    </xf>
    <xf borderId="10" fillId="0" fontId="17" numFmtId="0" xfId="0" applyAlignment="1" applyBorder="1" applyFont="1">
      <alignment horizontal="center" readingOrder="0" shrinkToFit="0" vertical="center" wrapText="0"/>
    </xf>
    <xf borderId="116" fillId="0" fontId="16" numFmtId="0" xfId="0" applyAlignment="1" applyBorder="1" applyFont="1">
      <alignment readingOrder="0" shrinkToFit="0" vertical="center" wrapText="0"/>
    </xf>
    <xf borderId="117" fillId="0" fontId="16" numFmtId="0" xfId="0" applyAlignment="1" applyBorder="1" applyFont="1">
      <alignment horizontal="center" readingOrder="0" shrinkToFit="0" vertical="center" wrapText="0"/>
    </xf>
    <xf borderId="118" fillId="0" fontId="16" numFmtId="0" xfId="0" applyAlignment="1" applyBorder="1" applyFont="1">
      <alignment readingOrder="0" shrinkToFit="0" vertical="center" wrapText="0"/>
    </xf>
    <xf borderId="118" fillId="0" fontId="16" numFmtId="0" xfId="0" applyAlignment="1" applyBorder="1" applyFont="1">
      <alignment horizontal="center" shrinkToFit="0" vertical="center" wrapText="0"/>
    </xf>
    <xf borderId="119" fillId="0" fontId="16" numFmtId="0" xfId="0" applyAlignment="1" applyBorder="1" applyFont="1">
      <alignment horizontal="center" readingOrder="0" shrinkToFit="0" vertical="center" wrapText="0"/>
    </xf>
    <xf borderId="119" fillId="0" fontId="17" numFmtId="0" xfId="0" applyAlignment="1" applyBorder="1" applyFont="1">
      <alignment horizontal="center" readingOrder="0" shrinkToFit="0" vertical="center" wrapText="0"/>
    </xf>
    <xf borderId="118" fillId="0" fontId="17" numFmtId="0" xfId="0" applyAlignment="1" applyBorder="1" applyFont="1">
      <alignment horizontal="center" readingOrder="0" shrinkToFit="0" vertical="center" wrapText="0"/>
    </xf>
    <xf borderId="120" fillId="0" fontId="17" numFmtId="0" xfId="0" applyAlignment="1" applyBorder="1" applyFont="1">
      <alignment horizontal="center" readingOrder="0" shrinkToFit="0" vertical="center" wrapText="0"/>
    </xf>
    <xf borderId="121" fillId="0" fontId="16" numFmtId="0" xfId="0" applyAlignment="1" applyBorder="1" applyFont="1">
      <alignment horizontal="center" readingOrder="0" shrinkToFit="0" vertical="center" wrapText="0"/>
    </xf>
    <xf borderId="122" fillId="0" fontId="17" numFmtId="0" xfId="0" applyAlignment="1" applyBorder="1" applyFont="1">
      <alignment horizontal="center" readingOrder="0" shrinkToFit="0" vertical="center" wrapText="0"/>
    </xf>
    <xf borderId="123" fillId="0" fontId="16" numFmtId="0" xfId="0" applyAlignment="1" applyBorder="1" applyFont="1">
      <alignment readingOrder="0" shrinkToFit="0" vertical="center" wrapText="0"/>
    </xf>
    <xf borderId="124" fillId="0" fontId="16" numFmtId="0" xfId="0" applyAlignment="1" applyBorder="1" applyFont="1">
      <alignment horizontal="center" readingOrder="0" shrinkToFit="0" vertical="center" wrapText="0"/>
    </xf>
    <xf borderId="125" fillId="0" fontId="16" numFmtId="0" xfId="0" applyAlignment="1" applyBorder="1" applyFont="1">
      <alignment readingOrder="0" shrinkToFit="0" vertical="center" wrapText="0"/>
    </xf>
    <xf borderId="125" fillId="0" fontId="16" numFmtId="0" xfId="0" applyAlignment="1" applyBorder="1" applyFont="1">
      <alignment horizontal="center" shrinkToFit="0" vertical="center" wrapText="0"/>
    </xf>
    <xf borderId="125" fillId="0" fontId="16" numFmtId="0" xfId="0" applyAlignment="1" applyBorder="1" applyFont="1">
      <alignment horizontal="center" readingOrder="0" shrinkToFit="0" vertical="center" wrapText="0"/>
    </xf>
    <xf borderId="125" fillId="0" fontId="17" numFmtId="0" xfId="0" applyAlignment="1" applyBorder="1" applyFont="1">
      <alignment horizontal="center" readingOrder="0" shrinkToFit="0" vertical="center" wrapText="0"/>
    </xf>
    <xf borderId="126" fillId="0" fontId="17" numFmtId="0" xfId="0" applyAlignment="1" applyBorder="1" applyFont="1">
      <alignment horizontal="center" readingOrder="0" shrinkToFit="0" vertical="center" wrapText="0"/>
    </xf>
    <xf borderId="127" fillId="0" fontId="16" numFmtId="0" xfId="0" applyAlignment="1" applyBorder="1" applyFont="1">
      <alignment horizontal="center" readingOrder="0" shrinkToFit="0" vertical="center" wrapText="0"/>
    </xf>
    <xf borderId="128" fillId="0" fontId="17" numFmtId="0" xfId="0" applyAlignment="1" applyBorder="1" applyFont="1">
      <alignment horizontal="center" readingOrder="0" shrinkToFit="0" vertical="center" wrapText="0"/>
    </xf>
    <xf borderId="129" fillId="0" fontId="16" numFmtId="0" xfId="0" applyAlignment="1" applyBorder="1" applyFont="1">
      <alignment horizontal="center" readingOrder="0" shrinkToFit="0" vertical="center" wrapText="0"/>
    </xf>
    <xf borderId="130" fillId="0" fontId="17" numFmtId="0" xfId="0" applyAlignment="1" applyBorder="1" applyFont="1">
      <alignment horizontal="center" readingOrder="0" shrinkToFit="0" vertical="center" wrapText="0"/>
    </xf>
    <xf borderId="131" fillId="0" fontId="16" numFmtId="0" xfId="0" applyAlignment="1" applyBorder="1" applyFont="1">
      <alignment readingOrder="0" shrinkToFit="0" vertical="center" wrapText="0"/>
    </xf>
    <xf borderId="132" fillId="0" fontId="16" numFmtId="0" xfId="0" applyAlignment="1" applyBorder="1" applyFont="1">
      <alignment horizontal="center" readingOrder="0" shrinkToFit="0" vertical="center" wrapText="0"/>
    </xf>
    <xf borderId="133" fillId="0" fontId="16" numFmtId="0" xfId="0" applyAlignment="1" applyBorder="1" applyFont="1">
      <alignment readingOrder="0" shrinkToFit="0" vertical="center" wrapText="0"/>
    </xf>
    <xf borderId="133" fillId="0" fontId="16" numFmtId="0" xfId="0" applyAlignment="1" applyBorder="1" applyFont="1">
      <alignment horizontal="center" shrinkToFit="0" vertical="center" wrapText="0"/>
    </xf>
    <xf borderId="134" fillId="0" fontId="16" numFmtId="0" xfId="0" applyAlignment="1" applyBorder="1" applyFont="1">
      <alignment horizontal="center" readingOrder="0" shrinkToFit="0" vertical="center" wrapText="0"/>
    </xf>
    <xf borderId="134" fillId="0" fontId="17" numFmtId="0" xfId="0" applyAlignment="1" applyBorder="1" applyFont="1">
      <alignment horizontal="center" readingOrder="0" shrinkToFit="0" vertical="center" wrapText="0"/>
    </xf>
    <xf borderId="133" fillId="0" fontId="17" numFmtId="0" xfId="0" applyAlignment="1" applyBorder="1" applyFont="1">
      <alignment horizontal="center" readingOrder="0" shrinkToFit="0" vertical="center" wrapText="0"/>
    </xf>
    <xf borderId="135" fillId="0" fontId="17" numFmtId="0" xfId="0" applyAlignment="1" applyBorder="1" applyFont="1">
      <alignment horizontal="center" readingOrder="0" shrinkToFit="0" vertical="center" wrapText="0"/>
    </xf>
    <xf borderId="136" fillId="0" fontId="16" numFmtId="0" xfId="0" applyAlignment="1" applyBorder="1" applyFont="1">
      <alignment horizontal="center" readingOrder="0" shrinkToFit="0" vertical="center" wrapText="0"/>
    </xf>
    <xf borderId="137" fillId="0" fontId="17" numFmtId="0" xfId="0" applyAlignment="1" applyBorder="1" applyFont="1">
      <alignment horizontal="center" readingOrder="0" shrinkToFit="0" vertical="center" wrapText="0"/>
    </xf>
    <xf borderId="138" fillId="0" fontId="16" numFmtId="0" xfId="0" applyAlignment="1" applyBorder="1" applyFont="1">
      <alignment horizontal="center" readingOrder="0" shrinkToFit="0" vertical="center" wrapText="0"/>
    </xf>
    <xf borderId="139" fillId="0" fontId="17" numFmtId="0" xfId="0" applyAlignment="1" applyBorder="1" applyFont="1">
      <alignment horizontal="center" readingOrder="0" shrinkToFit="0" vertical="center" wrapText="0"/>
    </xf>
    <xf borderId="140" fillId="0" fontId="16" numFmtId="0" xfId="0" applyAlignment="1" applyBorder="1" applyFont="1">
      <alignment readingOrder="0" shrinkToFit="0" vertical="center" wrapText="0"/>
    </xf>
    <xf borderId="141" fillId="0" fontId="16" numFmtId="0" xfId="0" applyAlignment="1" applyBorder="1" applyFont="1">
      <alignment horizontal="center" readingOrder="0" shrinkToFit="0" vertical="center" wrapText="0"/>
    </xf>
    <xf borderId="142" fillId="0" fontId="16" numFmtId="0" xfId="0" applyAlignment="1" applyBorder="1" applyFont="1">
      <alignment readingOrder="0" shrinkToFit="0" vertical="center" wrapText="0"/>
    </xf>
    <xf borderId="142" fillId="0" fontId="16" numFmtId="0" xfId="0" applyAlignment="1" applyBorder="1" applyFont="1">
      <alignment horizontal="center" shrinkToFit="0" vertical="center" wrapText="0"/>
    </xf>
    <xf borderId="143" fillId="0" fontId="16" numFmtId="0" xfId="0" applyAlignment="1" applyBorder="1" applyFont="1">
      <alignment horizontal="center" readingOrder="0" shrinkToFit="0" vertical="center" wrapText="0"/>
    </xf>
    <xf borderId="143" fillId="0" fontId="17" numFmtId="0" xfId="0" applyAlignment="1" applyBorder="1" applyFont="1">
      <alignment horizontal="center" readingOrder="0" shrinkToFit="0" vertical="center" wrapText="0"/>
    </xf>
    <xf borderId="142" fillId="0" fontId="17" numFmtId="0" xfId="0" applyAlignment="1" applyBorder="1" applyFont="1">
      <alignment horizontal="center" readingOrder="0" shrinkToFit="0" vertical="center" wrapText="0"/>
    </xf>
    <xf borderId="144" fillId="0" fontId="17" numFmtId="0" xfId="0" applyAlignment="1" applyBorder="1" applyFont="1">
      <alignment horizontal="center" readingOrder="0" shrinkToFit="0" vertical="center" wrapText="0"/>
    </xf>
    <xf borderId="145" fillId="0" fontId="16" numFmtId="0" xfId="0" applyAlignment="1" applyBorder="1" applyFont="1">
      <alignment horizontal="center" readingOrder="0" shrinkToFit="0" vertical="center" wrapText="0"/>
    </xf>
    <xf borderId="146" fillId="0" fontId="17" numFmtId="0" xfId="0" applyAlignment="1" applyBorder="1" applyFont="1">
      <alignment horizontal="center" readingOrder="0" shrinkToFit="0" vertical="center" wrapText="0"/>
    </xf>
    <xf borderId="147" fillId="0" fontId="16" numFmtId="0" xfId="0" applyAlignment="1" applyBorder="1" applyFont="1">
      <alignment horizontal="center" readingOrder="0" shrinkToFit="0" vertical="center" wrapText="0"/>
    </xf>
    <xf borderId="148" fillId="0" fontId="17" numFmtId="0" xfId="0" applyAlignment="1" applyBorder="1" applyFont="1">
      <alignment horizontal="center" readingOrder="0" shrinkToFit="0" vertical="center" wrapText="0"/>
    </xf>
    <xf borderId="149" fillId="0" fontId="16" numFmtId="0" xfId="0" applyAlignment="1" applyBorder="1" applyFont="1">
      <alignment horizontal="center" readingOrder="0" shrinkToFit="0" vertical="center" wrapText="0"/>
    </xf>
    <xf borderId="150" fillId="0" fontId="16" numFmtId="0" xfId="0" applyAlignment="1" applyBorder="1" applyFont="1">
      <alignment readingOrder="0" shrinkToFit="0" vertical="center" wrapText="0"/>
    </xf>
    <xf borderId="150" fillId="0" fontId="16" numFmtId="0" xfId="0" applyAlignment="1" applyBorder="1" applyFont="1">
      <alignment horizontal="center" shrinkToFit="0" vertical="center" wrapText="0"/>
    </xf>
    <xf borderId="151" fillId="0" fontId="16" numFmtId="0" xfId="0" applyAlignment="1" applyBorder="1" applyFont="1">
      <alignment horizontal="center" readingOrder="0" shrinkToFit="0" vertical="center" wrapText="0"/>
    </xf>
    <xf borderId="152" fillId="0" fontId="17" numFmtId="0" xfId="0" applyAlignment="1" applyBorder="1" applyFont="1">
      <alignment horizontal="center" readingOrder="0" shrinkToFit="0" vertical="center" wrapText="0"/>
    </xf>
    <xf borderId="150" fillId="0" fontId="17" numFmtId="0" xfId="0" applyAlignment="1" applyBorder="1" applyFont="1">
      <alignment horizontal="center" readingOrder="0" shrinkToFit="0" vertical="center" wrapText="0"/>
    </xf>
    <xf borderId="153" fillId="0" fontId="17" numFmtId="0" xfId="0" applyAlignment="1" applyBorder="1" applyFont="1">
      <alignment horizontal="center" readingOrder="0" shrinkToFit="0" vertical="center" wrapText="0"/>
    </xf>
    <xf borderId="154" fillId="0" fontId="16" numFmtId="0" xfId="0" applyAlignment="1" applyBorder="1" applyFont="1">
      <alignment horizontal="center" readingOrder="0" shrinkToFit="0" vertical="center" wrapText="0"/>
    </xf>
    <xf borderId="155" fillId="0" fontId="16" numFmtId="0" xfId="0" applyAlignment="1" applyBorder="1" applyFont="1">
      <alignment readingOrder="0" shrinkToFit="0" vertical="center" wrapText="0"/>
    </xf>
    <xf borderId="155" fillId="0" fontId="16" numFmtId="0" xfId="0" applyAlignment="1" applyBorder="1" applyFont="1">
      <alignment horizontal="center" shrinkToFit="0" vertical="center" wrapText="0"/>
    </xf>
    <xf borderId="156" fillId="0" fontId="16" numFmtId="0" xfId="0" applyAlignment="1" applyBorder="1" applyFont="1">
      <alignment horizontal="center" readingOrder="0" shrinkToFit="0" vertical="center" wrapText="0"/>
    </xf>
    <xf borderId="155" fillId="0" fontId="17" numFmtId="0" xfId="0" applyAlignment="1" applyBorder="1" applyFont="1">
      <alignment horizontal="center" readingOrder="0" shrinkToFit="0" vertical="center" wrapText="0"/>
    </xf>
    <xf borderId="157" fillId="0" fontId="17" numFmtId="0" xfId="0" applyAlignment="1" applyBorder="1" applyFont="1">
      <alignment horizontal="center" readingOrder="0" shrinkToFit="0" vertical="center" wrapText="0"/>
    </xf>
    <xf borderId="10" fillId="0" fontId="16" numFmtId="0" xfId="0" applyAlignment="1" applyBorder="1" applyFont="1">
      <alignment readingOrder="0" shrinkToFit="0" vertical="center" wrapText="0"/>
    </xf>
    <xf borderId="158" fillId="0" fontId="17" numFmtId="0" xfId="0" applyAlignment="1" applyBorder="1" applyFont="1">
      <alignment horizontal="center" readingOrder="0" shrinkToFit="0" vertical="center" wrapText="0"/>
    </xf>
    <xf borderId="159" fillId="0" fontId="17" numFmtId="0" xfId="0" applyAlignment="1" applyBorder="1" applyFont="1">
      <alignment horizontal="center" readingOrder="0" shrinkToFit="0" vertical="center" wrapText="0"/>
    </xf>
    <xf borderId="160" fillId="0" fontId="16" numFmtId="0" xfId="0" applyAlignment="1" applyBorder="1" applyFont="1">
      <alignment horizontal="center" readingOrder="0" shrinkToFit="0" vertical="center" wrapText="0"/>
    </xf>
    <xf borderId="160" fillId="0" fontId="16" numFmtId="0" xfId="0" applyAlignment="1" applyBorder="1" applyFont="1">
      <alignment readingOrder="0" shrinkToFit="0" vertical="center" wrapText="0"/>
    </xf>
    <xf borderId="160" fillId="0" fontId="16" numFmtId="0" xfId="0" applyAlignment="1" applyBorder="1" applyFont="1">
      <alignment horizontal="center" shrinkToFit="0" vertical="center" wrapText="0"/>
    </xf>
    <xf borderId="161" fillId="0" fontId="16" numFmtId="0" xfId="0" applyAlignment="1" applyBorder="1" applyFont="1">
      <alignment horizontal="center" readingOrder="0" shrinkToFit="0" vertical="center" wrapText="0"/>
    </xf>
    <xf borderId="161" fillId="0" fontId="17" numFmtId="0" xfId="0" applyAlignment="1" applyBorder="1" applyFont="1">
      <alignment horizontal="center" readingOrder="0" shrinkToFit="0" vertical="center" wrapText="0"/>
    </xf>
    <xf borderId="160" fillId="0" fontId="17" numFmtId="0" xfId="0" applyAlignment="1" applyBorder="1" applyFont="1">
      <alignment horizontal="center" readingOrder="0" shrinkToFit="0" vertical="center" wrapText="0"/>
    </xf>
    <xf borderId="162" fillId="0" fontId="17" numFmtId="0" xfId="0" applyAlignment="1" applyBorder="1" applyFont="1">
      <alignment horizontal="center" readingOrder="0" shrinkToFit="0" vertical="center" wrapText="0"/>
    </xf>
    <xf borderId="0" fillId="0" fontId="16" numFmtId="0" xfId="0" applyAlignment="1" applyFont="1">
      <alignment vertical="center"/>
    </xf>
    <xf borderId="0" fillId="0" fontId="16" numFmtId="0" xfId="0" applyAlignment="1" applyFont="1">
      <alignment horizontal="center" vertical="center"/>
    </xf>
    <xf borderId="0" fillId="0" fontId="16" numFmtId="0" xfId="0" applyAlignment="1" applyFont="1">
      <alignment readingOrder="0" vertical="center"/>
    </xf>
    <xf borderId="0" fillId="0" fontId="16" numFmtId="0" xfId="0" applyAlignment="1" applyFont="1">
      <alignment horizontal="center" vertical="center"/>
    </xf>
    <xf borderId="0" fillId="0" fontId="16" numFmtId="0" xfId="0" applyAlignment="1" applyFont="1">
      <alignment horizontal="center" readingOrder="0"/>
    </xf>
    <xf borderId="0" fillId="0" fontId="17" numFmtId="0" xfId="0" applyAlignment="1" applyFont="1">
      <alignment horizontal="center" readingOrder="0" vertical="center"/>
    </xf>
    <xf borderId="0" fillId="0" fontId="16" numFmtId="0" xfId="0" applyAlignment="1" applyFont="1">
      <alignment readingOrder="0"/>
    </xf>
    <xf borderId="0" fillId="0" fontId="18" numFmtId="0" xfId="0" applyFont="1"/>
    <xf borderId="0" fillId="0" fontId="19" numFmtId="0" xfId="0" applyAlignment="1" applyFont="1">
      <alignment readingOrder="0"/>
    </xf>
    <xf borderId="34" fillId="0" fontId="20" numFmtId="0" xfId="0" applyAlignment="1" applyBorder="1" applyFont="1">
      <alignment horizontal="center" readingOrder="0" shrinkToFit="0" vertical="center" wrapText="0"/>
    </xf>
    <xf borderId="35" fillId="0" fontId="20" numFmtId="0" xfId="0" applyAlignment="1" applyBorder="1" applyFont="1">
      <alignment horizontal="center" readingOrder="0" shrinkToFit="0" vertical="center" wrapText="0"/>
    </xf>
    <xf borderId="35" fillId="0" fontId="20" numFmtId="0" xfId="0" applyAlignment="1" applyBorder="1" applyFont="1">
      <alignment horizontal="center" readingOrder="0" shrinkToFit="0" vertical="center" wrapText="0"/>
    </xf>
    <xf borderId="37" fillId="0" fontId="20" numFmtId="0" xfId="0" applyAlignment="1" applyBorder="1" applyFont="1">
      <alignment horizontal="center" readingOrder="0" shrinkToFit="0" vertical="center" wrapText="0"/>
    </xf>
    <xf borderId="46" fillId="0" fontId="16" numFmtId="0" xfId="0" applyAlignment="1" applyBorder="1" applyFont="1">
      <alignment horizontal="center" shrinkToFit="0" vertical="center" wrapText="0"/>
    </xf>
    <xf borderId="158" fillId="0" fontId="16" numFmtId="166" xfId="0" applyAlignment="1" applyBorder="1" applyFont="1" applyNumberFormat="1">
      <alignment horizontal="center" shrinkToFit="0" vertical="center" wrapText="0"/>
    </xf>
    <xf borderId="47" fillId="0" fontId="16" numFmtId="0" xfId="0" applyAlignment="1" applyBorder="1" applyFont="1">
      <alignment horizontal="center" shrinkToFit="0" vertical="center" wrapText="0"/>
    </xf>
    <xf borderId="159" fillId="0" fontId="16" numFmtId="166" xfId="0" applyAlignment="1" applyBorder="1" applyFont="1" applyNumberFormat="1">
      <alignment horizontal="center" shrinkToFit="0" vertical="center" wrapText="0"/>
    </xf>
    <xf borderId="163" fillId="0" fontId="13" numFmtId="0" xfId="0" applyAlignment="1" applyBorder="1" applyFont="1">
      <alignment horizontal="center" readingOrder="0" shrinkToFit="0" vertical="center" wrapText="0"/>
    </xf>
    <xf borderId="164" fillId="9" fontId="21" numFmtId="0" xfId="0" applyAlignment="1" applyBorder="1" applyFill="1" applyFont="1">
      <alignment horizontal="right" readingOrder="0" shrinkToFit="0" vertical="center" wrapText="0"/>
    </xf>
    <xf borderId="165" fillId="9" fontId="21" numFmtId="0" xfId="0" applyAlignment="1" applyBorder="1" applyFont="1">
      <alignment horizontal="center" shrinkToFit="0" vertical="center" wrapText="0"/>
    </xf>
    <xf borderId="166" fillId="9" fontId="21" numFmtId="166" xfId="0" applyAlignment="1" applyBorder="1" applyFont="1" applyNumberFormat="1">
      <alignment horizontal="center" shrinkToFit="0" vertical="center" wrapText="0"/>
    </xf>
    <xf borderId="37" fillId="0" fontId="20" numFmtId="0" xfId="0" applyAlignment="1" applyBorder="1" applyFont="1">
      <alignment horizontal="center" readingOrder="0" shrinkToFit="0" vertical="center" wrapText="0"/>
    </xf>
    <xf borderId="167" fillId="0" fontId="16" numFmtId="0" xfId="0" applyAlignment="1" applyBorder="1" applyFont="1">
      <alignment horizontal="center" readingOrder="0" shrinkToFit="0" vertical="center" wrapText="0"/>
    </xf>
    <xf borderId="46" fillId="0" fontId="16" numFmtId="0" xfId="0" applyAlignment="1" applyBorder="1" applyFont="1">
      <alignment horizontal="center" shrinkToFit="0" vertical="center" wrapText="0"/>
    </xf>
    <xf borderId="158" fillId="0" fontId="16" numFmtId="166" xfId="0" applyAlignment="1" applyBorder="1" applyFont="1" applyNumberFormat="1">
      <alignment horizontal="center" shrinkToFit="0" vertical="center" wrapText="0"/>
    </xf>
    <xf borderId="168" fillId="0" fontId="16" numFmtId="0" xfId="0" applyAlignment="1" applyBorder="1" applyFont="1">
      <alignment horizontal="center" readingOrder="0" shrinkToFit="0" vertical="center" wrapText="0"/>
    </xf>
    <xf borderId="47" fillId="0" fontId="16" numFmtId="0" xfId="0" applyAlignment="1" applyBorder="1" applyFont="1">
      <alignment horizontal="center" shrinkToFit="0" vertical="center" wrapText="0"/>
    </xf>
    <xf borderId="159" fillId="0" fontId="16" numFmtId="166" xfId="0" applyAlignment="1" applyBorder="1" applyFont="1" applyNumberFormat="1">
      <alignment horizontal="center" shrinkToFit="0" vertical="center" wrapText="0"/>
    </xf>
    <xf borderId="166" fillId="9" fontId="21" numFmtId="166" xfId="0" applyAlignment="1" applyBorder="1" applyFont="1" applyNumberFormat="1">
      <alignment horizontal="center" shrinkToFit="0" vertical="center" wrapText="0"/>
    </xf>
    <xf borderId="34" fillId="0" fontId="20" numFmtId="0" xfId="0" applyAlignment="1" applyBorder="1" applyFont="1">
      <alignment horizontal="center" readingOrder="0" shrinkToFit="0" vertical="center" wrapText="0"/>
    </xf>
    <xf borderId="167" fillId="0" fontId="16" numFmtId="0" xfId="0" applyAlignment="1" applyBorder="1" applyFont="1">
      <alignment horizontal="center" readingOrder="0" shrinkToFit="0" vertical="center" wrapText="0"/>
    </xf>
    <xf borderId="46" fillId="0" fontId="16" numFmtId="3" xfId="0" applyAlignment="1" applyBorder="1" applyFont="1" applyNumberFormat="1">
      <alignment horizontal="center" shrinkToFit="0" vertical="center" wrapText="0"/>
    </xf>
    <xf borderId="168" fillId="0" fontId="16" numFmtId="0" xfId="0" applyAlignment="1" applyBorder="1" applyFont="1">
      <alignment horizontal="center" readingOrder="0" shrinkToFit="0" vertical="center" wrapText="0"/>
    </xf>
    <xf borderId="47" fillId="0" fontId="16" numFmtId="3" xfId="0" applyAlignment="1" applyBorder="1" applyFont="1" applyNumberFormat="1">
      <alignment horizontal="center" shrinkToFit="0" vertical="center" wrapText="0"/>
    </xf>
    <xf borderId="164" fillId="9" fontId="15" numFmtId="0" xfId="0" applyAlignment="1" applyBorder="1" applyFont="1">
      <alignment horizontal="right" readingOrder="0" shrinkToFit="0" vertical="center" wrapText="0"/>
    </xf>
    <xf borderId="165" fillId="9" fontId="15" numFmtId="0" xfId="0" applyAlignment="1" applyBorder="1" applyFont="1">
      <alignment horizontal="center" shrinkToFit="0" vertical="center" wrapText="0"/>
    </xf>
    <xf borderId="165" fillId="9" fontId="15" numFmtId="3" xfId="0" applyAlignment="1" applyBorder="1" applyFont="1" applyNumberFormat="1">
      <alignment horizontal="center" shrinkToFit="0" vertical="center" wrapText="0"/>
    </xf>
    <xf borderId="166" fillId="9" fontId="15" numFmtId="166" xfId="0" applyAlignment="1" applyBorder="1" applyFont="1" applyNumberFormat="1">
      <alignment horizontal="center" shrinkToFit="0" vertical="center" wrapText="0"/>
    </xf>
    <xf borderId="0" fillId="10" fontId="22" numFmtId="0" xfId="0" applyAlignment="1" applyFill="1" applyFont="1">
      <alignment horizontal="center" readingOrder="0" vertical="center"/>
    </xf>
    <xf borderId="0" fillId="10" fontId="22" numFmtId="0" xfId="0" applyAlignment="1" applyFont="1">
      <alignment horizontal="center" vertical="center"/>
    </xf>
    <xf borderId="0" fillId="10" fontId="23" numFmtId="0" xfId="0" applyAlignment="1" applyFont="1">
      <alignment horizontal="center" vertical="center"/>
    </xf>
    <xf borderId="0" fillId="3" fontId="24" numFmtId="167" xfId="0" applyAlignment="1" applyFont="1" applyNumberFormat="1">
      <alignment horizontal="left" readingOrder="0" vertical="center"/>
    </xf>
    <xf borderId="169" fillId="0" fontId="5" numFmtId="0" xfId="0" applyBorder="1" applyFont="1"/>
    <xf borderId="170" fillId="0" fontId="5" numFmtId="0" xfId="0" applyBorder="1" applyFont="1"/>
    <xf borderId="171" fillId="0" fontId="5" numFmtId="0" xfId="0" applyBorder="1" applyFont="1"/>
    <xf borderId="172" fillId="11" fontId="25" numFmtId="0" xfId="0" applyAlignment="1" applyBorder="1" applyFill="1" applyFont="1">
      <alignment horizontal="center" readingOrder="0" vertical="center"/>
    </xf>
    <xf borderId="173" fillId="0" fontId="5" numFmtId="0" xfId="0" applyBorder="1" applyFont="1"/>
    <xf borderId="174" fillId="0" fontId="5" numFmtId="0" xfId="0" applyBorder="1" applyFont="1"/>
    <xf borderId="0" fillId="3" fontId="23" numFmtId="0" xfId="0" applyAlignment="1" applyFont="1">
      <alignment horizontal="center" vertical="center"/>
    </xf>
    <xf borderId="175" fillId="12" fontId="20" numFmtId="0" xfId="0" applyAlignment="1" applyBorder="1" applyFill="1" applyFont="1">
      <alignment horizontal="center" vertical="center"/>
    </xf>
    <xf borderId="176" fillId="12" fontId="20" numFmtId="0" xfId="0" applyAlignment="1" applyBorder="1" applyFont="1">
      <alignment horizontal="center" vertical="center"/>
    </xf>
    <xf borderId="177" fillId="12" fontId="20" numFmtId="0" xfId="0" applyAlignment="1" applyBorder="1" applyFont="1">
      <alignment horizontal="center" vertical="center"/>
    </xf>
    <xf borderId="4" fillId="0" fontId="20" numFmtId="0" xfId="0" applyAlignment="1" applyBorder="1" applyFont="1">
      <alignment horizontal="center" vertical="center"/>
    </xf>
    <xf borderId="178" fillId="0" fontId="16" numFmtId="0" xfId="0" applyAlignment="1" applyBorder="1" applyFont="1">
      <alignment horizontal="center" readingOrder="0" vertical="center"/>
    </xf>
    <xf borderId="0" fillId="0" fontId="16" numFmtId="0" xfId="0" applyAlignment="1" applyFont="1">
      <alignment horizontal="center" readingOrder="0" vertical="center"/>
    </xf>
    <xf borderId="0" fillId="0" fontId="16" numFmtId="165" xfId="0" applyAlignment="1" applyFont="1" applyNumberFormat="1">
      <alignment horizontal="center" readingOrder="0" vertical="center"/>
    </xf>
    <xf borderId="3" fillId="0" fontId="16" numFmtId="0" xfId="0" applyAlignment="1" applyBorder="1" applyFont="1">
      <alignment horizontal="center" readingOrder="0" vertical="center"/>
    </xf>
    <xf borderId="0" fillId="3" fontId="16" numFmtId="0" xfId="0" applyAlignment="1" applyFont="1">
      <alignment horizontal="center" vertical="center"/>
    </xf>
    <xf borderId="4" fillId="0" fontId="20" numFmtId="0" xfId="0" applyAlignment="1" applyBorder="1" applyFont="1">
      <alignment horizontal="center" readingOrder="0" vertical="center"/>
    </xf>
    <xf borderId="179" fillId="0" fontId="20" numFmtId="0" xfId="0" applyAlignment="1" applyBorder="1" applyFont="1">
      <alignment horizontal="center" readingOrder="0" vertical="center"/>
    </xf>
    <xf borderId="180" fillId="0" fontId="16" numFmtId="0" xfId="0" applyAlignment="1" applyBorder="1" applyFont="1">
      <alignment horizontal="center" readingOrder="0" vertical="center"/>
    </xf>
    <xf borderId="181" fillId="0" fontId="16" numFmtId="0" xfId="0" applyAlignment="1" applyBorder="1" applyFont="1">
      <alignment horizontal="center" readingOrder="0" vertical="center"/>
    </xf>
    <xf borderId="181" fillId="0" fontId="16" numFmtId="165" xfId="0" applyAlignment="1" applyBorder="1" applyFont="1" applyNumberFormat="1">
      <alignment horizontal="center" readingOrder="0" vertical="center"/>
    </xf>
    <xf borderId="182" fillId="0" fontId="16" numFmtId="0" xfId="0" applyAlignment="1" applyBorder="1" applyFont="1">
      <alignment horizontal="center" readingOrder="0" vertical="center"/>
    </xf>
    <xf borderId="10" fillId="0" fontId="16" numFmtId="0" xfId="0" applyAlignment="1" applyBorder="1" applyFont="1">
      <alignment horizontal="center" readingOrder="0" vertical="center"/>
    </xf>
    <xf borderId="179" fillId="0" fontId="20" numFmtId="0" xfId="0" applyAlignment="1" applyBorder="1" applyFont="1">
      <alignment horizontal="center" vertical="center"/>
    </xf>
    <xf borderId="183" fillId="0" fontId="16" numFmtId="0" xfId="0" applyAlignment="1" applyBorder="1" applyFont="1">
      <alignment horizontal="center" readingOrder="0" vertical="center"/>
    </xf>
    <xf borderId="0" fillId="0" fontId="23" numFmtId="0" xfId="0" applyAlignment="1" applyFont="1">
      <alignment horizontal="center" vertical="center"/>
    </xf>
    <xf borderId="184" fillId="4" fontId="24" numFmtId="168" xfId="0" applyAlignment="1" applyBorder="1" applyFont="1" applyNumberFormat="1">
      <alignment horizontal="left" readingOrder="0" vertical="center"/>
    </xf>
    <xf borderId="185" fillId="0" fontId="5" numFmtId="0" xfId="0" applyBorder="1" applyFont="1"/>
    <xf borderId="186" fillId="0" fontId="5" numFmtId="0" xfId="0" applyBorder="1" applyFont="1"/>
    <xf borderId="0" fillId="4" fontId="23" numFmtId="0" xfId="0" applyAlignment="1" applyFont="1">
      <alignment horizontal="center" vertical="center"/>
    </xf>
    <xf borderId="4" fillId="0" fontId="26" numFmtId="0" xfId="0" applyAlignment="1" applyBorder="1" applyFont="1">
      <alignment horizontal="center" readingOrder="0" shrinkToFit="0" vertical="center" wrapText="0"/>
    </xf>
    <xf borderId="0" fillId="0" fontId="13" numFmtId="0" xfId="0" applyAlignment="1" applyFont="1">
      <alignment horizontal="center" readingOrder="0" shrinkToFit="0" vertical="center" wrapText="0"/>
    </xf>
    <xf borderId="0" fillId="0" fontId="13" numFmtId="165" xfId="0" applyAlignment="1" applyFont="1" applyNumberFormat="1">
      <alignment horizontal="center" readingOrder="0" vertical="center"/>
    </xf>
    <xf borderId="3" fillId="0" fontId="13" numFmtId="0" xfId="0" applyAlignment="1" applyBorder="1" applyFont="1">
      <alignment horizontal="center" readingOrder="0" shrinkToFit="0" vertical="center" wrapText="0"/>
    </xf>
    <xf borderId="0" fillId="4" fontId="27" numFmtId="0" xfId="0" applyAlignment="1" applyFont="1">
      <alignment horizontal="center" vertical="center"/>
    </xf>
    <xf borderId="187" fillId="13" fontId="20" numFmtId="0" xfId="0" applyAlignment="1" applyBorder="1" applyFill="1" applyFont="1">
      <alignment horizontal="center" vertical="center"/>
    </xf>
    <xf borderId="0" fillId="0" fontId="28" numFmtId="0" xfId="0" applyAlignment="1" applyFont="1">
      <alignment horizontal="center" readingOrder="0" shrinkToFit="0" vertical="center" wrapText="0"/>
    </xf>
    <xf borderId="3" fillId="0" fontId="28" numFmtId="0" xfId="0" applyAlignment="1" applyBorder="1" applyFont="1">
      <alignment horizontal="center" readingOrder="0" shrinkToFit="0" vertical="center" wrapText="0"/>
    </xf>
    <xf borderId="188" fillId="14" fontId="20" numFmtId="0" xfId="0" applyAlignment="1" applyBorder="1" applyFill="1" applyFont="1">
      <alignment horizontal="center" vertical="center"/>
    </xf>
    <xf borderId="189" fillId="13" fontId="20" numFmtId="0" xfId="0" applyAlignment="1" applyBorder="1" applyFont="1">
      <alignment horizontal="center" vertical="center"/>
    </xf>
    <xf borderId="188" fillId="13" fontId="20" numFmtId="0" xfId="0" applyAlignment="1" applyBorder="1" applyFont="1">
      <alignment horizontal="center" vertical="center"/>
    </xf>
    <xf borderId="179" fillId="0" fontId="26" numFmtId="0" xfId="0" applyAlignment="1" applyBorder="1" applyFont="1">
      <alignment horizontal="center" readingOrder="0" shrinkToFit="0" vertical="center" wrapText="0"/>
    </xf>
    <xf borderId="181" fillId="0" fontId="13" numFmtId="0" xfId="0" applyAlignment="1" applyBorder="1" applyFont="1">
      <alignment horizontal="center" readingOrder="0" shrinkToFit="0" vertical="center" wrapText="0"/>
    </xf>
    <xf borderId="181" fillId="0" fontId="13" numFmtId="165" xfId="0" applyAlignment="1" applyBorder="1" applyFont="1" applyNumberFormat="1">
      <alignment horizontal="center" readingOrder="0" vertical="center"/>
    </xf>
    <xf borderId="182" fillId="0" fontId="13" numFmtId="0" xfId="0" applyAlignment="1" applyBorder="1" applyFont="1">
      <alignment horizontal="center" readingOrder="0" shrinkToFit="0" vertical="center" wrapText="0"/>
    </xf>
    <xf borderId="190" fillId="14" fontId="20" numFmtId="0" xfId="0" applyAlignment="1" applyBorder="1" applyFont="1">
      <alignment horizontal="center" vertical="center"/>
    </xf>
    <xf borderId="181" fillId="0" fontId="28" numFmtId="0" xfId="0" applyAlignment="1" applyBorder="1" applyFont="1">
      <alignment horizontal="center" readingOrder="0" shrinkToFit="0" vertical="center" wrapText="0"/>
    </xf>
    <xf borderId="182" fillId="0" fontId="28" numFmtId="0" xfId="0" applyAlignment="1" applyBorder="1" applyFont="1">
      <alignment horizontal="center" readingOrder="0" shrinkToFit="0" vertical="center" wrapText="0"/>
    </xf>
    <xf borderId="0" fillId="15" fontId="23" numFmtId="0" xfId="0" applyAlignment="1" applyFill="1" applyFont="1">
      <alignment horizontal="center" vertical="center"/>
    </xf>
    <xf borderId="0" fillId="15" fontId="27" numFmtId="0" xfId="0" applyAlignment="1" applyFont="1">
      <alignment horizontal="center" vertical="center"/>
    </xf>
    <xf borderId="184" fillId="5" fontId="24" numFmtId="168" xfId="0" applyAlignment="1" applyBorder="1" applyFont="1" applyNumberFormat="1">
      <alignment horizontal="left" readingOrder="0" vertical="center"/>
    </xf>
    <xf borderId="0" fillId="5" fontId="23" numFmtId="0" xfId="0" applyAlignment="1" applyFont="1">
      <alignment horizontal="center" vertical="center"/>
    </xf>
    <xf borderId="191" fillId="12" fontId="20" numFmtId="0" xfId="0" applyAlignment="1" applyBorder="1" applyFont="1">
      <alignment horizontal="center" vertical="center"/>
    </xf>
    <xf borderId="192" fillId="12" fontId="20" numFmtId="0" xfId="0" applyAlignment="1" applyBorder="1" applyFont="1">
      <alignment horizontal="center" vertical="center"/>
    </xf>
    <xf borderId="193" fillId="12" fontId="20" numFmtId="0" xfId="0" applyAlignment="1" applyBorder="1" applyFont="1">
      <alignment horizontal="center" vertical="center"/>
    </xf>
    <xf borderId="0" fillId="5" fontId="16" numFmtId="0" xfId="0" applyAlignment="1" applyFont="1">
      <alignment horizontal="center" vertical="center"/>
    </xf>
    <xf borderId="194" fillId="0" fontId="20" numFmtId="0" xfId="0" applyAlignment="1" applyBorder="1" applyFont="1">
      <alignment horizontal="center" readingOrder="0" vertical="center"/>
    </xf>
    <xf borderId="0" fillId="16" fontId="29" numFmtId="0" xfId="0" applyAlignment="1" applyFill="1" applyFont="1">
      <alignment horizontal="center" vertical="center"/>
    </xf>
    <xf borderId="0" fillId="0" fontId="30" numFmtId="0" xfId="0" applyAlignment="1" applyFont="1">
      <alignment readingOrder="0"/>
    </xf>
    <xf borderId="0" fillId="17" fontId="31" numFmtId="0" xfId="0" applyAlignment="1" applyFill="1" applyFont="1">
      <alignment horizontal="right" readingOrder="0" vertical="center"/>
    </xf>
    <xf borderId="195" fillId="17" fontId="31" numFmtId="0" xfId="0" applyAlignment="1" applyBorder="1" applyFont="1">
      <alignment readingOrder="0" vertical="center"/>
    </xf>
    <xf borderId="0" fillId="0" fontId="32" numFmtId="0" xfId="0" applyAlignment="1" applyFont="1">
      <alignment vertical="center"/>
    </xf>
    <xf borderId="0" fillId="0" fontId="23" numFmtId="0" xfId="0" applyAlignment="1" applyFont="1">
      <alignment horizontal="right" vertical="center"/>
    </xf>
    <xf borderId="0" fillId="0" fontId="23" numFmtId="169" xfId="0" applyAlignment="1" applyFont="1" applyNumberFormat="1">
      <alignment horizontal="left" readingOrder="0" vertical="center"/>
    </xf>
    <xf borderId="0" fillId="0" fontId="33" numFmtId="0" xfId="0" applyFont="1"/>
    <xf borderId="0" fillId="0" fontId="34" numFmtId="0" xfId="0" applyAlignment="1" applyFont="1">
      <alignment horizontal="center" readingOrder="0" shrinkToFit="0" vertical="center" wrapText="0"/>
    </xf>
    <xf borderId="0" fillId="0" fontId="34" numFmtId="0" xfId="0" applyAlignment="1" applyFont="1">
      <alignment horizontal="center" readingOrder="0" shrinkToFit="0" vertical="center" wrapText="0"/>
    </xf>
    <xf borderId="34" fillId="0" fontId="34" numFmtId="0" xfId="0" applyAlignment="1" applyBorder="1" applyFont="1">
      <alignment horizontal="center" readingOrder="0" shrinkToFit="0" vertical="center" wrapText="0"/>
    </xf>
    <xf borderId="35" fillId="0" fontId="34" numFmtId="0" xfId="0" applyAlignment="1" applyBorder="1" applyFont="1">
      <alignment horizontal="center" readingOrder="0" shrinkToFit="0" vertical="center" wrapText="0"/>
    </xf>
    <xf borderId="35" fillId="0" fontId="34" numFmtId="0" xfId="0" applyAlignment="1" applyBorder="1" applyFont="1">
      <alignment horizontal="center" readingOrder="0" shrinkToFit="0" vertical="center" wrapText="0"/>
    </xf>
    <xf borderId="37" fillId="0" fontId="34" numFmtId="0" xfId="0" applyAlignment="1" applyBorder="1" applyFont="1">
      <alignment horizontal="center" readingOrder="0" shrinkToFit="0" vertical="center" wrapText="0"/>
    </xf>
    <xf borderId="167" fillId="0" fontId="32" numFmtId="0" xfId="0" applyAlignment="1" applyBorder="1" applyFont="1">
      <alignment horizontal="center" shrinkToFit="0" vertical="center" wrapText="0"/>
    </xf>
    <xf borderId="10" fillId="0" fontId="32" numFmtId="0" xfId="0" applyAlignment="1" applyBorder="1" applyFont="1">
      <alignment horizontal="center" shrinkToFit="0" vertical="center" wrapText="0"/>
    </xf>
    <xf borderId="46" fillId="0" fontId="32" numFmtId="0" xfId="0" applyAlignment="1" applyBorder="1" applyFont="1">
      <alignment horizontal="center" shrinkToFit="0" vertical="center" wrapText="0"/>
    </xf>
    <xf borderId="46" fillId="0" fontId="32" numFmtId="165" xfId="0" applyAlignment="1" applyBorder="1" applyFont="1" applyNumberFormat="1">
      <alignment horizontal="center" shrinkToFit="0" vertical="center" wrapText="0"/>
    </xf>
    <xf borderId="46" fillId="0" fontId="32" numFmtId="0" xfId="0" applyAlignment="1" applyBorder="1" applyFont="1">
      <alignment shrinkToFit="0" vertical="center" wrapText="0"/>
    </xf>
    <xf borderId="158" fillId="0" fontId="32" numFmtId="0" xfId="0" applyAlignment="1" applyBorder="1" applyFont="1">
      <alignment shrinkToFit="0" vertical="center" wrapText="0"/>
    </xf>
    <xf borderId="168" fillId="0" fontId="32" numFmtId="0" xfId="0" applyAlignment="1" applyBorder="1" applyFont="1">
      <alignment horizontal="center" shrinkToFit="0" vertical="center" wrapText="0"/>
    </xf>
    <xf borderId="47" fillId="0" fontId="32" numFmtId="0" xfId="0" applyAlignment="1" applyBorder="1" applyFont="1">
      <alignment horizontal="center" shrinkToFit="0" vertical="center" wrapText="0"/>
    </xf>
    <xf borderId="47" fillId="0" fontId="32" numFmtId="165" xfId="0" applyAlignment="1" applyBorder="1" applyFont="1" applyNumberFormat="1">
      <alignment horizontal="center" shrinkToFit="0" vertical="center" wrapText="0"/>
    </xf>
    <xf borderId="47" fillId="0" fontId="32" numFmtId="0" xfId="0" applyAlignment="1" applyBorder="1" applyFont="1">
      <alignment shrinkToFit="0" vertical="center" wrapText="0"/>
    </xf>
    <xf borderId="159" fillId="0" fontId="32" numFmtId="0" xfId="0" applyAlignment="1" applyBorder="1" applyFont="1">
      <alignment shrinkToFit="0" vertical="center" wrapText="0"/>
    </xf>
    <xf borderId="167" fillId="0" fontId="35" numFmtId="0" xfId="0" applyAlignment="1" applyBorder="1" applyFont="1">
      <alignment horizontal="center" shrinkToFit="0" vertical="center" wrapText="0"/>
    </xf>
    <xf borderId="10" fillId="0" fontId="35" numFmtId="0" xfId="0" applyAlignment="1" applyBorder="1" applyFont="1">
      <alignment horizontal="center" shrinkToFit="0" vertical="center" wrapText="0"/>
    </xf>
    <xf borderId="46" fillId="0" fontId="35" numFmtId="0" xfId="0" applyAlignment="1" applyBorder="1" applyFont="1">
      <alignment horizontal="center" shrinkToFit="0" vertical="center" wrapText="0"/>
    </xf>
    <xf borderId="46" fillId="0" fontId="35" numFmtId="165" xfId="0" applyAlignment="1" applyBorder="1" applyFont="1" applyNumberFormat="1">
      <alignment shrinkToFit="0" vertical="center" wrapText="0"/>
    </xf>
    <xf borderId="46" fillId="0" fontId="35" numFmtId="0" xfId="0" applyAlignment="1" applyBorder="1" applyFont="1">
      <alignment shrinkToFit="0" vertical="center" wrapText="0"/>
    </xf>
    <xf borderId="158" fillId="0" fontId="35" numFmtId="0" xfId="0" applyAlignment="1" applyBorder="1" applyFont="1">
      <alignment shrinkToFit="0" vertical="center" wrapText="0"/>
    </xf>
    <xf borderId="168" fillId="0" fontId="35" numFmtId="0" xfId="0" applyAlignment="1" applyBorder="1" applyFont="1">
      <alignment horizontal="center" shrinkToFit="0" vertical="center" wrapText="0"/>
    </xf>
    <xf borderId="47" fillId="0" fontId="35" numFmtId="0" xfId="0" applyAlignment="1" applyBorder="1" applyFont="1">
      <alignment horizontal="center" shrinkToFit="0" vertical="center" wrapText="0"/>
    </xf>
    <xf borderId="47" fillId="0" fontId="35" numFmtId="165" xfId="0" applyAlignment="1" applyBorder="1" applyFont="1" applyNumberFormat="1">
      <alignment shrinkToFit="0" vertical="center" wrapText="0"/>
    </xf>
    <xf borderId="47" fillId="0" fontId="35" numFmtId="0" xfId="0" applyAlignment="1" applyBorder="1" applyFont="1">
      <alignment shrinkToFit="0" vertical="center" wrapText="0"/>
    </xf>
    <xf borderId="159" fillId="0" fontId="35" numFmtId="0" xfId="0" applyAlignment="1" applyBorder="1" applyFont="1">
      <alignment shrinkToFit="0" vertical="center" wrapText="0"/>
    </xf>
    <xf borderId="196" fillId="0" fontId="35" numFmtId="0" xfId="0" applyAlignment="1" applyBorder="1" applyFont="1">
      <alignment horizontal="center" shrinkToFit="0" vertical="center" wrapText="0"/>
    </xf>
    <xf borderId="197" fillId="0" fontId="35" numFmtId="0" xfId="0" applyAlignment="1" applyBorder="1" applyFont="1">
      <alignment horizontal="center" shrinkToFit="0" vertical="center" wrapText="0"/>
    </xf>
    <xf borderId="197" fillId="0" fontId="35" numFmtId="165" xfId="0" applyAlignment="1" applyBorder="1" applyFont="1" applyNumberFormat="1">
      <alignment shrinkToFit="0" vertical="center" wrapText="0"/>
    </xf>
    <xf borderId="197" fillId="0" fontId="35" numFmtId="0" xfId="0" applyAlignment="1" applyBorder="1" applyFont="1">
      <alignment shrinkToFit="0" vertical="center" wrapText="0"/>
    </xf>
    <xf borderId="198" fillId="0" fontId="35" numFmtId="0" xfId="0" applyAlignment="1" applyBorder="1" applyFont="1">
      <alignment shrinkToFit="0" vertical="center" wrapText="0"/>
    </xf>
    <xf borderId="0" fillId="0" fontId="36" numFmtId="0" xfId="0" applyAlignment="1" applyFont="1">
      <alignment readingOrder="0"/>
    </xf>
    <xf borderId="199" fillId="18" fontId="37" numFmtId="0" xfId="0" applyAlignment="1" applyBorder="1" applyFill="1" applyFont="1">
      <alignment horizontal="center" readingOrder="0"/>
    </xf>
    <xf borderId="200" fillId="0" fontId="5" numFmtId="0" xfId="0" applyBorder="1" applyFont="1"/>
    <xf borderId="201" fillId="0" fontId="5" numFmtId="0" xfId="0" applyBorder="1" applyFont="1"/>
    <xf borderId="202" fillId="19" fontId="38" numFmtId="0" xfId="0" applyAlignment="1" applyBorder="1" applyFill="1" applyFont="1">
      <alignment horizontal="center" readingOrder="0" shrinkToFit="0" vertical="center" wrapText="0"/>
    </xf>
    <xf borderId="203" fillId="19" fontId="38" numFmtId="0" xfId="0" applyAlignment="1" applyBorder="1" applyFont="1">
      <alignment horizontal="center" readingOrder="0" shrinkToFit="0" vertical="center" wrapText="0"/>
    </xf>
    <xf borderId="203" fillId="19" fontId="39" numFmtId="0" xfId="0" applyAlignment="1" applyBorder="1" applyFont="1">
      <alignment horizontal="center" readingOrder="0" shrinkToFit="0" vertical="center" wrapText="0"/>
    </xf>
    <xf borderId="203" fillId="19" fontId="39" numFmtId="49" xfId="0" applyAlignment="1" applyBorder="1" applyFont="1" applyNumberFormat="1">
      <alignment horizontal="center" readingOrder="0" shrinkToFit="0" vertical="center" wrapText="0"/>
    </xf>
    <xf borderId="204" fillId="19" fontId="39" numFmtId="0" xfId="0" applyAlignment="1" applyBorder="1" applyFont="1">
      <alignment horizontal="center" readingOrder="0" shrinkToFit="0" vertical="center" wrapText="0"/>
    </xf>
    <xf borderId="205" fillId="0" fontId="40" numFmtId="0" xfId="0" applyAlignment="1" applyBorder="1" applyFont="1">
      <alignment horizontal="center" shrinkToFit="0" vertical="center" wrapText="0"/>
    </xf>
    <xf borderId="46" fillId="0" fontId="40" numFmtId="0" xfId="0" applyAlignment="1" applyBorder="1" applyFont="1">
      <alignment horizontal="center" shrinkToFit="0" vertical="center" wrapText="0"/>
    </xf>
    <xf borderId="46" fillId="0" fontId="40" numFmtId="165" xfId="0" applyAlignment="1" applyBorder="1" applyFont="1" applyNumberFormat="1">
      <alignment shrinkToFit="0" vertical="center" wrapText="0"/>
    </xf>
    <xf borderId="46" fillId="0" fontId="40" numFmtId="0" xfId="0" applyAlignment="1" applyBorder="1" applyFont="1">
      <alignment shrinkToFit="0" vertical="center" wrapText="0"/>
    </xf>
    <xf borderId="206" fillId="0" fontId="40" numFmtId="0" xfId="0" applyAlignment="1" applyBorder="1" applyFont="1">
      <alignment shrinkToFit="0" vertical="center" wrapText="0"/>
    </xf>
    <xf borderId="207" fillId="0" fontId="40" numFmtId="0" xfId="0" applyAlignment="1" applyBorder="1" applyFont="1">
      <alignment horizontal="center" shrinkToFit="0" vertical="center" wrapText="0"/>
    </xf>
    <xf borderId="10" fillId="0" fontId="40" numFmtId="0" xfId="0" applyAlignment="1" applyBorder="1" applyFont="1">
      <alignment horizontal="center" shrinkToFit="0" vertical="center" wrapText="0"/>
    </xf>
    <xf borderId="47" fillId="0" fontId="40" numFmtId="0" xfId="0" applyAlignment="1" applyBorder="1" applyFont="1">
      <alignment horizontal="center" shrinkToFit="0" vertical="center" wrapText="0"/>
    </xf>
    <xf borderId="47" fillId="0" fontId="40" numFmtId="165" xfId="0" applyAlignment="1" applyBorder="1" applyFont="1" applyNumberFormat="1">
      <alignment shrinkToFit="0" vertical="center" wrapText="0"/>
    </xf>
    <xf borderId="47" fillId="0" fontId="40" numFmtId="0" xfId="0" applyAlignment="1" applyBorder="1" applyFont="1">
      <alignment shrinkToFit="0" vertical="center" wrapText="0"/>
    </xf>
    <xf borderId="208" fillId="0" fontId="40" numFmtId="0" xfId="0" applyAlignment="1" applyBorder="1" applyFont="1">
      <alignment shrinkToFit="0" vertical="center" wrapText="0"/>
    </xf>
    <xf borderId="209" fillId="0" fontId="40" numFmtId="0" xfId="0" applyAlignment="1" applyBorder="1" applyFont="1">
      <alignment horizontal="center" shrinkToFit="0" vertical="center" wrapText="0"/>
    </xf>
    <xf borderId="210" fillId="0" fontId="40" numFmtId="0" xfId="0" applyAlignment="1" applyBorder="1" applyFont="1">
      <alignment horizontal="center" shrinkToFit="0" vertical="center" wrapText="0"/>
    </xf>
    <xf borderId="210" fillId="0" fontId="40" numFmtId="165" xfId="0" applyAlignment="1" applyBorder="1" applyFont="1" applyNumberFormat="1">
      <alignment shrinkToFit="0" vertical="center" wrapText="0"/>
    </xf>
    <xf borderId="210" fillId="0" fontId="40" numFmtId="0" xfId="0" applyAlignment="1" applyBorder="1" applyFont="1">
      <alignment shrinkToFit="0" vertical="center" wrapText="0"/>
    </xf>
    <xf borderId="211" fillId="0" fontId="40" numFmtId="0" xfId="0" applyAlignment="1" applyBorder="1" applyFont="1">
      <alignment shrinkToFit="0" vertical="center" wrapText="0"/>
    </xf>
    <xf borderId="212" fillId="0" fontId="36" numFmtId="0" xfId="0" applyAlignment="1" applyBorder="1" applyFont="1">
      <alignment horizontal="left" readingOrder="0" shrinkToFit="0" vertical="center" wrapText="0"/>
    </xf>
    <xf borderId="0" fillId="0" fontId="37" numFmtId="0" xfId="0" applyAlignment="1" applyFont="1">
      <alignment readingOrder="0"/>
    </xf>
    <xf borderId="212" fillId="0" fontId="37" numFmtId="0" xfId="0" applyAlignment="1" applyBorder="1" applyFont="1">
      <alignment horizontal="left" readingOrder="0" shrinkToFit="0" vertical="center" wrapText="0"/>
    </xf>
    <xf borderId="213" fillId="0" fontId="35" numFmtId="0" xfId="0" applyAlignment="1" applyBorder="1" applyFont="1">
      <alignment horizontal="center" shrinkToFit="0" vertical="center" wrapText="0"/>
    </xf>
    <xf borderId="0" fillId="0" fontId="35" numFmtId="0" xfId="0" applyFont="1"/>
    <xf borderId="10" fillId="0" fontId="35" numFmtId="0" xfId="0" applyAlignment="1" applyBorder="1" applyFont="1">
      <alignment horizontal="center" shrinkToFit="0" vertical="center" wrapText="0"/>
    </xf>
    <xf borderId="213" fillId="0" fontId="35" numFmtId="170" xfId="0" applyAlignment="1" applyBorder="1" applyFont="1" applyNumberFormat="1">
      <alignment readingOrder="0" shrinkToFit="0" vertical="center" wrapText="0"/>
    </xf>
    <xf borderId="0" fillId="0" fontId="41" numFmtId="0" xfId="0" applyAlignment="1" applyFont="1">
      <alignment readingOrder="0" shrinkToFit="0" vertical="bottom" wrapText="0"/>
    </xf>
    <xf borderId="213" fillId="0" fontId="35" numFmtId="0" xfId="0" applyAlignment="1" applyBorder="1" applyFont="1">
      <alignment shrinkToFit="0" vertical="center" wrapText="0"/>
    </xf>
    <xf borderId="214" fillId="0" fontId="35" numFmtId="0" xfId="0" applyAlignment="1" applyBorder="1" applyFont="1">
      <alignment horizontal="center" shrinkToFit="0" vertical="center" wrapText="0"/>
    </xf>
    <xf borderId="214" fillId="0" fontId="35" numFmtId="170" xfId="0" applyAlignment="1" applyBorder="1" applyFont="1" applyNumberFormat="1">
      <alignment readingOrder="0" shrinkToFit="0" vertical="center" wrapText="0"/>
    </xf>
    <xf borderId="214" fillId="0" fontId="35" numFmtId="0" xfId="0" applyAlignment="1" applyBorder="1" applyFont="1">
      <alignment shrinkToFit="0" vertical="center" wrapText="0"/>
    </xf>
    <xf borderId="213" fillId="0" fontId="35" numFmtId="0" xfId="0" applyAlignment="1" applyBorder="1" applyFont="1">
      <alignment readingOrder="0" shrinkToFit="0" vertical="center" wrapText="0"/>
    </xf>
    <xf borderId="215" fillId="0" fontId="35" numFmtId="0" xfId="0" applyAlignment="1" applyBorder="1" applyFont="1">
      <alignment horizontal="center" shrinkToFit="0" vertical="center" wrapText="0"/>
    </xf>
    <xf borderId="214" fillId="0" fontId="35" numFmtId="0" xfId="0" applyAlignment="1" applyBorder="1" applyFont="1">
      <alignment readingOrder="0" shrinkToFit="0" vertical="center" wrapText="0"/>
    </xf>
    <xf borderId="0" fillId="0" fontId="41" numFmtId="0" xfId="0" applyAlignment="1" applyFont="1">
      <alignment horizontal="center" readingOrder="0" shrinkToFit="0" vertical="bottom" wrapText="0"/>
    </xf>
    <xf borderId="10" fillId="0" fontId="35" numFmtId="0" xfId="0" applyAlignment="1" applyBorder="1" applyFont="1">
      <alignment horizontal="center" readingOrder="0" shrinkToFit="0" vertical="center" wrapText="0"/>
    </xf>
    <xf borderId="213" fillId="0" fontId="35" numFmtId="0" xfId="0" applyAlignment="1" applyBorder="1" applyFont="1">
      <alignment horizontal="center" readingOrder="0" shrinkToFit="0" vertical="center" wrapText="0"/>
    </xf>
    <xf borderId="216" fillId="0" fontId="36" numFmtId="0" xfId="0" applyAlignment="1" applyBorder="1" applyFont="1">
      <alignment horizontal="center" readingOrder="0" shrinkToFit="0" vertical="center" wrapText="0"/>
    </xf>
    <xf borderId="213" fillId="0" fontId="36" numFmtId="0" xfId="0" applyAlignment="1" applyBorder="1" applyFont="1">
      <alignment readingOrder="0" shrinkToFit="0" vertical="center" wrapText="0"/>
    </xf>
    <xf borderId="214" fillId="0" fontId="36" numFmtId="0" xfId="0" applyAlignment="1" applyBorder="1" applyFont="1">
      <alignment readingOrder="0" shrinkToFit="0" vertical="center" wrapText="0"/>
    </xf>
    <xf borderId="214" fillId="0" fontId="36" numFmtId="0" xfId="0" applyAlignment="1" applyBorder="1" applyFont="1">
      <alignment readingOrder="0" shrinkToFit="0" vertical="center" wrapText="0"/>
    </xf>
    <xf borderId="213" fillId="0" fontId="35" numFmtId="170" xfId="0" applyAlignment="1" applyBorder="1" applyFont="1" applyNumberFormat="1">
      <alignment shrinkToFit="0" vertical="center" wrapText="0"/>
    </xf>
    <xf borderId="216" fillId="0" fontId="35" numFmtId="170" xfId="0" applyAlignment="1" applyBorder="1" applyFont="1" applyNumberFormat="1">
      <alignment shrinkToFit="0" vertical="center" wrapText="0"/>
    </xf>
    <xf borderId="215" fillId="0" fontId="36" numFmtId="0" xfId="0" applyAlignment="1" applyBorder="1" applyFont="1">
      <alignment readingOrder="0" shrinkToFit="0" vertical="center" wrapText="0"/>
    </xf>
    <xf borderId="217" fillId="20" fontId="41" numFmtId="0" xfId="0" applyAlignment="1" applyBorder="1" applyFill="1" applyFont="1">
      <alignment horizontal="center" readingOrder="0" shrinkToFit="0" vertical="bottom" wrapText="0"/>
    </xf>
    <xf borderId="218" fillId="0" fontId="5" numFmtId="0" xfId="0" applyBorder="1" applyFont="1"/>
    <xf borderId="219" fillId="20" fontId="41" numFmtId="0" xfId="0" applyAlignment="1" applyBorder="1" applyFont="1">
      <alignment horizontal="center" readingOrder="0" shrinkToFit="0" vertical="bottom" wrapText="0"/>
    </xf>
    <xf borderId="220" fillId="20" fontId="41" numFmtId="0" xfId="0" applyAlignment="1" applyBorder="1" applyFont="1">
      <alignment horizontal="center" readingOrder="0" shrinkToFit="0" vertical="bottom" wrapText="0"/>
    </xf>
    <xf borderId="221" fillId="20" fontId="41" numFmtId="0" xfId="0" applyAlignment="1" applyBorder="1" applyFont="1">
      <alignment horizontal="center" readingOrder="0" shrinkToFit="0" vertical="bottom" wrapText="0"/>
    </xf>
    <xf borderId="222" fillId="20" fontId="41" numFmtId="0" xfId="0" applyAlignment="1" applyBorder="1" applyFont="1">
      <alignment horizontal="center" shrinkToFit="0" vertical="bottom" wrapText="0"/>
    </xf>
    <xf borderId="223" fillId="20" fontId="41" numFmtId="0" xfId="0" applyAlignment="1" applyBorder="1" applyFont="1">
      <alignment horizontal="center" readingOrder="0" shrinkToFit="0" vertical="bottom" wrapText="0"/>
    </xf>
    <xf borderId="217" fillId="21" fontId="42" numFmtId="0" xfId="0" applyAlignment="1" applyBorder="1" applyFill="1" applyFont="1">
      <alignment horizontal="center" vertical="bottom"/>
    </xf>
    <xf borderId="218" fillId="21" fontId="42" numFmtId="0" xfId="0" applyAlignment="1" applyBorder="1" applyFont="1">
      <alignment horizontal="center" vertical="bottom"/>
    </xf>
    <xf borderId="224" fillId="21" fontId="42" numFmtId="0" xfId="0" applyAlignment="1" applyBorder="1" applyFont="1">
      <alignment horizontal="center" vertical="bottom"/>
    </xf>
    <xf borderId="219" fillId="21" fontId="42" numFmtId="0" xfId="0" applyAlignment="1" applyBorder="1" applyFont="1">
      <alignment horizontal="center" vertical="bottom"/>
    </xf>
    <xf borderId="0" fillId="0" fontId="35" numFmtId="0" xfId="0" applyAlignment="1" applyFont="1">
      <alignment readingOrder="0"/>
    </xf>
    <xf borderId="220" fillId="21" fontId="42" numFmtId="0" xfId="0" applyAlignment="1" applyBorder="1" applyFont="1">
      <alignment horizontal="center" vertical="bottom"/>
    </xf>
    <xf borderId="221" fillId="21" fontId="42" numFmtId="0" xfId="0" applyAlignment="1" applyBorder="1" applyFont="1">
      <alignment horizontal="center" vertical="bottom"/>
    </xf>
    <xf borderId="222" fillId="21" fontId="42" numFmtId="0" xfId="0" applyAlignment="1" applyBorder="1" applyFont="1">
      <alignment horizontal="center" vertical="bottom"/>
    </xf>
    <xf borderId="223" fillId="21" fontId="43" numFmtId="0" xfId="0" applyAlignment="1" applyBorder="1" applyFont="1">
      <alignment vertical="bottom"/>
    </xf>
    <xf borderId="225" fillId="22" fontId="41" numFmtId="0" xfId="0" applyAlignment="1" applyBorder="1" applyFill="1" applyFont="1">
      <alignment horizontal="center" readingOrder="0" shrinkToFit="0" vertical="bottom" wrapText="0"/>
    </xf>
    <xf borderId="219" fillId="22" fontId="41" numFmtId="0" xfId="0" applyAlignment="1" applyBorder="1" applyFont="1">
      <alignment horizontal="center" readingOrder="0" shrinkToFit="0" vertical="bottom" wrapText="0"/>
    </xf>
    <xf borderId="220" fillId="22" fontId="41" numFmtId="0" xfId="0" applyAlignment="1" applyBorder="1" applyFont="1">
      <alignment horizontal="center" readingOrder="0" shrinkToFit="0" vertical="bottom" wrapText="0"/>
    </xf>
    <xf borderId="220" fillId="22" fontId="41" numFmtId="0" xfId="0" applyAlignment="1" applyBorder="1" applyFont="1">
      <alignment horizontal="center" shrinkToFit="0" vertical="bottom" wrapText="0"/>
    </xf>
    <xf borderId="217" fillId="23" fontId="41" numFmtId="0" xfId="0" applyAlignment="1" applyBorder="1" applyFill="1" applyFont="1">
      <alignment horizontal="center" readingOrder="0" shrinkToFit="0" vertical="bottom" wrapText="0"/>
    </xf>
    <xf borderId="226" fillId="23" fontId="41" numFmtId="0" xfId="0" applyAlignment="1" applyBorder="1" applyFont="1">
      <alignment horizontal="center" readingOrder="0" shrinkToFit="0" vertical="bottom" wrapText="0"/>
    </xf>
    <xf borderId="222" fillId="22" fontId="41" numFmtId="0" xfId="0" applyAlignment="1" applyBorder="1" applyFont="1">
      <alignment horizontal="center" shrinkToFit="0" vertical="bottom" wrapText="0"/>
    </xf>
    <xf borderId="218" fillId="23" fontId="41" numFmtId="0" xfId="0" applyAlignment="1" applyBorder="1" applyFont="1">
      <alignment horizontal="center" readingOrder="0" shrinkToFit="0" vertical="bottom" wrapText="0"/>
    </xf>
    <xf borderId="221" fillId="23" fontId="41" numFmtId="0" xfId="0" applyAlignment="1" applyBorder="1" applyFont="1">
      <alignment horizontal="center" readingOrder="0" shrinkToFit="0" vertical="bottom" wrapText="0"/>
    </xf>
    <xf borderId="217" fillId="24" fontId="41" numFmtId="0" xfId="0" applyAlignment="1" applyBorder="1" applyFill="1" applyFont="1">
      <alignment horizontal="center" readingOrder="0" shrinkToFit="0" vertical="bottom" wrapText="0"/>
    </xf>
    <xf borderId="227" fillId="24" fontId="41" numFmtId="0" xfId="0" applyAlignment="1" applyBorder="1" applyFont="1">
      <alignment horizontal="center" readingOrder="0" shrinkToFit="0" vertical="bottom" wrapText="0"/>
    </xf>
    <xf borderId="226" fillId="24" fontId="41" numFmtId="0" xfId="0" applyAlignment="1" applyBorder="1" applyFont="1">
      <alignment horizontal="center" readingOrder="0" shrinkToFit="0" vertical="bottom" wrapText="0"/>
    </xf>
    <xf borderId="221" fillId="23" fontId="41" numFmtId="0" xfId="0" applyAlignment="1" applyBorder="1" applyFont="1">
      <alignment horizontal="center" shrinkToFit="0" vertical="bottom" wrapText="0"/>
    </xf>
    <xf borderId="224" fillId="23" fontId="41" numFmtId="0" xfId="0" applyAlignment="1" applyBorder="1" applyFont="1">
      <alignment horizontal="center" shrinkToFit="0" vertical="bottom" wrapText="0"/>
    </xf>
    <xf borderId="223" fillId="23" fontId="41" numFmtId="0" xfId="0" applyAlignment="1" applyBorder="1" applyFont="1">
      <alignment horizontal="center" shrinkToFit="0" vertical="bottom" wrapText="0"/>
    </xf>
    <xf borderId="228" fillId="24" fontId="41" numFmtId="0" xfId="0" applyAlignment="1" applyBorder="1" applyFont="1">
      <alignment horizontal="center" readingOrder="0" shrinkToFit="0" vertical="bottom" wrapText="0"/>
    </xf>
    <xf borderId="221" fillId="24" fontId="41" numFmtId="0" xfId="0" applyAlignment="1" applyBorder="1" applyFont="1">
      <alignment horizontal="center" readingOrder="0" shrinkToFit="0" vertical="bottom" wrapText="0"/>
    </xf>
    <xf borderId="218" fillId="24" fontId="41" numFmtId="0" xfId="0" applyAlignment="1" applyBorder="1" applyFont="1">
      <alignment horizontal="center" readingOrder="0" shrinkToFit="0" vertical="bottom" wrapText="0"/>
    </xf>
    <xf borderId="228" fillId="0" fontId="5" numFmtId="0" xfId="0" applyBorder="1" applyFont="1"/>
    <xf borderId="217" fillId="25" fontId="41" numFmtId="0" xfId="0" applyAlignment="1" applyBorder="1" applyFill="1" applyFont="1">
      <alignment horizontal="center" readingOrder="0" shrinkToFit="0" vertical="bottom" wrapText="0"/>
    </xf>
    <xf borderId="219" fillId="25" fontId="41" numFmtId="0" xfId="0" applyAlignment="1" applyBorder="1" applyFont="1">
      <alignment horizontal="center" readingOrder="0" shrinkToFit="0" vertical="bottom" wrapText="0"/>
    </xf>
    <xf borderId="220" fillId="25" fontId="41" numFmtId="0" xfId="0" applyAlignment="1" applyBorder="1" applyFont="1">
      <alignment horizontal="center" readingOrder="0" shrinkToFit="0" vertical="bottom" wrapText="0"/>
    </xf>
    <xf borderId="222" fillId="25" fontId="41" numFmtId="0" xfId="0" applyAlignment="1" applyBorder="1" applyFont="1">
      <alignment horizontal="center" readingOrder="0" shrinkToFit="0" vertical="bottom" wrapText="0"/>
    </xf>
    <xf borderId="224" fillId="24" fontId="41" numFmtId="0" xfId="0" applyAlignment="1" applyBorder="1" applyFont="1">
      <alignment horizontal="center" shrinkToFit="0" vertical="bottom" wrapText="0"/>
    </xf>
    <xf borderId="223" fillId="24" fontId="41" numFmtId="0" xfId="0" applyAlignment="1" applyBorder="1" applyFont="1">
      <alignment horizontal="center" shrinkToFit="0" vertical="bottom" wrapText="0"/>
    </xf>
    <xf borderId="223" fillId="25" fontId="41" numFmtId="0" xfId="0" applyAlignment="1" applyBorder="1" applyFont="1">
      <alignment horizontal="center" readingOrder="0" shrinkToFit="0" vertical="bottom" wrapText="0"/>
    </xf>
    <xf borderId="221" fillId="25" fontId="41" numFmtId="0" xfId="0" applyAlignment="1" applyBorder="1" applyFont="1">
      <alignment horizontal="center" readingOrder="0" shrinkToFit="0" vertical="bottom" wrapText="0"/>
    </xf>
    <xf borderId="218" fillId="25" fontId="41" numFmtId="0" xfId="0" applyAlignment="1" applyBorder="1" applyFont="1">
      <alignment horizontal="center" readingOrder="0" shrinkToFit="0" vertical="bottom" wrapText="0"/>
    </xf>
    <xf borderId="225" fillId="26" fontId="41" numFmtId="0" xfId="0" applyAlignment="1" applyBorder="1" applyFill="1" applyFont="1">
      <alignment horizontal="center" readingOrder="0" shrinkToFit="0" vertical="bottom" wrapText="0"/>
    </xf>
    <xf borderId="219" fillId="26" fontId="41" numFmtId="0" xfId="0" applyAlignment="1" applyBorder="1" applyFont="1">
      <alignment horizontal="center" readingOrder="0" shrinkToFit="0" vertical="bottom" wrapText="0"/>
    </xf>
    <xf borderId="220" fillId="26" fontId="41" numFmtId="0" xfId="0" applyAlignment="1" applyBorder="1" applyFont="1">
      <alignment horizontal="center" readingOrder="0" shrinkToFit="0" vertical="bottom" wrapText="0"/>
    </xf>
    <xf borderId="223" fillId="25" fontId="41" numFmtId="0" xfId="0" applyAlignment="1" applyBorder="1" applyFont="1">
      <alignment horizontal="center" shrinkToFit="0" vertical="bottom" wrapText="0"/>
    </xf>
    <xf borderId="222" fillId="26" fontId="41" numFmtId="0" xfId="0" applyAlignment="1" applyBorder="1" applyFont="1">
      <alignment horizontal="center" readingOrder="0" shrinkToFit="0" vertical="bottom" wrapText="0"/>
    </xf>
  </cellXfs>
  <cellStyles count="1">
    <cellStyle xfId="0" name="Normal" builtinId="0"/>
  </cellStyles>
  <dxfs count="28">
    <dxf>
      <font>
        <b/>
        <color rgb="FF000000"/>
      </font>
      <fill>
        <patternFill patternType="solid">
          <fgColor rgb="FFE1FFBF"/>
          <bgColor rgb="FFE1FFBF"/>
        </patternFill>
      </fill>
      <border/>
    </dxf>
    <dxf>
      <font>
        <color rgb="FF000000"/>
      </font>
      <fill>
        <patternFill patternType="solid">
          <fgColor rgb="FFDEEAF6"/>
          <bgColor rgb="FFDEEAF6"/>
        </patternFill>
      </fill>
      <border/>
    </dxf>
    <dxf>
      <font>
        <color rgb="FF000000"/>
      </font>
      <fill>
        <patternFill patternType="solid">
          <fgColor rgb="FFC8B6FF"/>
          <bgColor rgb="FFC8B6FF"/>
        </patternFill>
      </fill>
      <border/>
    </dxf>
    <dxf>
      <font>
        <color rgb="FF000000"/>
      </font>
      <fill>
        <patternFill patternType="solid">
          <fgColor rgb="FFFCE3D6"/>
          <bgColor rgb="FFFCE3D6"/>
        </patternFill>
      </fill>
      <border/>
    </dxf>
    <dxf>
      <font>
        <color rgb="FF000000"/>
      </font>
      <fill>
        <patternFill patternType="solid">
          <fgColor rgb="FFFFF5A2"/>
          <bgColor rgb="FFFFF5A2"/>
        </patternFill>
      </fill>
      <border/>
    </dxf>
    <dxf>
      <font>
        <color rgb="FF000000"/>
      </font>
      <fill>
        <patternFill patternType="solid">
          <fgColor rgb="FFE1F0DA"/>
          <bgColor rgb="FFE1F0DA"/>
        </patternFill>
      </fill>
      <border/>
    </dxf>
    <dxf>
      <font>
        <color rgb="FF000000"/>
      </font>
      <fill>
        <patternFill patternType="solid">
          <fgColor rgb="FFF1E2E8"/>
          <bgColor rgb="FFF1E2E8"/>
        </patternFill>
      </fill>
      <border/>
    </dxf>
    <dxf>
      <font>
        <color rgb="FF000000"/>
      </font>
      <fill>
        <patternFill patternType="solid">
          <fgColor rgb="FFE8E5E6"/>
          <bgColor rgb="FFE8E5E6"/>
        </patternFill>
      </fill>
      <border/>
    </dxf>
    <dxf>
      <font>
        <color rgb="FF000000"/>
      </font>
      <fill>
        <patternFill patternType="solid">
          <fgColor rgb="FFFFF3CC"/>
          <bgColor rgb="FFFFF3CC"/>
        </patternFill>
      </fill>
      <border/>
    </dxf>
    <dxf>
      <font>
        <color rgb="FF000000"/>
      </font>
      <fill>
        <patternFill patternType="solid">
          <fgColor rgb="FF8EAADB"/>
          <bgColor rgb="FF8EAADB"/>
        </patternFill>
      </fill>
      <border/>
    </dxf>
    <dxf>
      <font>
        <color rgb="FF000000"/>
      </font>
      <fill>
        <patternFill patternType="solid">
          <fgColor rgb="FFF7B3DA"/>
          <bgColor rgb="FFF7B3DA"/>
        </patternFill>
      </fill>
      <border/>
    </dxf>
    <dxf>
      <font>
        <color rgb="FF000000"/>
      </font>
      <fill>
        <patternFill patternType="solid">
          <fgColor rgb="FFD4EDBC"/>
          <bgColor rgb="FFD4EDBC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>
        <b/>
      </font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CCCCCC"/>
          <bgColor rgb="FFCCCCCC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CDD9D4"/>
          <bgColor rgb="FFCDD9D4"/>
        </patternFill>
      </fill>
      <border/>
    </dxf>
    <dxf>
      <font>
        <color rgb="FF000000"/>
      </font>
      <fill>
        <patternFill patternType="solid">
          <fgColor rgb="FFFFD08A"/>
          <bgColor rgb="FFFFD08A"/>
        </patternFill>
      </fill>
      <border/>
    </dxf>
    <dxf>
      <font>
        <color rgb="FF000000"/>
      </font>
      <fill>
        <patternFill patternType="solid">
          <fgColor rgb="FF9FE2BF"/>
          <bgColor rgb="FF9FE2BF"/>
        </patternFill>
      </fill>
      <border/>
    </dxf>
    <dxf>
      <font>
        <color rgb="FF000000"/>
      </font>
      <fill>
        <patternFill patternType="solid">
          <fgColor rgb="FF8CB6FF"/>
          <bgColor rgb="FF8CB6FF"/>
        </patternFill>
      </fill>
      <border/>
    </dxf>
    <dxf>
      <font>
        <color rgb="FF000000"/>
      </font>
      <fill>
        <patternFill patternType="solid">
          <fgColor rgb="FFFFD6C9"/>
          <bgColor rgb="FFFFD6C9"/>
        </patternFill>
      </fill>
      <border/>
    </dxf>
    <dxf>
      <font>
        <color rgb="FF000000"/>
      </font>
      <fill>
        <patternFill patternType="solid">
          <fgColor rgb="FFE3A8D6"/>
          <bgColor rgb="FFE3A8D6"/>
        </patternFill>
      </fill>
      <border/>
    </dxf>
    <dxf>
      <font>
        <color rgb="FF000000"/>
      </font>
      <fill>
        <patternFill patternType="solid">
          <fgColor rgb="FFB0E0E6"/>
          <bgColor rgb="FFB0E0E6"/>
        </patternFill>
      </fill>
      <border/>
    </dxf>
    <dxf>
      <font>
        <color rgb="FF000000"/>
      </font>
      <fill>
        <patternFill patternType="solid">
          <fgColor rgb="FFB5E6A9"/>
          <bgColor rgb="FFB5E6A9"/>
        </patternFill>
      </fill>
      <border/>
    </dxf>
    <dxf>
      <font/>
      <fill>
        <patternFill patternType="solid">
          <fgColor rgb="FFF1C232"/>
          <bgColor rgb="FFF1C232"/>
        </patternFill>
      </fill>
      <border/>
    </dxf>
  </dxfs>
  <tableStyles count="13">
    <tableStyle count="3" pivot="0" name="Scores-style">
      <tableStyleElement dxfId="13" type="headerRow"/>
      <tableStyleElement dxfId="14" type="firstRowStripe"/>
      <tableStyleElement dxfId="15" type="secondRowStripe"/>
    </tableStyle>
    <tableStyle count="3" pivot="0" name="Brkt Status-style">
      <tableStyleElement dxfId="13" type="headerRow"/>
      <tableStyleElement dxfId="14" type="firstRowStripe"/>
      <tableStyleElement dxfId="15" type="secondRowStripe"/>
    </tableStyle>
    <tableStyle count="4" pivot="0" name="Fun Stats-style">
      <tableStyleElement dxfId="13" type="headerRow"/>
      <tableStyleElement dxfId="14" type="firstRowStripe"/>
      <tableStyleElement dxfId="15" type="secondRowStripe"/>
      <tableStyleElement dxfId="19" type="totalRow"/>
    </tableStyle>
    <tableStyle count="4" pivot="0" name="Fun Stats-style 2">
      <tableStyleElement dxfId="13" type="headerRow"/>
      <tableStyleElement dxfId="14" type="firstRowStripe"/>
      <tableStyleElement dxfId="15" type="secondRowStripe"/>
      <tableStyleElement dxfId="19" type="totalRow"/>
    </tableStyle>
    <tableStyle count="4" pivot="0" name="Fun Stats-style 3">
      <tableStyleElement dxfId="13" type="headerRow"/>
      <tableStyleElement dxfId="14" type="firstRowStripe"/>
      <tableStyleElement dxfId="15" type="secondRowStripe"/>
      <tableStyleElement dxfId="19" type="totalRow"/>
    </tableStyle>
    <tableStyle count="2" pivot="0" name="Master-style">
      <tableStyleElement dxfId="14" type="firstRowStripe"/>
      <tableStyleElement dxfId="15" type="secondRowStripe"/>
    </tableStyle>
    <tableStyle count="3" pivot="0" name="Pocket_schedule-style">
      <tableStyleElement dxfId="13" type="headerRow"/>
      <tableStyleElement dxfId="14" type="firstRowStripe"/>
      <tableStyleElement dxfId="15" type="secondRowStripe"/>
    </tableStyle>
    <tableStyle count="3" pivot="0" name="Pocket_schedule-style 2">
      <tableStyleElement dxfId="27" type="headerRow"/>
      <tableStyleElement dxfId="14" type="firstRowStripe"/>
      <tableStyleElement dxfId="15" type="secondRowStripe"/>
    </tableStyle>
    <tableStyle count="3" pivot="0" name="z_Source-style">
      <tableStyleElement dxfId="13" type="headerRow"/>
      <tableStyleElement dxfId="14" type="firstRowStripe"/>
      <tableStyleElement dxfId="15" type="secondRowStripe"/>
    </tableStyle>
    <tableStyle count="3" pivot="0" name="z_Source-style 2">
      <tableStyleElement dxfId="13" type="headerRow"/>
      <tableStyleElement dxfId="14" type="firstRowStripe"/>
      <tableStyleElement dxfId="15" type="secondRowStripe"/>
    </tableStyle>
    <tableStyle count="3" pivot="0" name="z_Source-style 3">
      <tableStyleElement dxfId="13" type="headerRow"/>
      <tableStyleElement dxfId="14" type="firstRowStripe"/>
      <tableStyleElement dxfId="15" type="secondRowStripe"/>
    </tableStyle>
    <tableStyle count="3" pivot="0" name="z_Source-style 4">
      <tableStyleElement dxfId="13" type="headerRow"/>
      <tableStyleElement dxfId="14" type="firstRowStripe"/>
      <tableStyleElement dxfId="15" type="secondRowStripe"/>
    </tableStyle>
    <tableStyle count="3" pivot="0" name="z_Source-style 5">
      <tableStyleElement dxfId="13" type="headerRow"/>
      <tableStyleElement dxfId="14" type="firstRowStripe"/>
      <tableStyleElement dxfId="1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561975</xdr:colOff>
      <xdr:row>0</xdr:row>
      <xdr:rowOff>47625</xdr:rowOff>
    </xdr:from>
    <xdr:ext cx="1676400" cy="5715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209550</xdr:colOff>
      <xdr:row>0</xdr:row>
      <xdr:rowOff>47625</xdr:rowOff>
    </xdr:from>
    <xdr:ext cx="2647950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J86" displayName="Game_List" name="Game_List" id="1">
  <autoFilter ref="$A$1:$J$86"/>
  <tableColumns count="10">
    <tableColumn name="GM" id="1"/>
    <tableColumn name="Div" id="2"/>
    <tableColumn name="Day" id="3"/>
    <tableColumn name="Pool" id="4"/>
    <tableColumn name="Time" id="5"/>
    <tableColumn name="Dark caps" id="6"/>
    <tableColumn name="Dk Score" id="7"/>
    <tableColumn name="Light caps" id="8"/>
    <tableColumn name="Lt Score" id="9"/>
    <tableColumn name="Winner" id="10"/>
  </tableColumns>
  <tableStyleInfo name="Scores-style" showColumnStripes="0" showFirstColumn="1" showLastColumn="1" showRowStripes="1"/>
</table>
</file>

<file path=xl/tables/table2.xml><?xml version="1.0" encoding="utf-8"?>
<table xmlns="http://schemas.openxmlformats.org/spreadsheetml/2006/main" ref="A2:I41" displayName="Bracket_Ranks" name="Bracket_Ranks" id="2">
  <tableColumns count="9">
    <tableColumn name="Division" id="1"/>
    <tableColumn name="Bracket" id="2"/>
    <tableColumn name="Team Name" id="3"/>
    <tableColumn name="Wins" id="4"/>
    <tableColumn name="Brk Rank" id="5"/>
    <tableColumn name="Div Rank" id="6"/>
    <tableColumn name="Goals For" id="7"/>
    <tableColumn name="Goal Against" id="8"/>
    <tableColumn name="Goal Diff" id="9"/>
  </tableColumns>
  <tableStyleInfo name="Brkt Status-style" showColumnStripes="0" showFirstColumn="1" showLastColumn="1" showRowStripes="1"/>
</table>
</file>

<file path=xl/tables/table3.xml><?xml version="1.0" encoding="utf-8"?>
<table xmlns="http://schemas.openxmlformats.org/spreadsheetml/2006/main" totalsRowCount="1" ref="A4:F12" displayName="Total_Points_by_Division" name="Total_Points_by_Division" id="3">
  <tableColumns count="6">
    <tableColumn totalsRowLabel="Total" name="Division" id="1"/>
    <tableColumn totalsRowFunction="custom" name="Dark Pts" id="2"/>
    <tableColumn totalsRowFunction="custom" name="Light Pts" id="3"/>
    <tableColumn totalsRowFunction="custom" name="Total" id="4"/>
    <tableColumn totalsRowFunction="custom" name="No. Games" id="5"/>
    <tableColumn totalsRowFunction="custom" name="Avg per Game" id="6"/>
  </tableColumns>
  <tableStyleInfo name="Fun Stats-style" showColumnStripes="0" showFirstColumn="1" showLastColumn="1" showRowStripes="1"/>
</table>
</file>

<file path=xl/tables/table4.xml><?xml version="1.0" encoding="utf-8"?>
<table xmlns="http://schemas.openxmlformats.org/spreadsheetml/2006/main" totalsRowCount="1" ref="A14:F18" displayName="Points_per_Pool" name="Points_per_Pool" id="4">
  <tableColumns count="6">
    <tableColumn totalsRowLabel="Total" name="Pool" id="1"/>
    <tableColumn totalsRowFunction="custom" name="Dark Pts" id="2"/>
    <tableColumn totalsRowFunction="custom" name="Light Pts" id="3"/>
    <tableColumn totalsRowFunction="custom" name="Total" id="4"/>
    <tableColumn totalsRowFunction="custom" name="No. Games" id="5"/>
    <tableColumn totalsRowFunction="custom" name="Avg per Game" id="6"/>
  </tableColumns>
  <tableStyleInfo name="Fun Stats-style 2" showColumnStripes="0" showFirstColumn="1" showLastColumn="1" showRowStripes="1"/>
</table>
</file>

<file path=xl/tables/table5.xml><?xml version="1.0" encoding="utf-8"?>
<table xmlns="http://schemas.openxmlformats.org/spreadsheetml/2006/main" totalsRowCount="1" ref="A20:F35" displayName="Club_Stats" name="Club_Stats" id="5">
  <tableColumns count="6">
    <tableColumn totalsRowLabel="Total" name="Club" id="1"/>
    <tableColumn totalsRowFunction="custom" name="Dark Pts" id="2"/>
    <tableColumn totalsRowFunction="custom" name="Light Pts" id="3"/>
    <tableColumn totalsRowFunction="custom" name="Total" id="4"/>
    <tableColumn totalsRowFunction="custom" name="No. Games" id="5"/>
    <tableColumn totalsRowFunction="custom" name="Avg per Game" id="6"/>
  </tableColumns>
  <tableStyleInfo name="Fun Stats-style 3" showColumnStripes="0" showFirstColumn="1" showLastColumn="1" showRowStripes="1"/>
</table>
</file>

<file path=xl/tables/table6.xml><?xml version="1.0" encoding="utf-8"?>
<table xmlns="http://schemas.openxmlformats.org/spreadsheetml/2006/main" headerRowCount="0" ref="G27:G40" displayName="Table_1" name="Table_1" id="6">
  <tableColumns count="1">
    <tableColumn name="Column1" id="1"/>
  </tableColumns>
  <tableStyleInfo name="Master-style" showColumnStripes="0" showFirstColumn="1" showLastColumn="1" showRowStripes="1"/>
</table>
</file>

<file path=xl/tables/table7.xml><?xml version="1.0" encoding="utf-8"?>
<table xmlns="http://schemas.openxmlformats.org/spreadsheetml/2006/main" ref="A4:G22" displayName="Pocket_Schedule" name="Pocket_Schedule" id="7">
  <tableColumns count="7">
    <tableColumn name="GAME" id="1"/>
    <tableColumn name="Division" id="2"/>
    <tableColumn name="Day" id="3"/>
    <tableColumn name="Pool" id="4"/>
    <tableColumn name="Time" id="5"/>
    <tableColumn name="Dark Caps" id="6"/>
    <tableColumn name="Light Caps" id="7"/>
  </tableColumns>
  <tableStyleInfo name="Pocket_schedule-style" showColumnStripes="0" showFirstColumn="1" showLastColumn="1" showRowStripes="1"/>
</table>
</file>

<file path=xl/tables/table8.xml><?xml version="1.0" encoding="utf-8"?>
<table xmlns="http://schemas.openxmlformats.org/spreadsheetml/2006/main" ref="A25:G47" displayName="Table1" name="Table1" id="8">
  <tableColumns count="7">
    <tableColumn name="GAME" id="1"/>
    <tableColumn name="Division" id="2"/>
    <tableColumn name="Day" id="3"/>
    <tableColumn name="Pool" id="4"/>
    <tableColumn name="Time" id="5"/>
    <tableColumn name="Dark caps" id="6"/>
    <tableColumn name="Light caps" id="7"/>
  </tableColumns>
  <tableStyleInfo name="Pocket_schedule-style 2" showColumnStripes="0" showFirstColumn="1" showLastColumn="1" showRowStripes="1"/>
</table>
</file>

<file path=xl/tables/table9.xml><?xml version="1.0" encoding="utf-8"?>
<table xmlns="http://schemas.openxmlformats.org/spreadsheetml/2006/main" ref="A1:A6" displayName="tbl_src_Pool" name="tbl_src_Pool" id="9">
  <tableColumns count="1">
    <tableColumn name="Pool" id="1"/>
  </tableColumns>
  <tableStyleInfo name="z_Source-style" showColumnStripes="0" showFirstColumn="1" showLastColumn="1" showRowStripes="1"/>
</table>
</file>

<file path=xl/tables/table10.xml><?xml version="1.0" encoding="utf-8"?>
<table xmlns="http://schemas.openxmlformats.org/spreadsheetml/2006/main" ref="C1:C13" displayName="tbl_src_Division" name="tbl_src_Division" id="10">
  <tableColumns count="1">
    <tableColumn name="Division" id="1"/>
  </tableColumns>
  <tableStyleInfo name="z_Source-style 2" showColumnStripes="0" showFirstColumn="1" showLastColumn="1" showRowStripes="1"/>
</table>
</file>

<file path=xl/tables/table11.xml><?xml version="1.0" encoding="utf-8"?>
<table xmlns="http://schemas.openxmlformats.org/spreadsheetml/2006/main" ref="E1:E23" displayName="src_tbl_Time" name="src_tbl_Time" id="11">
  <tableColumns count="1">
    <tableColumn name="Time" id="1"/>
  </tableColumns>
  <tableStyleInfo name="z_Source-style 3" showColumnStripes="0" showFirstColumn="1" showLastColumn="1" showRowStripes="1"/>
</table>
</file>

<file path=xl/tables/table12.xml><?xml version="1.0" encoding="utf-8"?>
<table xmlns="http://schemas.openxmlformats.org/spreadsheetml/2006/main" ref="G1:G28" displayName="tbl_src_Bracket" name="tbl_src_Bracket" id="12">
  <tableColumns count="1">
    <tableColumn name="Bracket" id="1"/>
  </tableColumns>
  <tableStyleInfo name="z_Source-style 4" showColumnStripes="0" showFirstColumn="1" showLastColumn="1" showRowStripes="1"/>
</table>
</file>

<file path=xl/tables/table13.xml><?xml version="1.0" encoding="utf-8"?>
<table xmlns="http://schemas.openxmlformats.org/spreadsheetml/2006/main" ref="I1:I24" displayName="tbl_src_TeamName" name="tbl_src_TeamName" id="13">
  <tableColumns count="1">
    <tableColumn name="TeamName" id="1"/>
  </tableColumns>
  <tableStyleInfo name="z_Source-style 5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Relationship Id="rId5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5" Type="http://schemas.openxmlformats.org/officeDocument/2006/relationships/table" Target="../tables/table3.xml"/><Relationship Id="rId6" Type="http://schemas.openxmlformats.org/officeDocument/2006/relationships/table" Target="../tables/table4.xml"/><Relationship Id="rId7" Type="http://schemas.openxmlformats.org/officeDocument/2006/relationships/table" Target="../tables/table5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6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4" Type="http://schemas.openxmlformats.org/officeDocument/2006/relationships/table" Target="../tables/table7.xml"/><Relationship Id="rId5" Type="http://schemas.openxmlformats.org/officeDocument/2006/relationships/table" Target="../tables/table8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11" Type="http://schemas.openxmlformats.org/officeDocument/2006/relationships/table" Target="../tables/table13.xml"/><Relationship Id="rId10" Type="http://schemas.openxmlformats.org/officeDocument/2006/relationships/table" Target="../tables/table12.xml"/><Relationship Id="rId9" Type="http://schemas.openxmlformats.org/officeDocument/2006/relationships/table" Target="../tables/table11.xml"/><Relationship Id="rId7" Type="http://schemas.openxmlformats.org/officeDocument/2006/relationships/table" Target="../tables/table9.xml"/><Relationship Id="rId8" Type="http://schemas.openxmlformats.org/officeDocument/2006/relationships/table" Target="../tables/table10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4.56"/>
    <col customWidth="1" min="2" max="2" width="3.56"/>
    <col customWidth="1" min="3" max="3" width="7.67"/>
    <col customWidth="1" min="4" max="4" width="6.56"/>
    <col customWidth="1" min="5" max="5" width="21.78"/>
    <col customWidth="1" min="6" max="6" width="10.56"/>
  </cols>
  <sheetData>
    <row r="1">
      <c r="A1" s="1" t="s">
        <v>0</v>
      </c>
      <c r="B1" s="2"/>
      <c r="C1" s="2"/>
      <c r="D1" s="2"/>
      <c r="E1" s="2"/>
      <c r="F1" s="3"/>
    </row>
    <row r="2">
      <c r="A2" s="4"/>
      <c r="B2" s="5"/>
      <c r="C2" s="5"/>
      <c r="D2" s="5"/>
      <c r="E2" s="5"/>
      <c r="F2" s="6"/>
    </row>
    <row r="3">
      <c r="A3" s="4"/>
      <c r="B3" s="5"/>
      <c r="C3" s="5"/>
      <c r="D3" s="5"/>
      <c r="E3" s="5"/>
      <c r="F3" s="7" t="s">
        <v>1</v>
      </c>
    </row>
    <row r="4">
      <c r="A4" s="4"/>
      <c r="B4" s="5"/>
      <c r="C4" s="5"/>
      <c r="D4" s="5"/>
      <c r="E4" s="5"/>
      <c r="F4" s="8">
        <f>NOW()</f>
        <v>45940.42323</v>
      </c>
    </row>
    <row r="5">
      <c r="A5" s="9" t="s">
        <v>2</v>
      </c>
      <c r="B5" s="10"/>
      <c r="C5" s="10"/>
      <c r="D5" s="10"/>
      <c r="E5" s="10"/>
      <c r="F5" s="11"/>
    </row>
    <row r="6">
      <c r="A6" s="12" t="s">
        <v>3</v>
      </c>
      <c r="B6" s="13" t="s">
        <v>4</v>
      </c>
      <c r="C6" s="13" t="s">
        <v>5</v>
      </c>
      <c r="D6" s="13" t="s">
        <v>6</v>
      </c>
      <c r="E6" s="13" t="s">
        <v>7</v>
      </c>
      <c r="F6" s="14" t="s">
        <v>8</v>
      </c>
    </row>
    <row r="7">
      <c r="A7" s="15">
        <v>1.0</v>
      </c>
      <c r="B7" s="16">
        <f t="array" ref="B7">xlookup(A7,Scores!$A:$A,Scores!$D:$D)</f>
        <v>1</v>
      </c>
      <c r="C7" s="17" t="str">
        <f t="array" ref="C7">(XLOOKUP(A7,Scores!$A:$A,Scores!$B:$B))</f>
        <v>18u Boys</v>
      </c>
      <c r="D7" s="18">
        <f t="array" ref="D7">xlookup(A7,Scores!$A:$A,Scores!$E:$E)</f>
        <v>0.6666666667</v>
      </c>
      <c r="E7" s="19" t="str">
        <f t="array" ref="E7">CONCATENATE(XLOOKUP(A7,Scores!$A:$A,Scores!$F:$F)," vs ",(XLOOKUP(A7,Scores!$A:$A,Scores!$H:$H)))</f>
        <v>Seminole vs Patriots</v>
      </c>
      <c r="F7" s="20" t="str">
        <f t="array" ref="F7">XLOOKUP(A7,Scores!$A:$A,Scores!$J:$J,"No_score")</f>
        <v>Seminole</v>
      </c>
    </row>
    <row r="8">
      <c r="A8" s="15">
        <v>2.0</v>
      </c>
      <c r="B8" s="16">
        <f t="array" ref="B8">xlookup(A8,Scores!$A:$A,Scores!$D:$D)</f>
        <v>2</v>
      </c>
      <c r="C8" s="17" t="str">
        <f t="array" ref="C8">(XLOOKUP(A8,Scores!$A:$A,Scores!$B:$B))</f>
        <v>18u Girls</v>
      </c>
      <c r="D8" s="18">
        <f t="array" ref="D8">xlookup(A8,Scores!$A:$A,Scores!$E:$E)</f>
        <v>0.6666666667</v>
      </c>
      <c r="E8" s="19" t="str">
        <f t="array" ref="E8">CONCATENATE(XLOOKUP(A8,Scores!$A:$A,Scores!$F:$F)," vs ",(XLOOKUP(A8,Scores!$A:$A,Scores!$H:$H)))</f>
        <v>Patriots vs Team Orlando</v>
      </c>
      <c r="F8" s="20" t="str">
        <f t="array" ref="F8">XLOOKUP(A8,Scores!$A:$A,Scores!$J:$J,"No_score")</f>
        <v>Team Orlando</v>
      </c>
    </row>
    <row r="9">
      <c r="A9" s="15">
        <v>3.0</v>
      </c>
      <c r="B9" s="16">
        <f t="array" ref="B9">xlookup(A9,Scores!$A:$A,Scores!$D:$D)</f>
        <v>1</v>
      </c>
      <c r="C9" s="17" t="str">
        <f t="array" ref="C9">(XLOOKUP(A9,Scores!$A:$A,Scores!$B:$B))</f>
        <v>16u Boys</v>
      </c>
      <c r="D9" s="18">
        <f t="array" ref="D9">xlookup(A9,Scores!$A:$A,Scores!$E:$E)</f>
        <v>0.7048611111</v>
      </c>
      <c r="E9" s="19" t="str">
        <f t="array" ref="E9">CONCATENATE(XLOOKUP(A9,Scores!$A:$A,Scores!$F:$F)," vs ",(XLOOKUP(A9,Scores!$A:$A,Scores!$H:$H)))</f>
        <v>Team Orlando vs SJ Cariba</v>
      </c>
      <c r="F9" s="20" t="str">
        <f t="array" ref="F9">XLOOKUP(A9,Scores!$A:$A,Scores!$J:$J,"No_score")</f>
        <v>Team Orlando</v>
      </c>
    </row>
    <row r="10">
      <c r="A10" s="15">
        <v>4.0</v>
      </c>
      <c r="B10" s="16">
        <f t="array" ref="B10">xlookup(A10,Scores!$A:$A,Scores!$D:$D)</f>
        <v>2</v>
      </c>
      <c r="C10" s="17" t="str">
        <f t="array" ref="C10">(XLOOKUP(A10,Scores!$A:$A,Scores!$B:$B))</f>
        <v>18u Girls</v>
      </c>
      <c r="D10" s="18">
        <f t="array" ref="D10">xlookup(A10,Scores!$A:$A,Scores!$E:$E)</f>
        <v>0.7048611111</v>
      </c>
      <c r="E10" s="19" t="str">
        <f t="array" ref="E10">CONCATENATE(XLOOKUP(A10,Scores!$A:$A,Scores!$F:$F)," vs ",(XLOOKUP(A10,Scores!$A:$A,Scores!$H:$H)))</f>
        <v>Orl. Thunder vs Seminole</v>
      </c>
      <c r="F10" s="20" t="str">
        <f t="array" ref="F10">XLOOKUP(A10,Scores!$A:$A,Scores!$J:$J,"No_score")</f>
        <v>Orl. Thunder</v>
      </c>
    </row>
    <row r="11">
      <c r="A11" s="15">
        <v>5.0</v>
      </c>
      <c r="B11" s="16">
        <f t="array" ref="B11">xlookup(A11,Scores!$A:$A,Scores!$D:$D)</f>
        <v>1</v>
      </c>
      <c r="C11" s="17" t="str">
        <f t="array" ref="C11">(XLOOKUP(A11,Scores!$A:$A,Scores!$B:$B))</f>
        <v>18u Boys</v>
      </c>
      <c r="D11" s="18">
        <f t="array" ref="D11">xlookup(A11,Scores!$A:$A,Scores!$E:$E)</f>
        <v>0.7430555556</v>
      </c>
      <c r="E11" s="19" t="str">
        <f t="array" ref="E11">CONCATENATE(XLOOKUP(A11,Scores!$A:$A,Scores!$F:$F)," vs ",(XLOOKUP(A11,Scores!$A:$A,Scores!$H:$H)))</f>
        <v>Team Orlando vs Patriots</v>
      </c>
      <c r="F11" s="20" t="str">
        <f t="array" ref="F11">XLOOKUP(A11,Scores!$A:$A,Scores!$J:$J,"No_score")</f>
        <v>Team Orlando</v>
      </c>
    </row>
    <row r="12">
      <c r="A12" s="15">
        <v>6.0</v>
      </c>
      <c r="B12" s="16">
        <f t="array" ref="B12">xlookup(A12,Scores!$A:$A,Scores!$D:$D)</f>
        <v>2</v>
      </c>
      <c r="C12" s="17" t="str">
        <f t="array" ref="C12">(XLOOKUP(A12,Scores!$A:$A,Scores!$B:$B))</f>
        <v>14u CoEd</v>
      </c>
      <c r="D12" s="18">
        <f t="array" ref="D12">xlookup(A12,Scores!$A:$A,Scores!$E:$E)</f>
        <v>0.7430555556</v>
      </c>
      <c r="E12" s="19" t="str">
        <f t="array" ref="E12">CONCATENATE(XLOOKUP(A12,Scores!$A:$A,Scores!$F:$F)," vs ",(XLOOKUP(A12,Scores!$A:$A,Scores!$H:$H)))</f>
        <v>Team Orlando vs Patriots</v>
      </c>
      <c r="F12" s="20" t="str">
        <f t="array" ref="F12">XLOOKUP(A12,Scores!$A:$A,Scores!$J:$J,"No_score")</f>
        <v>Team Orlando</v>
      </c>
    </row>
    <row r="13">
      <c r="A13" s="21">
        <v>7.0</v>
      </c>
      <c r="B13" s="16">
        <f t="array" ref="B13">xlookup(A13,Scores!$A:$A,Scores!$D:$D)</f>
        <v>3</v>
      </c>
      <c r="C13" s="17" t="str">
        <f t="array" ref="C13">(XLOOKUP(A13,Scores!$A:$A,Scores!$B:$B))</f>
        <v>14u CoEd</v>
      </c>
      <c r="D13" s="18">
        <f t="array" ref="D13">xlookup(A13,Scores!$A:$A,Scores!$E:$E)</f>
        <v>0.7430555556</v>
      </c>
      <c r="E13" s="19" t="str">
        <f t="array" ref="E13">CONCATENATE(XLOOKUP(A13,Scores!$A:$A,Scores!$F:$F)," vs ",(XLOOKUP(A13,Scores!$A:$A,Scores!$H:$H)))</f>
        <v>SJ Cariba vs Seminole</v>
      </c>
      <c r="F13" s="20" t="str">
        <f t="array" ref="F13">XLOOKUP(A13,Scores!$A:$A,Scores!$J:$J,"No_score")</f>
        <v>Seminole</v>
      </c>
    </row>
    <row r="14">
      <c r="A14" s="21">
        <v>8.0</v>
      </c>
      <c r="B14" s="16">
        <f t="array" ref="B14">xlookup(A14,Scores!$A:$A,Scores!$D:$D)</f>
        <v>1</v>
      </c>
      <c r="C14" s="17" t="str">
        <f t="array" ref="C14">(XLOOKUP(A14,Scores!$A:$A,Scores!$B:$B))</f>
        <v>Mens Open</v>
      </c>
      <c r="D14" s="18">
        <f t="array" ref="D14">xlookup(A14,Scores!$A:$A,Scores!$E:$E)</f>
        <v>0.78125</v>
      </c>
      <c r="E14" s="19" t="str">
        <f t="array" ref="E14">CONCATENATE(XLOOKUP(A14,Scores!$A:$A,Scores!$F:$F)," vs ",(XLOOKUP(A14,Scores!$A:$A,Scores!$H:$H)))</f>
        <v>TO Black vs TO Blue</v>
      </c>
      <c r="F14" s="20" t="str">
        <f t="array" ref="F14">XLOOKUP(A14,Scores!$A:$A,Scores!$J:$J,"No_score")</f>
        <v>TO Blue</v>
      </c>
    </row>
    <row r="15">
      <c r="A15" s="21">
        <v>9.0</v>
      </c>
      <c r="B15" s="16">
        <f t="array" ref="B15">xlookup(A15,Scores!$A:$A,Scores!$D:$D)</f>
        <v>2</v>
      </c>
      <c r="C15" s="17" t="str">
        <f t="array" ref="C15">(XLOOKUP(A15,Scores!$A:$A,Scores!$B:$B))</f>
        <v>18u Girls</v>
      </c>
      <c r="D15" s="18">
        <f t="array" ref="D15">xlookup(A15,Scores!$A:$A,Scores!$E:$E)</f>
        <v>0.78125</v>
      </c>
      <c r="E15" s="19" t="str">
        <f t="array" ref="E15">CONCATENATE(XLOOKUP(A15,Scores!$A:$A,Scores!$F:$F)," vs ",(XLOOKUP(A15,Scores!$A:$A,Scores!$H:$H)))</f>
        <v>Patriots vs Cayman Islands</v>
      </c>
      <c r="F15" s="20" t="str">
        <f t="array" ref="F15">XLOOKUP(A15,Scores!$A:$A,Scores!$J:$J,"No_score")</f>
        <v>Patriots</v>
      </c>
    </row>
    <row r="16">
      <c r="A16" s="21">
        <v>10.0</v>
      </c>
      <c r="B16" s="16">
        <f t="array" ref="B16">xlookup(A16,Scores!$A:$A,Scores!$D:$D)</f>
        <v>3</v>
      </c>
      <c r="C16" s="17" t="str">
        <f t="array" ref="C16">(XLOOKUP(A16,Scores!$A:$A,Scores!$B:$B))</f>
        <v>12u CoEd</v>
      </c>
      <c r="D16" s="18">
        <f t="array" ref="D16">xlookup(A16,Scores!$A:$A,Scores!$E:$E)</f>
        <v>0.78125</v>
      </c>
      <c r="E16" s="19" t="str">
        <f t="array" ref="E16">CONCATENATE(XLOOKUP(A16,Scores!$A:$A,Scores!$F:$F)," vs ",(XLOOKUP(A16,Scores!$A:$A,Scores!$H:$H)))</f>
        <v>SJ Cariba vs Orl. Thunder</v>
      </c>
      <c r="F16" s="20" t="str">
        <f t="array" ref="F16">XLOOKUP(A16,Scores!$A:$A,Scores!$J:$J,"No_score")</f>
        <v>Orl. Thunder</v>
      </c>
    </row>
    <row r="17">
      <c r="A17" s="15">
        <v>11.0</v>
      </c>
      <c r="B17" s="16">
        <f t="array" ref="B17">xlookup(A17,Scores!$A:$A,Scores!$D:$D)</f>
        <v>1</v>
      </c>
      <c r="C17" s="17" t="str">
        <f t="array" ref="C17">(XLOOKUP(A17,Scores!$A:$A,Scores!$B:$B))</f>
        <v>18u Boys</v>
      </c>
      <c r="D17" s="18">
        <f t="array" ref="D17">xlookup(A17,Scores!$A:$A,Scores!$E:$E)</f>
        <v>0.8159722222</v>
      </c>
      <c r="E17" s="19" t="str">
        <f t="array" ref="E17">CONCATENATE(XLOOKUP(A17,Scores!$A:$A,Scores!$F:$F)," vs ",(XLOOKUP(A17,Scores!$A:$A,Scores!$H:$H)))</f>
        <v>Seminole vs Cayman Islands</v>
      </c>
      <c r="F17" s="20" t="str">
        <f t="array" ref="F17">XLOOKUP(A17,Scores!$A:$A,Scores!$J:$J,"No_score")</f>
        <v>Seminole</v>
      </c>
    </row>
    <row r="18">
      <c r="A18" s="21">
        <v>12.0</v>
      </c>
      <c r="B18" s="16">
        <f t="array" ref="B18">xlookup(A18,Scores!$A:$A,Scores!$D:$D)</f>
        <v>2</v>
      </c>
      <c r="C18" s="17" t="str">
        <f t="array" ref="C18">(XLOOKUP(A18,Scores!$A:$A,Scores!$B:$B))</f>
        <v>18u Girls</v>
      </c>
      <c r="D18" s="18">
        <f t="array" ref="D18">xlookup(A18,Scores!$A:$A,Scores!$E:$E)</f>
        <v>0.8159722222</v>
      </c>
      <c r="E18" s="19" t="str">
        <f t="array" ref="E18">CONCATENATE(XLOOKUP(A18,Scores!$A:$A,Scores!$F:$F)," vs ",(XLOOKUP(A18,Scores!$A:$A,Scores!$H:$H)))</f>
        <v>Team Orlando vs Seminole</v>
      </c>
      <c r="F18" s="20" t="str">
        <f t="array" ref="F18">XLOOKUP(A18,Scores!$A:$A,Scores!$J:$J,"No_score")</f>
        <v>Team Orlando</v>
      </c>
    </row>
    <row r="19">
      <c r="A19" s="22">
        <v>13.0</v>
      </c>
      <c r="B19" s="23">
        <f t="array" ref="B19">xlookup(A19,Scores!$A:$A,Scores!$D:$D)</f>
        <v>3</v>
      </c>
      <c r="C19" s="24" t="str">
        <f t="array" ref="C19">(XLOOKUP(A19,Scores!$A:$A,Scores!$B:$B))</f>
        <v>12u CoEd</v>
      </c>
      <c r="D19" s="25">
        <f t="array" ref="D19">xlookup(A19,Scores!$A:$A,Scores!$E:$E)</f>
        <v>0.8159722222</v>
      </c>
      <c r="E19" s="26" t="str">
        <f t="array" ref="E19">CONCATENATE(XLOOKUP(A19,Scores!$A:$A,Scores!$F:$F)," vs ",(XLOOKUP(A19,Scores!$A:$A,Scores!$H:$H)))</f>
        <v>Team Orlando vs Patriots</v>
      </c>
      <c r="F19" s="27" t="str">
        <f t="array" ref="F19">XLOOKUP(A19,Scores!$A:$A,Scores!$J:$J,"No_score")</f>
        <v>Team Orlando</v>
      </c>
    </row>
    <row r="20">
      <c r="A20" s="28"/>
      <c r="B20" s="28"/>
      <c r="C20" s="28"/>
      <c r="D20" s="28"/>
      <c r="E20" s="28"/>
      <c r="F20" s="28"/>
    </row>
    <row r="21">
      <c r="A21" s="29" t="s">
        <v>9</v>
      </c>
      <c r="B21" s="30"/>
      <c r="C21" s="30"/>
      <c r="D21" s="30"/>
      <c r="E21" s="30"/>
      <c r="F21" s="31"/>
    </row>
    <row r="22">
      <c r="A22" s="32" t="s">
        <v>3</v>
      </c>
      <c r="B22" s="33" t="s">
        <v>4</v>
      </c>
      <c r="C22" s="34" t="s">
        <v>5</v>
      </c>
      <c r="D22" s="33" t="s">
        <v>6</v>
      </c>
      <c r="E22" s="33" t="s">
        <v>7</v>
      </c>
      <c r="F22" s="35" t="s">
        <v>8</v>
      </c>
    </row>
    <row r="23">
      <c r="A23" s="36">
        <v>14.0</v>
      </c>
      <c r="B23" s="16">
        <f t="array" ref="B23">xlookup(A23,Scores!$A:$A,Scores!$D:$D)</f>
        <v>1</v>
      </c>
      <c r="C23" s="17" t="str">
        <f t="array" ref="C23">(XLOOKUP(A23,Scores!$A:$A,Scores!$B:$B))</f>
        <v>18u Boys</v>
      </c>
      <c r="D23" s="18">
        <f t="array" ref="D23">xlookup(A23,Scores!$A:$A,Scores!$E:$E)</f>
        <v>0.2951388889</v>
      </c>
      <c r="E23" s="19" t="str">
        <f t="array" ref="E23">CONCATENATE(XLOOKUP(A23,Scores!$A:$A,Scores!$F:$F)," vs ",(XLOOKUP(A23,Scores!$A:$A,Scores!$H:$H)))</f>
        <v>Team Orlando vs Cayman Islands</v>
      </c>
      <c r="F23" s="37" t="str">
        <f t="array" ref="F23">XLOOKUP(A23,Scores!$A:$A,Scores!$J:$J,"No_score")</f>
        <v>Team Orlando</v>
      </c>
    </row>
    <row r="24">
      <c r="A24" s="36">
        <v>15.0</v>
      </c>
      <c r="B24" s="16">
        <f t="array" ref="B24">xlookup(A24,Scores!$A:$A,Scores!$D:$D)</f>
        <v>2</v>
      </c>
      <c r="C24" s="17" t="str">
        <f t="array" ref="C24">(XLOOKUP(A24,Scores!$A:$A,Scores!$B:$B))</f>
        <v>18u Girls</v>
      </c>
      <c r="D24" s="18">
        <f t="array" ref="D24">xlookup(A24,Scores!$A:$A,Scores!$E:$E)</f>
        <v>0.2951388889</v>
      </c>
      <c r="E24" s="19" t="str">
        <f t="array" ref="E24">CONCATENATE(XLOOKUP(A24,Scores!$A:$A,Scores!$F:$F)," vs ",(XLOOKUP(A24,Scores!$A:$A,Scores!$H:$H)))</f>
        <v>Orl. Thunder vs Patriots</v>
      </c>
      <c r="F24" s="37" t="str">
        <f t="array" ref="F24">XLOOKUP(A24,Scores!$A:$A,Scores!$J:$J,"No_score")</f>
        <v>Orl. Thunder</v>
      </c>
    </row>
    <row r="25">
      <c r="A25" s="36">
        <v>16.0</v>
      </c>
      <c r="B25" s="16">
        <f t="array" ref="B25">xlookup(A25,Scores!$A:$A,Scores!$D:$D)</f>
        <v>3</v>
      </c>
      <c r="C25" s="17" t="str">
        <f t="array" ref="C25">(XLOOKUP(A25,Scores!$A:$A,Scores!$B:$B))</f>
        <v>12u CoEd</v>
      </c>
      <c r="D25" s="18">
        <f t="array" ref="D25">xlookup(A25,Scores!$A:$A,Scores!$E:$E)</f>
        <v>0.2951388889</v>
      </c>
      <c r="E25" s="19" t="str">
        <f t="array" ref="E25">CONCATENATE(XLOOKUP(A25,Scores!$A:$A,Scores!$F:$F)," vs ",(XLOOKUP(A25,Scores!$A:$A,Scores!$H:$H)))</f>
        <v>Orl. Thunder vs NextLevel</v>
      </c>
      <c r="F25" s="37" t="str">
        <f t="array" ref="F25">XLOOKUP(A25,Scores!$A:$A,Scores!$J:$J,"No_score")</f>
        <v>Orl. Thunder</v>
      </c>
    </row>
    <row r="26">
      <c r="A26" s="36">
        <v>17.0</v>
      </c>
      <c r="B26" s="16">
        <f t="array" ref="B26">xlookup(A26,Scores!$A:$A,Scores!$D:$D)</f>
        <v>1</v>
      </c>
      <c r="C26" s="17" t="str">
        <f t="array" ref="C26">(XLOOKUP(A26,Scores!$A:$A,Scores!$B:$B))</f>
        <v>18u Boys</v>
      </c>
      <c r="D26" s="18">
        <f t="array" ref="D26">xlookup(A26,Scores!$A:$A,Scores!$E:$E)</f>
        <v>0.3333333333</v>
      </c>
      <c r="E26" s="19" t="str">
        <f t="array" ref="E26">CONCATENATE(XLOOKUP(A26,Scores!$A:$A,Scores!$F:$F)," vs ",(XLOOKUP(A26,Scores!$A:$A,Scores!$H:$H)))</f>
        <v>Orl. Thunder vs NextLevel</v>
      </c>
      <c r="F26" s="37" t="str">
        <f t="array" ref="F26">XLOOKUP(A26,Scores!$A:$A,Scores!$J:$J,"No_score")</f>
        <v>NextLevel</v>
      </c>
    </row>
    <row r="27">
      <c r="A27" s="36">
        <v>18.0</v>
      </c>
      <c r="B27" s="16">
        <f t="array" ref="B27">xlookup(A27,Scores!$A:$A,Scores!$D:$D)</f>
        <v>2</v>
      </c>
      <c r="C27" s="17" t="str">
        <f t="array" ref="C27">(XLOOKUP(A27,Scores!$A:$A,Scores!$B:$B))</f>
        <v>18u Girls</v>
      </c>
      <c r="D27" s="18">
        <f t="array" ref="D27">xlookup(A27,Scores!$A:$A,Scores!$E:$E)</f>
        <v>0.3333333333</v>
      </c>
      <c r="E27" s="19" t="str">
        <f t="array" ref="E27">CONCATENATE(XLOOKUP(A27,Scores!$A:$A,Scores!$F:$F)," vs ",(XLOOKUP(A27,Scores!$A:$A,Scores!$H:$H)))</f>
        <v>Seminole vs Cayman Islands</v>
      </c>
      <c r="F27" s="37" t="str">
        <f t="array" ref="F27">XLOOKUP(A27,Scores!$A:$A,Scores!$J:$J,"No_score")</f>
        <v>Seminole</v>
      </c>
    </row>
    <row r="28">
      <c r="A28" s="36">
        <v>19.0</v>
      </c>
      <c r="B28" s="16">
        <f t="array" ref="B28">xlookup(A28,Scores!$A:$A,Scores!$D:$D)</f>
        <v>3</v>
      </c>
      <c r="C28" s="17" t="str">
        <f t="array" ref="C28">(XLOOKUP(A28,Scores!$A:$A,Scores!$B:$B))</f>
        <v>12u CoEd</v>
      </c>
      <c r="D28" s="18">
        <f t="array" ref="D28">xlookup(A28,Scores!$A:$A,Scores!$E:$E)</f>
        <v>0.3333333333</v>
      </c>
      <c r="E28" s="19" t="str">
        <f t="array" ref="E28">CONCATENATE(XLOOKUP(A28,Scores!$A:$A,Scores!$F:$F)," vs ",(XLOOKUP(A28,Scores!$A:$A,Scores!$H:$H)))</f>
        <v>Team Orlando vs Sarasota</v>
      </c>
      <c r="F28" s="37" t="str">
        <f t="array" ref="F28">XLOOKUP(A28,Scores!$A:$A,Scores!$J:$J,"No_score")</f>
        <v>Team Orlando</v>
      </c>
    </row>
    <row r="29">
      <c r="A29" s="36">
        <v>20.0</v>
      </c>
      <c r="B29" s="16">
        <f t="array" ref="B29">xlookup(A29,Scores!$A:$A,Scores!$D:$D)</f>
        <v>1</v>
      </c>
      <c r="C29" s="17" t="str">
        <f t="array" ref="C29">(XLOOKUP(A29,Scores!$A:$A,Scores!$B:$B))</f>
        <v>16u Boys</v>
      </c>
      <c r="D29" s="18">
        <f t="array" ref="D29">xlookup(A29,Scores!$A:$A,Scores!$E:$E)</f>
        <v>0.3715277778</v>
      </c>
      <c r="E29" s="19" t="str">
        <f t="array" ref="E29">CONCATENATE(XLOOKUP(A29,Scores!$A:$A,Scores!$F:$F)," vs ",(XLOOKUP(A29,Scores!$A:$A,Scores!$H:$H)))</f>
        <v>Orl. Thunder vs SJ Cariba</v>
      </c>
      <c r="F29" s="37" t="str">
        <f t="array" ref="F29">XLOOKUP(A29,Scores!$A:$A,Scores!$J:$J,"No_score")</f>
        <v>Orl. Thunder</v>
      </c>
    </row>
    <row r="30">
      <c r="A30" s="36">
        <v>21.0</v>
      </c>
      <c r="B30" s="16">
        <f t="array" ref="B30">xlookup(A30,Scores!$A:$A,Scores!$D:$D)</f>
        <v>2</v>
      </c>
      <c r="C30" s="17" t="str">
        <f t="array" ref="C30">(XLOOKUP(A30,Scores!$A:$A,Scores!$B:$B))</f>
        <v>14u CoEd</v>
      </c>
      <c r="D30" s="18">
        <f t="array" ref="D30">xlookup(A30,Scores!$A:$A,Scores!$E:$E)</f>
        <v>0.3715277778</v>
      </c>
      <c r="E30" s="19" t="str">
        <f t="array" ref="E30">CONCATENATE(XLOOKUP(A30,Scores!$A:$A,Scores!$F:$F)," vs ",(XLOOKUP(A30,Scores!$A:$A,Scores!$H:$H)))</f>
        <v>Orl. Thunder vs Patriots</v>
      </c>
      <c r="F30" s="37" t="str">
        <f t="array" ref="F30">XLOOKUP(A30,Scores!$A:$A,Scores!$J:$J,"No_score")</f>
        <v>Orl. Thunder</v>
      </c>
    </row>
    <row r="31">
      <c r="A31" s="36">
        <v>22.0</v>
      </c>
      <c r="B31" s="16">
        <f t="array" ref="B31">xlookup(A31,Scores!$A:$A,Scores!$D:$D)</f>
        <v>3</v>
      </c>
      <c r="C31" s="17" t="str">
        <f t="array" ref="C31">(XLOOKUP(A31,Scores!$A:$A,Scores!$B:$B))</f>
        <v>12u CoEd</v>
      </c>
      <c r="D31" s="18">
        <f t="array" ref="D31">xlookup(A31,Scores!$A:$A,Scores!$E:$E)</f>
        <v>0.3715277778</v>
      </c>
      <c r="E31" s="19" t="str">
        <f t="array" ref="E31">CONCATENATE(XLOOKUP(A31,Scores!$A:$A,Scores!$F:$F)," vs ",(XLOOKUP(A31,Scores!$A:$A,Scores!$H:$H)))</f>
        <v>SJ Cariba vs Gladiators</v>
      </c>
      <c r="F31" s="37" t="str">
        <f t="array" ref="F31">XLOOKUP(A31,Scores!$A:$A,Scores!$J:$J,"No_score")</f>
        <v>Gladiators</v>
      </c>
    </row>
    <row r="32">
      <c r="A32" s="36">
        <v>23.0</v>
      </c>
      <c r="B32" s="16">
        <f t="array" ref="B32">xlookup(A32,Scores!$A:$A,Scores!$D:$D)</f>
        <v>1</v>
      </c>
      <c r="C32" s="17" t="str">
        <f t="array" ref="C32">(XLOOKUP(A32,Scores!$A:$A,Scores!$B:$B))</f>
        <v>18u Boys</v>
      </c>
      <c r="D32" s="18">
        <f t="array" ref="D32">xlookup(A32,Scores!$A:$A,Scores!$E:$E)</f>
        <v>0.4097222222</v>
      </c>
      <c r="E32" s="19" t="str">
        <f t="array" ref="E32">CONCATENATE(XLOOKUP(A32,Scores!$A:$A,Scores!$F:$F)," vs ",(XLOOKUP(A32,Scores!$A:$A,Scores!$H:$H)))</f>
        <v>Team Orlando vs Seminole</v>
      </c>
      <c r="F32" s="37" t="str">
        <f t="array" ref="F32">XLOOKUP(A32,Scores!$A:$A,Scores!$J:$J,"No_score")</f>
        <v>Team Orlando</v>
      </c>
    </row>
    <row r="33">
      <c r="A33" s="36">
        <v>24.0</v>
      </c>
      <c r="B33" s="16">
        <f t="array" ref="B33">xlookup(A33,Scores!$A:$A,Scores!$D:$D)</f>
        <v>2</v>
      </c>
      <c r="C33" s="17" t="str">
        <f t="array" ref="C33">(XLOOKUP(A33,Scores!$A:$A,Scores!$B:$B))</f>
        <v>16u Boys</v>
      </c>
      <c r="D33" s="18">
        <f t="array" ref="D33">xlookup(A33,Scores!$A:$A,Scores!$E:$E)</f>
        <v>0.4097222222</v>
      </c>
      <c r="E33" s="19" t="str">
        <f t="array" ref="E33">CONCATENATE(XLOOKUP(A33,Scores!$A:$A,Scores!$F:$F)," vs ",(XLOOKUP(A33,Scores!$A:$A,Scores!$H:$H)))</f>
        <v>Gladiators vs NextLevel</v>
      </c>
      <c r="F33" s="37" t="str">
        <f t="array" ref="F33">XLOOKUP(A33,Scores!$A:$A,Scores!$J:$J,"No_score")</f>
        <v>NextLevel</v>
      </c>
    </row>
    <row r="34">
      <c r="A34" s="36">
        <v>25.0</v>
      </c>
      <c r="B34" s="16">
        <f t="array" ref="B34">xlookup(A34,Scores!$A:$A,Scores!$D:$D)</f>
        <v>3</v>
      </c>
      <c r="C34" s="17" t="str">
        <f t="array" ref="C34">(XLOOKUP(A34,Scores!$A:$A,Scores!$B:$B))</f>
        <v>18u Girls</v>
      </c>
      <c r="D34" s="18">
        <f t="array" ref="D34">xlookup(A34,Scores!$A:$A,Scores!$E:$E)</f>
        <v>0.4097222222</v>
      </c>
      <c r="E34" s="19" t="str">
        <f t="array" ref="E34">CONCATENATE(XLOOKUP(A34,Scores!$A:$A,Scores!$F:$F)," vs ",(XLOOKUP(A34,Scores!$A:$A,Scores!$H:$H)))</f>
        <v>Barcelona vs Orl. Thunder</v>
      </c>
      <c r="F34" s="37" t="str">
        <f t="array" ref="F34">XLOOKUP(A34,Scores!$A:$A,Scores!$J:$J,"No_score")</f>
        <v>Barcelona</v>
      </c>
    </row>
    <row r="35">
      <c r="A35" s="36">
        <v>26.0</v>
      </c>
      <c r="B35" s="16">
        <f t="array" ref="B35">xlookup(A35,Scores!$A:$A,Scores!$D:$D)</f>
        <v>1</v>
      </c>
      <c r="C35" s="17" t="str">
        <f t="array" ref="C35">(XLOOKUP(A35,Scores!$A:$A,Scores!$B:$B))</f>
        <v>18u Boys</v>
      </c>
      <c r="D35" s="18">
        <f t="array" ref="D35">xlookup(A35,Scores!$A:$A,Scores!$E:$E)</f>
        <v>0.4479166667</v>
      </c>
      <c r="E35" s="19" t="str">
        <f t="array" ref="E35">CONCATENATE(XLOOKUP(A35,Scores!$A:$A,Scores!$F:$F)," vs ",(XLOOKUP(A35,Scores!$A:$A,Scores!$H:$H)))</f>
        <v>Barcelona vs NextLevel</v>
      </c>
      <c r="F35" s="37" t="str">
        <f t="array" ref="F35">XLOOKUP(A35,Scores!$A:$A,Scores!$J:$J,"No_score")</f>
        <v>Barcelona</v>
      </c>
    </row>
    <row r="36">
      <c r="A36" s="36">
        <v>27.0</v>
      </c>
      <c r="B36" s="16">
        <f t="array" ref="B36">xlookup(A36,Scores!$A:$A,Scores!$D:$D)</f>
        <v>2</v>
      </c>
      <c r="C36" s="17" t="str">
        <f t="array" ref="C36">(XLOOKUP(A36,Scores!$A:$A,Scores!$B:$B))</f>
        <v>14u CoEd</v>
      </c>
      <c r="D36" s="18">
        <f t="array" ref="D36">xlookup(A36,Scores!$A:$A,Scores!$E:$E)</f>
        <v>0.4479166667</v>
      </c>
      <c r="E36" s="19" t="str">
        <f t="array" ref="E36">CONCATENATE(XLOOKUP(A36,Scores!$A:$A,Scores!$F:$F)," vs ",(XLOOKUP(A36,Scores!$A:$A,Scores!$H:$H)))</f>
        <v>Seminole vs NextLevel</v>
      </c>
      <c r="F36" s="37" t="str">
        <f t="array" ref="F36">XLOOKUP(A36,Scores!$A:$A,Scores!$J:$J,"No_score")</f>
        <v>Seminole</v>
      </c>
    </row>
    <row r="37">
      <c r="A37" s="36">
        <v>28.0</v>
      </c>
      <c r="B37" s="16">
        <f t="array" ref="B37">xlookup(A37,Scores!$A:$A,Scores!$D:$D)</f>
        <v>3</v>
      </c>
      <c r="C37" s="17" t="str">
        <f t="array" ref="C37">(XLOOKUP(A37,Scores!$A:$A,Scores!$B:$B))</f>
        <v>18u Girls</v>
      </c>
      <c r="D37" s="18">
        <f t="array" ref="D37">xlookup(A37,Scores!$A:$A,Scores!$E:$E)</f>
        <v>0.4479166667</v>
      </c>
      <c r="E37" s="19" t="str">
        <f t="array" ref="E37">CONCATENATE(XLOOKUP(A37,Scores!$A:$A,Scores!$F:$F)," vs ",(XLOOKUP(A37,Scores!$A:$A,Scores!$H:$H)))</f>
        <v>Seminole vs Patriots</v>
      </c>
      <c r="F37" s="37" t="str">
        <f t="array" ref="F37">XLOOKUP(A37,Scores!$A:$A,Scores!$J:$J,"No_score")</f>
        <v>Seminole</v>
      </c>
    </row>
    <row r="38">
      <c r="A38" s="36">
        <v>29.0</v>
      </c>
      <c r="B38" s="16">
        <f t="array" ref="B38">xlookup(A38,Scores!$A:$A,Scores!$D:$D)</f>
        <v>1</v>
      </c>
      <c r="C38" s="17" t="str">
        <f t="array" ref="C38">(XLOOKUP(A38,Scores!$A:$A,Scores!$B:$B))</f>
        <v>18u Boys</v>
      </c>
      <c r="D38" s="18">
        <f t="array" ref="D38">xlookup(A38,Scores!$A:$A,Scores!$E:$E)</f>
        <v>0.4861111111</v>
      </c>
      <c r="E38" s="19" t="str">
        <f t="array" ref="E38">CONCATENATE(XLOOKUP(A38,Scores!$A:$A,Scores!$F:$F)," vs ",(XLOOKUP(A38,Scores!$A:$A,Scores!$H:$H)))</f>
        <v>Cayman Islands vs Patriots</v>
      </c>
      <c r="F38" s="37" t="str">
        <f t="array" ref="F38">XLOOKUP(A38,Scores!$A:$A,Scores!$J:$J,"No_score")</f>
        <v>Patriots</v>
      </c>
    </row>
    <row r="39">
      <c r="A39" s="36">
        <v>30.0</v>
      </c>
      <c r="B39" s="16">
        <f t="array" ref="B39">xlookup(A39,Scores!$A:$A,Scores!$D:$D)</f>
        <v>2</v>
      </c>
      <c r="C39" s="17" t="str">
        <f t="array" ref="C39">(XLOOKUP(A39,Scores!$A:$A,Scores!$B:$B))</f>
        <v>14u CoEd</v>
      </c>
      <c r="D39" s="18">
        <f t="array" ref="D39">xlookup(A39,Scores!$A:$A,Scores!$E:$E)</f>
        <v>0.4861111111</v>
      </c>
      <c r="E39" s="19" t="str">
        <f t="array" ref="E39">CONCATENATE(XLOOKUP(A39,Scores!$A:$A,Scores!$F:$F)," vs ",(XLOOKUP(A39,Scores!$A:$A,Scores!$H:$H)))</f>
        <v>Team Orlando vs Gladiators</v>
      </c>
      <c r="F39" s="37" t="str">
        <f t="array" ref="F39">XLOOKUP(A39,Scores!$A:$A,Scores!$J:$J,"No_score")</f>
        <v>Team Orlando</v>
      </c>
    </row>
    <row r="40">
      <c r="A40" s="36">
        <v>31.0</v>
      </c>
      <c r="B40" s="16">
        <f t="array" ref="B40">xlookup(A40,Scores!$A:$A,Scores!$D:$D)</f>
        <v>3</v>
      </c>
      <c r="C40" s="17" t="str">
        <f t="array" ref="C40">(XLOOKUP(A40,Scores!$A:$A,Scores!$B:$B))</f>
        <v>12u CoEd</v>
      </c>
      <c r="D40" s="18">
        <f t="array" ref="D40">xlookup(A40,Scores!$A:$A,Scores!$E:$E)</f>
        <v>0.4861111111</v>
      </c>
      <c r="E40" s="19" t="str">
        <f t="array" ref="E40">CONCATENATE(XLOOKUP(A40,Scores!$A:$A,Scores!$F:$F)," vs ",(XLOOKUP(A40,Scores!$A:$A,Scores!$H:$H)))</f>
        <v>Gladiators vs Orl. Thunder</v>
      </c>
      <c r="F40" s="37" t="str">
        <f t="array" ref="F40">XLOOKUP(A40,Scores!$A:$A,Scores!$J:$J,"No_score")</f>
        <v>Orl. Thunder</v>
      </c>
    </row>
    <row r="41">
      <c r="A41" s="36">
        <v>32.0</v>
      </c>
      <c r="B41" s="16">
        <f t="array" ref="B41">xlookup(A41,Scores!$A:$A,Scores!$D:$D)</f>
        <v>1</v>
      </c>
      <c r="C41" s="17" t="str">
        <f t="array" ref="C41">(XLOOKUP(A41,Scores!$A:$A,Scores!$B:$B))</f>
        <v>Mens Open</v>
      </c>
      <c r="D41" s="18">
        <f t="array" ref="D41">xlookup(A41,Scores!$A:$A,Scores!$E:$E)</f>
        <v>0.5243055556</v>
      </c>
      <c r="E41" s="19" t="str">
        <f t="array" ref="E41">CONCATENATE(XLOOKUP(A41,Scores!$A:$A,Scores!$F:$F)," vs ",(XLOOKUP(A41,Scores!$A:$A,Scores!$H:$H)))</f>
        <v>TO Black vs Tampa</v>
      </c>
      <c r="F41" s="37" t="str">
        <f t="array" ref="F41">XLOOKUP(A41,Scores!$A:$A,Scores!$J:$J,"No_score")</f>
        <v>Tampa</v>
      </c>
    </row>
    <row r="42">
      <c r="A42" s="36">
        <v>33.0</v>
      </c>
      <c r="B42" s="16">
        <f t="array" ref="B42">xlookup(A42,Scores!$A:$A,Scores!$D:$D)</f>
        <v>2</v>
      </c>
      <c r="C42" s="17" t="str">
        <f t="array" ref="C42">(XLOOKUP(A42,Scores!$A:$A,Scores!$B:$B))</f>
        <v>18u Girls</v>
      </c>
      <c r="D42" s="18">
        <f t="array" ref="D42">xlookup(A42,Scores!$A:$A,Scores!$E:$E)</f>
        <v>0.5243055556</v>
      </c>
      <c r="E42" s="19" t="str">
        <f t="array" ref="E42">CONCATENATE(XLOOKUP(A42,Scores!$A:$A,Scores!$F:$F)," vs ",(XLOOKUP(A42,Scores!$A:$A,Scores!$H:$H)))</f>
        <v>Barcelona vs Cayman Islands</v>
      </c>
      <c r="F42" s="37" t="str">
        <f t="array" ref="F42">XLOOKUP(A42,Scores!$A:$A,Scores!$J:$J,"No_score")</f>
        <v>Barcelona</v>
      </c>
    </row>
    <row r="43">
      <c r="A43" s="36">
        <v>34.0</v>
      </c>
      <c r="B43" s="16">
        <f t="array" ref="B43">xlookup(A43,Scores!$A:$A,Scores!$D:$D)</f>
        <v>3</v>
      </c>
      <c r="C43" s="17" t="str">
        <f t="array" ref="C43">(XLOOKUP(A43,Scores!$A:$A,Scores!$B:$B))</f>
        <v>12u CoEd</v>
      </c>
      <c r="D43" s="18">
        <f t="array" ref="D43">xlookup(A43,Scores!$A:$A,Scores!$E:$E)</f>
        <v>0.5243055556</v>
      </c>
      <c r="E43" s="19" t="str">
        <f t="array" ref="E43">CONCATENATE(XLOOKUP(A43,Scores!$A:$A,Scores!$F:$F)," vs ",(XLOOKUP(A43,Scores!$A:$A,Scores!$H:$H)))</f>
        <v>SJ Cariba vs NextLevel</v>
      </c>
      <c r="F43" s="37" t="str">
        <f t="array" ref="F43">XLOOKUP(A43,Scores!$A:$A,Scores!$J:$J,"No_score")</f>
        <v>SJ Cariba</v>
      </c>
    </row>
    <row r="44">
      <c r="A44" s="36">
        <v>35.0</v>
      </c>
      <c r="B44" s="16">
        <f t="array" ref="B44">xlookup(A44,Scores!$A:$A,Scores!$D:$D)</f>
        <v>1</v>
      </c>
      <c r="C44" s="17" t="str">
        <f t="array" ref="C44">(XLOOKUP(A44,Scores!$A:$A,Scores!$B:$B))</f>
        <v>Mens Open</v>
      </c>
      <c r="D44" s="18">
        <f t="array" ref="D44">xlookup(A44,Scores!$A:$A,Scores!$E:$E)</f>
        <v>0.5625</v>
      </c>
      <c r="E44" s="19" t="str">
        <f t="array" ref="E44">CONCATENATE(XLOOKUP(A44,Scores!$A:$A,Scores!$F:$F)," vs ",(XLOOKUP(A44,Scores!$A:$A,Scores!$H:$H)))</f>
        <v>Sarasota vs Orl. United</v>
      </c>
      <c r="F44" s="37" t="str">
        <f t="array" ref="F44">XLOOKUP(A44,Scores!$A:$A,Scores!$J:$J,"No_score")</f>
        <v>Orl. United</v>
      </c>
    </row>
    <row r="45">
      <c r="A45" s="36">
        <v>36.0</v>
      </c>
      <c r="B45" s="16">
        <f t="array" ref="B45">xlookup(A45,Scores!$A:$A,Scores!$D:$D)</f>
        <v>2</v>
      </c>
      <c r="C45" s="17" t="str">
        <f t="array" ref="C45">(XLOOKUP(A45,Scores!$A:$A,Scores!$B:$B))</f>
        <v>18u Girls</v>
      </c>
      <c r="D45" s="18">
        <f t="array" ref="D45">xlookup(A45,Scores!$A:$A,Scores!$E:$E)</f>
        <v>0.5625</v>
      </c>
      <c r="E45" s="19" t="str">
        <f t="array" ref="E45">CONCATENATE(XLOOKUP(A45,Scores!$A:$A,Scores!$F:$F)," vs ",(XLOOKUP(A45,Scores!$A:$A,Scores!$H:$H)))</f>
        <v>Orl. Thunder vs Team Orlando</v>
      </c>
      <c r="F45" s="37" t="str">
        <f t="array" ref="F45">XLOOKUP(A45,Scores!$A:$A,Scores!$J:$J,"No_score")</f>
        <v>Orl. Thunder</v>
      </c>
    </row>
    <row r="46">
      <c r="A46" s="36">
        <v>37.0</v>
      </c>
      <c r="B46" s="16">
        <f t="array" ref="B46">xlookup(A46,Scores!$A:$A,Scores!$D:$D)</f>
        <v>3</v>
      </c>
      <c r="C46" s="17" t="str">
        <f t="array" ref="C46">(XLOOKUP(A46,Scores!$A:$A,Scores!$B:$B))</f>
        <v>12u CoEd</v>
      </c>
      <c r="D46" s="18">
        <f t="array" ref="D46">xlookup(A46,Scores!$A:$A,Scores!$E:$E)</f>
        <v>0.5625</v>
      </c>
      <c r="E46" s="19" t="str">
        <f t="array" ref="E46">CONCATENATE(XLOOKUP(A46,Scores!$A:$A,Scores!$F:$F)," vs ",(XLOOKUP(A46,Scores!$A:$A,Scores!$H:$H)))</f>
        <v>Sarasota vs Patriots</v>
      </c>
      <c r="F46" s="37" t="str">
        <f t="array" ref="F46">XLOOKUP(A46,Scores!$A:$A,Scores!$J:$J,"No_score")</f>
        <v>Patriots</v>
      </c>
    </row>
    <row r="47">
      <c r="A47" s="36">
        <v>38.0</v>
      </c>
      <c r="B47" s="16">
        <f t="array" ref="B47">xlookup(A47,Scores!$A:$A,Scores!$D:$D)</f>
        <v>1</v>
      </c>
      <c r="C47" s="17" t="str">
        <f t="array" ref="C47">(XLOOKUP(A47,Scores!$A:$A,Scores!$B:$B))</f>
        <v>16u Boys</v>
      </c>
      <c r="D47" s="18">
        <f t="array" ref="D47">xlookup(A47,Scores!$A:$A,Scores!$E:$E)</f>
        <v>0.6006944444</v>
      </c>
      <c r="E47" s="19" t="str">
        <f t="array" ref="E47">CONCATENATE(XLOOKUP(A47,Scores!$A:$A,Scores!$F:$F)," vs ",(XLOOKUP(A47,Scores!$A:$A,Scores!$H:$H)))</f>
        <v>Orl. Thunder vs NextLevel</v>
      </c>
      <c r="F47" s="37" t="str">
        <f t="array" ref="F47">XLOOKUP(A47,Scores!$A:$A,Scores!$J:$J,"No_score")</f>
        <v>NextLevel</v>
      </c>
    </row>
    <row r="48">
      <c r="A48" s="36">
        <v>39.0</v>
      </c>
      <c r="B48" s="16">
        <f t="array" ref="B48">xlookup(A48,Scores!$A:$A,Scores!$D:$D)</f>
        <v>2</v>
      </c>
      <c r="C48" s="17" t="str">
        <f t="array" ref="C48">(XLOOKUP(A48,Scores!$A:$A,Scores!$B:$B))</f>
        <v>16u Boys</v>
      </c>
      <c r="D48" s="18">
        <f t="array" ref="D48">xlookup(A48,Scores!$A:$A,Scores!$E:$E)</f>
        <v>0.6006944444</v>
      </c>
      <c r="E48" s="19" t="str">
        <f t="array" ref="E48">CONCATENATE(XLOOKUP(A48,Scores!$A:$A,Scores!$F:$F)," vs ",(XLOOKUP(A48,Scores!$A:$A,Scores!$H:$H)))</f>
        <v>Team Orlando vs Gladiators</v>
      </c>
      <c r="F48" s="37" t="str">
        <f t="array" ref="F48">XLOOKUP(A48,Scores!$A:$A,Scores!$J:$J,"No_score")</f>
        <v>Gladiators</v>
      </c>
    </row>
    <row r="49">
      <c r="A49" s="36">
        <v>40.0</v>
      </c>
      <c r="B49" s="16">
        <f t="array" ref="B49">xlookup(A49,Scores!$A:$A,Scores!$D:$D)</f>
        <v>3</v>
      </c>
      <c r="C49" s="17" t="str">
        <f t="array" ref="C49">(XLOOKUP(A49,Scores!$A:$A,Scores!$B:$B))</f>
        <v>12u CoEd</v>
      </c>
      <c r="D49" s="18">
        <f t="array" ref="D49">xlookup(A49,Scores!$A:$A,Scores!$E:$E)</f>
        <v>0.6006944444</v>
      </c>
      <c r="E49" s="19" t="str">
        <f t="array" ref="E49">CONCATENATE(XLOOKUP(A49,Scores!$A:$A,Scores!$F:$F)," vs ",(XLOOKUP(A49,Scores!$A:$A,Scores!$H:$H)))</f>
        <v>Gladiators vs NextLevel</v>
      </c>
      <c r="F49" s="37" t="str">
        <f t="array" ref="F49">XLOOKUP(A49,Scores!$A:$A,Scores!$J:$J,"No_score")</f>
        <v>Gladiators</v>
      </c>
    </row>
    <row r="50">
      <c r="A50" s="36">
        <v>41.0</v>
      </c>
      <c r="B50" s="16">
        <f t="array" ref="B50">xlookup(A50,Scores!$A:$A,Scores!$D:$D)</f>
        <v>1</v>
      </c>
      <c r="C50" s="17" t="str">
        <f t="array" ref="C50">(XLOOKUP(A50,Scores!$A:$A,Scores!$B:$B))</f>
        <v>Mens Open</v>
      </c>
      <c r="D50" s="18">
        <f t="array" ref="D50">xlookup(A50,Scores!$A:$A,Scores!$E:$E)</f>
        <v>0.6388888889</v>
      </c>
      <c r="E50" s="19" t="str">
        <f t="array" ref="E50">CONCATENATE(XLOOKUP(A50,Scores!$A:$A,Scores!$F:$F)," vs ",(XLOOKUP(A50,Scores!$A:$A,Scores!$H:$H)))</f>
        <v>Tampa vs TO Blue</v>
      </c>
      <c r="F50" s="37" t="str">
        <f t="array" ref="F50">XLOOKUP(A50,Scores!$A:$A,Scores!$J:$J,"No_score")</f>
        <v>Tampa</v>
      </c>
    </row>
    <row r="51">
      <c r="A51" s="36">
        <v>42.0</v>
      </c>
      <c r="B51" s="16">
        <f t="array" ref="B51">xlookup(A51,Scores!$A:$A,Scores!$D:$D)</f>
        <v>2</v>
      </c>
      <c r="C51" s="17" t="str">
        <f t="array" ref="C51">(XLOOKUP(A51,Scores!$A:$A,Scores!$B:$B))</f>
        <v>14u CoEd</v>
      </c>
      <c r="D51" s="18">
        <f t="array" ref="D51">xlookup(A51,Scores!$A:$A,Scores!$E:$E)</f>
        <v>0.6388888889</v>
      </c>
      <c r="E51" s="19" t="str">
        <f t="array" ref="E51">CONCATENATE(XLOOKUP(A51,Scores!$A:$A,Scores!$F:$F)," vs ",(XLOOKUP(A51,Scores!$A:$A,Scores!$H:$H)))</f>
        <v>Orl. Thunder vs Gladiators</v>
      </c>
      <c r="F51" s="37" t="str">
        <f t="array" ref="F51">XLOOKUP(A51,Scores!$A:$A,Scores!$J:$J,"No_score")</f>
        <v>Orl. Thunder</v>
      </c>
    </row>
    <row r="52">
      <c r="A52" s="36">
        <v>42.5</v>
      </c>
      <c r="B52" s="16">
        <f t="array" ref="B52">xlookup(A52,Scores!$A:$A,Scores!$D:$D)</f>
        <v>3</v>
      </c>
      <c r="C52" s="17" t="str">
        <f t="array" ref="C52">(XLOOKUP(A52,Scores!$A:$A,Scores!$B:$B))</f>
        <v>BREAK</v>
      </c>
      <c r="D52" s="18">
        <f t="array" ref="D52">xlookup(A52,Scores!$A:$A,Scores!$E:$E)</f>
        <v>0.6388888889</v>
      </c>
      <c r="E52" s="19" t="str">
        <f t="array" ref="E52">CONCATENATE(XLOOKUP(A52,Scores!$A:$A,Scores!$F:$F)," vs ",(XLOOKUP(A52,Scores!$A:$A,Scores!$H:$H)))</f>
        <v>BREAK vs BREAK</v>
      </c>
      <c r="F52" s="37" t="str">
        <f t="array" ref="F52">XLOOKUP(A52,Scores!$A:$A,Scores!$J:$J,"No_score")</f>
        <v>BREAK</v>
      </c>
    </row>
    <row r="53">
      <c r="A53" s="36">
        <v>43.0</v>
      </c>
      <c r="B53" s="16">
        <f t="array" ref="B53">xlookup(A53,Scores!$A:$A,Scores!$D:$D)</f>
        <v>1</v>
      </c>
      <c r="C53" s="17" t="str">
        <f t="array" ref="C53">(XLOOKUP(A53,Scores!$A:$A,Scores!$B:$B))</f>
        <v>18u Boys</v>
      </c>
      <c r="D53" s="18">
        <f t="array" ref="D53">xlookup(A53,Scores!$A:$A,Scores!$E:$E)</f>
        <v>0.6770833333</v>
      </c>
      <c r="E53" s="19" t="str">
        <f t="array" ref="E53">CONCATENATE(XLOOKUP(A53,Scores!$A:$A,Scores!$F:$F)," vs ",(XLOOKUP(A53,Scores!$A:$A,Scores!$H:$H)))</f>
        <v>Orl. Thunder vs Barcelona</v>
      </c>
      <c r="F53" s="37" t="str">
        <f t="array" ref="F53">XLOOKUP(A53,Scores!$A:$A,Scores!$J:$J,"No_score")</f>
        <v>Barcelona</v>
      </c>
    </row>
    <row r="54">
      <c r="A54" s="36">
        <v>44.0</v>
      </c>
      <c r="B54" s="16">
        <f t="array" ref="B54">xlookup(A54,Scores!$A:$A,Scores!$D:$D)</f>
        <v>2</v>
      </c>
      <c r="C54" s="17" t="str">
        <f t="array" ref="C54">(XLOOKUP(A54,Scores!$A:$A,Scores!$B:$B))</f>
        <v>14u CoEd</v>
      </c>
      <c r="D54" s="18">
        <f t="array" ref="D54">xlookup(A54,Scores!$A:$A,Scores!$E:$E)</f>
        <v>0.6770833333</v>
      </c>
      <c r="E54" s="19" t="str">
        <f t="array" ref="E54">CONCATENATE(XLOOKUP(A54,Scores!$A:$A,Scores!$F:$F)," vs ",(XLOOKUP(A54,Scores!$A:$A,Scores!$H:$H)))</f>
        <v>SJ Cariba vs NextLevel</v>
      </c>
      <c r="F54" s="37" t="str">
        <f t="array" ref="F54">XLOOKUP(A54,Scores!$A:$A,Scores!$J:$J,"No_score")</f>
        <v>SJ Cariba</v>
      </c>
    </row>
    <row r="55">
      <c r="A55" s="36">
        <v>45.0</v>
      </c>
      <c r="B55" s="16">
        <f t="array" ref="B55">xlookup(A55,Scores!$A:$A,Scores!$D:$D)</f>
        <v>3</v>
      </c>
      <c r="C55" s="17" t="str">
        <f t="array" ref="C55">(XLOOKUP(A55,Scores!$A:$A,Scores!$B:$B))</f>
        <v>12u CoEd</v>
      </c>
      <c r="D55" s="18">
        <f t="array" ref="D55">xlookup(A55,Scores!$A:$A,Scores!$E:$E)</f>
        <v>0.6770833333</v>
      </c>
      <c r="E55" s="19" t="str">
        <f t="array" ref="E55">CONCATENATE(XLOOKUP(A55,Scores!$A:$A,Scores!$F:$F)," vs ",(XLOOKUP(A55,Scores!$A:$A,Scores!$H:$H)))</f>
        <v>Sarasota vs SJ Cariba</v>
      </c>
      <c r="F55" s="37" t="str">
        <f t="array" ref="F55">XLOOKUP(A55,Scores!$A:$A,Scores!$J:$J,"No_score")</f>
        <v>SJ Cariba</v>
      </c>
    </row>
    <row r="56">
      <c r="A56" s="36">
        <v>46.0</v>
      </c>
      <c r="B56" s="16">
        <f t="array" ref="B56">xlookup(A56,Scores!$A:$A,Scores!$D:$D)</f>
        <v>1</v>
      </c>
      <c r="C56" s="17" t="str">
        <f t="array" ref="C56">(XLOOKUP(A56,Scores!$A:$A,Scores!$B:$B))</f>
        <v>16u Boys</v>
      </c>
      <c r="D56" s="18">
        <f t="array" ref="D56">xlookup(A56,Scores!$A:$A,Scores!$E:$E)</f>
        <v>0.7152777778</v>
      </c>
      <c r="E56" s="19" t="str">
        <f t="array" ref="E56">CONCATENATE(XLOOKUP(A56,Scores!$A:$A,Scores!$F:$F)," vs ",(XLOOKUP(A56,Scores!$A:$A,Scores!$H:$H)))</f>
        <v>SJ Cariba vs Gladiators</v>
      </c>
      <c r="F56" s="37" t="str">
        <f t="array" ref="F56">XLOOKUP(A56,Scores!$A:$A,Scores!$J:$J,"No_score")</f>
        <v>Gladiators</v>
      </c>
    </row>
    <row r="57">
      <c r="A57" s="36">
        <v>47.0</v>
      </c>
      <c r="B57" s="16">
        <f t="array" ref="B57">xlookup(A57,Scores!$A:$A,Scores!$D:$D)</f>
        <v>2</v>
      </c>
      <c r="C57" s="17" t="str">
        <f t="array" ref="C57">(XLOOKUP(A57,Scores!$A:$A,Scores!$B:$B))</f>
        <v>14u CoEd</v>
      </c>
      <c r="D57" s="18">
        <f t="array" ref="D57">xlookup(A57,Scores!$A:$A,Scores!$E:$E)</f>
        <v>0.7152777778</v>
      </c>
      <c r="E57" s="19" t="str">
        <f t="array" ref="E57">CONCATENATE(XLOOKUP(A57,Scores!$A:$A,Scores!$F:$F)," vs ",(XLOOKUP(A57,Scores!$A:$A,Scores!$H:$H)))</f>
        <v>Team Orlando vs Orl. Thunder</v>
      </c>
      <c r="F57" s="37" t="str">
        <f t="array" ref="F57">XLOOKUP(A57,Scores!$A:$A,Scores!$J:$J,"No_score")</f>
        <v>Team Orlando</v>
      </c>
    </row>
    <row r="58">
      <c r="A58" s="36">
        <v>48.0</v>
      </c>
      <c r="B58" s="16">
        <f t="array" ref="B58">xlookup(A58,Scores!$A:$A,Scores!$D:$D)</f>
        <v>3</v>
      </c>
      <c r="C58" s="17" t="str">
        <f t="array" ref="C58">(XLOOKUP(A58,Scores!$A:$A,Scores!$B:$B))</f>
        <v>12u CoEd</v>
      </c>
      <c r="D58" s="18">
        <f t="array" ref="D58">xlookup(A58,Scores!$A:$A,Scores!$E:$E)</f>
        <v>0.7152777778</v>
      </c>
      <c r="E58" s="19" t="str">
        <f t="array" ref="E58">CONCATENATE(XLOOKUP(A58,Scores!$A:$A,Scores!$F:$F)," vs ",(XLOOKUP(A58,Scores!$A:$A,Scores!$H:$H)))</f>
        <v>Team Orlando vs Gladiators</v>
      </c>
      <c r="F58" s="37" t="str">
        <f t="array" ref="F58">XLOOKUP(A58,Scores!$A:$A,Scores!$J:$J,"No_score")</f>
        <v>Team Orlando</v>
      </c>
    </row>
    <row r="59">
      <c r="A59" s="36">
        <v>49.0</v>
      </c>
      <c r="B59" s="16">
        <f t="array" ref="B59">xlookup(A59,Scores!$A:$A,Scores!$D:$D)</f>
        <v>1</v>
      </c>
      <c r="C59" s="17" t="str">
        <f t="array" ref="C59">(XLOOKUP(A59,Scores!$A:$A,Scores!$B:$B))</f>
        <v>Mens Open</v>
      </c>
      <c r="D59" s="18">
        <f t="array" ref="D59">xlookup(A59,Scores!$A:$A,Scores!$E:$E)</f>
        <v>0.7534722222</v>
      </c>
      <c r="E59" s="19" t="str">
        <f t="array" ref="E59">CONCATENATE(XLOOKUP(A59,Scores!$A:$A,Scores!$F:$F)," vs ",(XLOOKUP(A59,Scores!$A:$A,Scores!$H:$H)))</f>
        <v>Orl. United vs TO Blue</v>
      </c>
      <c r="F59" s="37" t="str">
        <f t="array" ref="F59">XLOOKUP(A59,Scores!$A:$A,Scores!$J:$J,"No_score")</f>
        <v>TO Blue</v>
      </c>
    </row>
    <row r="60">
      <c r="A60" s="36">
        <v>50.0</v>
      </c>
      <c r="B60" s="16">
        <f t="array" ref="B60">xlookup(A60,Scores!$A:$A,Scores!$D:$D)</f>
        <v>2</v>
      </c>
      <c r="C60" s="17" t="str">
        <f t="array" ref="C60">(XLOOKUP(A60,Scores!$A:$A,Scores!$B:$B))</f>
        <v>14u CoEd</v>
      </c>
      <c r="D60" s="18">
        <f t="array" ref="D60">xlookup(A60,Scores!$A:$A,Scores!$E:$E)</f>
        <v>0.7534722222</v>
      </c>
      <c r="E60" s="19" t="str">
        <f t="array" ref="E60">CONCATENATE(XLOOKUP(A60,Scores!$A:$A,Scores!$F:$F)," vs ",(XLOOKUP(A60,Scores!$A:$A,Scores!$H:$H)))</f>
        <v>Gladiators vs Patriots</v>
      </c>
      <c r="F60" s="37" t="str">
        <f t="array" ref="F60">XLOOKUP(A60,Scores!$A:$A,Scores!$J:$J,"No_score")</f>
        <v>Gladiators</v>
      </c>
    </row>
    <row r="61">
      <c r="A61" s="36">
        <v>51.0</v>
      </c>
      <c r="B61" s="16">
        <f t="array" ref="B61">xlookup(A61,Scores!$A:$A,Scores!$D:$D)</f>
        <v>3</v>
      </c>
      <c r="C61" s="17" t="str">
        <f t="array" ref="C61">(XLOOKUP(A61,Scores!$A:$A,Scores!$B:$B))</f>
        <v>12u CoEd</v>
      </c>
      <c r="D61" s="18">
        <f t="array" ref="D61">xlookup(A61,Scores!$A:$A,Scores!$E:$E)</f>
        <v>0.7534722222</v>
      </c>
      <c r="E61" s="19" t="str">
        <f t="array" ref="E61">CONCATENATE(XLOOKUP(A61,Scores!$A:$A,Scores!$F:$F)," vs ",(XLOOKUP(A61,Scores!$A:$A,Scores!$H:$H)))</f>
        <v>Orl. Thunder vs Patriots</v>
      </c>
      <c r="F61" s="37" t="str">
        <f t="array" ref="F61">XLOOKUP(A61,Scores!$A:$A,Scores!$J:$J,"No_score")</f>
        <v>Orl. Thunder</v>
      </c>
    </row>
    <row r="62">
      <c r="A62" s="36">
        <v>52.0</v>
      </c>
      <c r="B62" s="16">
        <f t="array" ref="B62">xlookup(A62,Scores!$A:$A,Scores!$D:$D)</f>
        <v>1</v>
      </c>
      <c r="C62" s="38" t="str">
        <f t="array" ref="C62">(XLOOKUP(A62,Scores!$A:$A,Scores!$B:$B))</f>
        <v>Mens Open</v>
      </c>
      <c r="D62" s="18">
        <f t="array" ref="D62">xlookup(A62,Scores!$A:$A,Scores!$E:$E)</f>
        <v>0.7916666667</v>
      </c>
      <c r="E62" s="19" t="str">
        <f t="array" ref="E62">CONCATENATE(XLOOKUP(A62,Scores!$A:$A,Scores!$F:$F)," vs ",(XLOOKUP(A62,Scores!$A:$A,Scores!$H:$H)))</f>
        <v>Tampa vs Sarasota</v>
      </c>
      <c r="F62" s="37" t="str">
        <f t="array" ref="F62">XLOOKUP(A62,Scores!$A:$A,Scores!$J:$J,"No_score")</f>
        <v>Tampa</v>
      </c>
    </row>
    <row r="63">
      <c r="A63" s="36">
        <v>53.0</v>
      </c>
      <c r="B63" s="16">
        <f t="array" ref="B63">xlookup(A63,Scores!$A:$A,Scores!$D:$D)</f>
        <v>2</v>
      </c>
      <c r="C63" s="39" t="str">
        <f t="array" ref="C63">(XLOOKUP(A63,Scores!$A:$A,Scores!$B:$B))</f>
        <v>16u Boys</v>
      </c>
      <c r="D63" s="18">
        <f t="array" ref="D63">xlookup(A63,Scores!$A:$A,Scores!$E:$E)</f>
        <v>0.7916666667</v>
      </c>
      <c r="E63" s="19" t="str">
        <f t="array" ref="E63">CONCATENATE(XLOOKUP(A63,Scores!$A:$A,Scores!$F:$F)," vs ",(XLOOKUP(A63,Scores!$A:$A,Scores!$H:$H)))</f>
        <v>Team Orlando vs Orl. Thunder</v>
      </c>
      <c r="F63" s="37" t="str">
        <f t="array" ref="F63">XLOOKUP(A63,Scores!$A:$A,Scores!$J:$J,"No_score")</f>
        <v>Orl. Thunder</v>
      </c>
    </row>
    <row r="64">
      <c r="A64" s="40">
        <v>54.0</v>
      </c>
      <c r="B64" s="41">
        <f t="array" ref="B64">xlookup(A64,Scores!$A:$A,Scores!$D:$D)</f>
        <v>3</v>
      </c>
      <c r="C64" s="42" t="str">
        <f t="array" ref="C64">(XLOOKUP(A64,Scores!$A:$A,Scores!$B:$B))</f>
        <v>12u CoEd</v>
      </c>
      <c r="D64" s="43">
        <f t="array" ref="D64">xlookup(A64,Scores!$A:$A,Scores!$E:$E)</f>
        <v>0.7916666667</v>
      </c>
      <c r="E64" s="44" t="str">
        <f t="array" ref="E64">CONCATENATE(XLOOKUP(A64,Scores!$A:$A,Scores!$F:$F)," vs ",(XLOOKUP(A64,Scores!$A:$A,Scores!$H:$H)))</f>
        <v>Sarasota vs NextLevel</v>
      </c>
      <c r="F64" s="45" t="str">
        <f t="array" ref="F64">XLOOKUP(A64,Scores!$A:$A,Scores!$J:$J,"No_score")</f>
        <v>NextLevel</v>
      </c>
    </row>
    <row r="65">
      <c r="A65" s="46"/>
      <c r="B65" s="46"/>
      <c r="C65" s="46"/>
      <c r="D65" s="46"/>
      <c r="E65" s="46"/>
      <c r="F65" s="46"/>
    </row>
    <row r="66">
      <c r="A66" s="47" t="s">
        <v>10</v>
      </c>
      <c r="B66" s="48"/>
      <c r="C66" s="48"/>
      <c r="D66" s="48"/>
      <c r="E66" s="48"/>
      <c r="F66" s="49"/>
    </row>
    <row r="67">
      <c r="A67" s="50" t="s">
        <v>3</v>
      </c>
      <c r="B67" s="51" t="s">
        <v>4</v>
      </c>
      <c r="C67" s="52" t="s">
        <v>5</v>
      </c>
      <c r="D67" s="51" t="s">
        <v>6</v>
      </c>
      <c r="E67" s="51" t="s">
        <v>7</v>
      </c>
      <c r="F67" s="53" t="s">
        <v>8</v>
      </c>
    </row>
    <row r="68">
      <c r="A68" s="54">
        <v>55.0</v>
      </c>
      <c r="B68" s="16">
        <f t="array" ref="B68">xlookup(A68,Scores!$A:$A,Scores!$D:$D)</f>
        <v>1</v>
      </c>
      <c r="C68" s="17" t="str">
        <f t="array" ref="C68">(XLOOKUP(A68,Scores!$A:$A,Scores!$B:$B))</f>
        <v>18u Boys</v>
      </c>
      <c r="D68" s="18">
        <f t="array" ref="D68">xlookup(A68,Scores!$A:$A,Scores!$E:$E)</f>
        <v>0.2951388889</v>
      </c>
      <c r="E68" s="55" t="str">
        <f t="array" ref="E68">CONCATENATE(XLOOKUP(A68,Scores!$A:$A,Scores!$F:$F)," vs ",(XLOOKUP(A68,Scores!$A:$A,Scores!$H:$H)))</f>
        <v>Patriots vs Cayman Islands</v>
      </c>
      <c r="F68" s="56" t="str">
        <f t="array" ref="F68">XLOOKUP(A68,Scores!$A:$A,Scores!$J:$J,"No_score")</f>
        <v>Patriots</v>
      </c>
    </row>
    <row r="69">
      <c r="A69" s="54">
        <v>56.0</v>
      </c>
      <c r="B69" s="16">
        <f t="array" ref="B69">xlookup(A69,Scores!$A:$A,Scores!$D:$D)</f>
        <v>2</v>
      </c>
      <c r="C69" s="17" t="str">
        <f t="array" ref="C69">(XLOOKUP(A69,Scores!$A:$A,Scores!$B:$B))</f>
        <v>16u Boys</v>
      </c>
      <c r="D69" s="18">
        <f t="array" ref="D69">xlookup(A69,Scores!$A:$A,Scores!$E:$E)</f>
        <v>0.2951388889</v>
      </c>
      <c r="E69" s="55" t="str">
        <f t="array" ref="E69">CONCATENATE(XLOOKUP(A69,Scores!$A:$A,Scores!$F:$F)," vs ",(XLOOKUP(A69,Scores!$A:$A,Scores!$H:$H)))</f>
        <v>NextLevel vs SJ Cariba</v>
      </c>
      <c r="F69" s="56" t="str">
        <f t="array" ref="F69">XLOOKUP(A69,Scores!$A:$A,Scores!$J:$J,"No_score")</f>
        <v>NextLevel</v>
      </c>
    </row>
    <row r="70">
      <c r="A70" s="54">
        <v>57.0</v>
      </c>
      <c r="B70" s="16">
        <f t="array" ref="B70">xlookup(A70,Scores!$A:$A,Scores!$D:$D)</f>
        <v>3</v>
      </c>
      <c r="C70" s="17" t="str">
        <f t="array" ref="C70">(XLOOKUP(A70,Scores!$A:$A,Scores!$B:$B))</f>
        <v>14u CoEd</v>
      </c>
      <c r="D70" s="18">
        <f t="array" ref="D70">xlookup(A70,Scores!$A:$A,Scores!$E:$E)</f>
        <v>0.2951388889</v>
      </c>
      <c r="E70" s="55" t="str">
        <f t="array" ref="E70">CONCATENATE(XLOOKUP(A70,Scores!$A:$A,Scores!$F:$F)," vs ",(XLOOKUP(A70,Scores!$A:$A,Scores!$H:$H)))</f>
        <v>Gladiators vs NextLevel</v>
      </c>
      <c r="F70" s="56" t="str">
        <f t="array" ref="F70">XLOOKUP(A70,Scores!$A:$A,Scores!$J:$J,"No_score")</f>
        <v>NextLevel</v>
      </c>
    </row>
    <row r="71">
      <c r="A71" s="54">
        <v>58.0</v>
      </c>
      <c r="B71" s="16">
        <f t="array" ref="B71">xlookup(A71,Scores!$A:$A,Scores!$D:$D)</f>
        <v>1</v>
      </c>
      <c r="C71" s="17" t="str">
        <f t="array" ref="C71">(XLOOKUP(A71,Scores!$A:$A,Scores!$B:$B))</f>
        <v>18u Boys</v>
      </c>
      <c r="D71" s="18">
        <f t="array" ref="D71">xlookup(A71,Scores!$A:$A,Scores!$E:$E)</f>
        <v>0.3333333333</v>
      </c>
      <c r="E71" s="55" t="str">
        <f t="array" ref="E71">CONCATENATE(XLOOKUP(A71,Scores!$A:$A,Scores!$F:$F)," vs ",(XLOOKUP(A71,Scores!$A:$A,Scores!$H:$H)))</f>
        <v>Team Orlando vs NextLevel</v>
      </c>
      <c r="F71" s="56" t="str">
        <f t="array" ref="F71">XLOOKUP(A71,Scores!$A:$A,Scores!$J:$J,"No_score")</f>
        <v>Team Orlando</v>
      </c>
    </row>
    <row r="72">
      <c r="A72" s="54">
        <v>59.0</v>
      </c>
      <c r="B72" s="16">
        <f t="array" ref="B72">xlookup(A72,Scores!$A:$A,Scores!$D:$D)</f>
        <v>2</v>
      </c>
      <c r="C72" s="17" t="str">
        <f t="array" ref="C72">(XLOOKUP(A72,Scores!$A:$A,Scores!$B:$B))</f>
        <v>18u Girls</v>
      </c>
      <c r="D72" s="18">
        <f t="array" ref="D72">xlookup(A72,Scores!$A:$A,Scores!$E:$E)</f>
        <v>0.3333333333</v>
      </c>
      <c r="E72" s="55" t="str">
        <f t="array" ref="E72">CONCATENATE(XLOOKUP(A72,Scores!$A:$A,Scores!$F:$F)," vs ",(XLOOKUP(A72,Scores!$A:$A,Scores!$H:$H)))</f>
        <v>Cayman Islands vs Team Orlando</v>
      </c>
      <c r="F72" s="56" t="str">
        <f t="array" ref="F72">XLOOKUP(A72,Scores!$A:$A,Scores!$J:$J,"No_score")</f>
        <v>Team Orlando</v>
      </c>
    </row>
    <row r="73">
      <c r="A73" s="54">
        <v>60.0</v>
      </c>
      <c r="B73" s="16">
        <f t="array" ref="B73">xlookup(A73,Scores!$A:$A,Scores!$D:$D)</f>
        <v>3</v>
      </c>
      <c r="C73" s="17" t="str">
        <f t="array" ref="C73">(XLOOKUP(A73,Scores!$A:$A,Scores!$B:$B))</f>
        <v>14u CoEd</v>
      </c>
      <c r="D73" s="18">
        <f t="array" ref="D73">xlookup(A73,Scores!$A:$A,Scores!$E:$E)</f>
        <v>0.3333333333</v>
      </c>
      <c r="E73" s="55" t="str">
        <f t="array" ref="E73">CONCATENATE(XLOOKUP(A73,Scores!$A:$A,Scores!$F:$F)," vs ",(XLOOKUP(A73,Scores!$A:$A,Scores!$H:$H)))</f>
        <v>SJ Cariba vs Team Orlando</v>
      </c>
      <c r="F73" s="56" t="str">
        <f t="array" ref="F73">XLOOKUP(A73,Scores!$A:$A,Scores!$J:$J,"No_score")</f>
        <v>SJ Cariba</v>
      </c>
    </row>
    <row r="74">
      <c r="A74" s="54">
        <v>61.0</v>
      </c>
      <c r="B74" s="16">
        <f t="array" ref="B74">xlookup(A74,Scores!$A:$A,Scores!$D:$D)</f>
        <v>1</v>
      </c>
      <c r="C74" s="17" t="str">
        <f t="array" ref="C74">(XLOOKUP(A74,Scores!$A:$A,Scores!$B:$B))</f>
        <v>18u Boys</v>
      </c>
      <c r="D74" s="18">
        <f t="array" ref="D74">xlookup(A74,Scores!$A:$A,Scores!$E:$E)</f>
        <v>0.3715277778</v>
      </c>
      <c r="E74" s="55" t="str">
        <f t="array" ref="E74">CONCATENATE(XLOOKUP(A74,Scores!$A:$A,Scores!$F:$F)," vs ",(XLOOKUP(A74,Scores!$A:$A,Scores!$H:$H)))</f>
        <v>Barcelona vs Seminole</v>
      </c>
      <c r="F74" s="56" t="str">
        <f t="array" ref="F74">XLOOKUP(A74,Scores!$A:$A,Scores!$J:$J,"No_score")</f>
        <v>Barcelona</v>
      </c>
    </row>
    <row r="75">
      <c r="A75" s="54">
        <v>62.0</v>
      </c>
      <c r="B75" s="16">
        <f t="array" ref="B75">xlookup(A75,Scores!$A:$A,Scores!$D:$D)</f>
        <v>2</v>
      </c>
      <c r="C75" s="17" t="str">
        <f t="array" ref="C75">(XLOOKUP(A75,Scores!$A:$A,Scores!$B:$B))</f>
        <v>18u Boys</v>
      </c>
      <c r="D75" s="18">
        <f t="array" ref="D75">xlookup(A75,Scores!$A:$A,Scores!$E:$E)</f>
        <v>0.3715277778</v>
      </c>
      <c r="E75" s="55" t="str">
        <f t="array" ref="E75">CONCATENATE(XLOOKUP(A75,Scores!$A:$A,Scores!$F:$F)," vs ",(XLOOKUP(A75,Scores!$A:$A,Scores!$H:$H)))</f>
        <v>Orl. Thunder vs Cayman Islands</v>
      </c>
      <c r="F75" s="56" t="str">
        <f t="array" ref="F75">XLOOKUP(A75,Scores!$A:$A,Scores!$J:$J,"No_score")</f>
        <v>Orl. Thunder</v>
      </c>
    </row>
    <row r="76">
      <c r="A76" s="54">
        <v>63.0</v>
      </c>
      <c r="B76" s="16">
        <f t="array" ref="B76">xlookup(A76,Scores!$A:$A,Scores!$D:$D)</f>
        <v>3</v>
      </c>
      <c r="C76" s="17" t="str">
        <f t="array" ref="C76">(XLOOKUP(A76,Scores!$A:$A,Scores!$B:$B))</f>
        <v>14u CoEd</v>
      </c>
      <c r="D76" s="18">
        <f t="array" ref="D76">xlookup(A76,Scores!$A:$A,Scores!$E:$E)</f>
        <v>0.3715277778</v>
      </c>
      <c r="E76" s="55" t="str">
        <f t="array" ref="E76">CONCATENATE(XLOOKUP(A76,Scores!$A:$A,Scores!$F:$F)," vs ",(XLOOKUP(A76,Scores!$A:$A,Scores!$H:$H)))</f>
        <v>Seminole vs Orl. Thunder</v>
      </c>
      <c r="F76" s="56" t="str">
        <f t="array" ref="F76">XLOOKUP(A76,Scores!$A:$A,Scores!$J:$J,"No_score")</f>
        <v>Seminole</v>
      </c>
    </row>
    <row r="77">
      <c r="A77" s="54">
        <v>64.0</v>
      </c>
      <c r="B77" s="16">
        <f t="array" ref="B77">xlookup(A77,Scores!$A:$A,Scores!$D:$D)</f>
        <v>1</v>
      </c>
      <c r="C77" s="17" t="str">
        <f t="array" ref="C77">(XLOOKUP(A77,Scores!$A:$A,Scores!$B:$B))</f>
        <v>Mens Open</v>
      </c>
      <c r="D77" s="18">
        <f t="array" ref="D77">xlookup(A77,Scores!$A:$A,Scores!$E:$E)</f>
        <v>0.4097222222</v>
      </c>
      <c r="E77" s="55" t="str">
        <f t="array" ref="E77">CONCATENATE(XLOOKUP(A77,Scores!$A:$A,Scores!$F:$F)," vs ",(XLOOKUP(A77,Scores!$A:$A,Scores!$H:$H)))</f>
        <v>Tampa vs Orl. United</v>
      </c>
      <c r="F77" s="56" t="str">
        <f t="array" ref="F77">XLOOKUP(A77,Scores!$A:$A,Scores!$J:$J,"No_score")</f>
        <v>Tampa</v>
      </c>
    </row>
    <row r="78">
      <c r="A78" s="54">
        <v>65.0</v>
      </c>
      <c r="B78" s="16">
        <f t="array" ref="B78">xlookup(A78,Scores!$A:$A,Scores!$D:$D)</f>
        <v>2</v>
      </c>
      <c r="C78" s="17" t="str">
        <f t="array" ref="C78">(XLOOKUP(A78,Scores!$A:$A,Scores!$B:$B))</f>
        <v>18u Girls</v>
      </c>
      <c r="D78" s="18">
        <f t="array" ref="D78">xlookup(A78,Scores!$A:$A,Scores!$E:$E)</f>
        <v>0.4097222222</v>
      </c>
      <c r="E78" s="55" t="str">
        <f t="array" ref="E78">CONCATENATE(XLOOKUP(A78,Scores!$A:$A,Scores!$F:$F)," vs ",(XLOOKUP(A78,Scores!$A:$A,Scores!$H:$H)))</f>
        <v>Patriots vs Barcelona</v>
      </c>
      <c r="F78" s="56" t="str">
        <f t="array" ref="F78">XLOOKUP(A78,Scores!$A:$A,Scores!$J:$J,"No_score")</f>
        <v>Barcelona</v>
      </c>
    </row>
    <row r="79">
      <c r="A79" s="54">
        <v>66.0</v>
      </c>
      <c r="B79" s="16">
        <f t="array" ref="B79">xlookup(A79,Scores!$A:$A,Scores!$D:$D)</f>
        <v>3</v>
      </c>
      <c r="C79" s="17" t="str">
        <f t="array" ref="C79">(XLOOKUP(A79,Scores!$A:$A,Scores!$B:$B))</f>
        <v>14u CoEd</v>
      </c>
      <c r="D79" s="18">
        <f t="array" ref="D79">xlookup(A79,Scores!$A:$A,Scores!$E:$E)</f>
        <v>0.4097222222</v>
      </c>
      <c r="E79" s="55" t="str">
        <f t="array" ref="E79">CONCATENATE(XLOOKUP(A79,Scores!$A:$A,Scores!$F:$F)," vs ",(XLOOKUP(A79,Scores!$A:$A,Scores!$H:$H)))</f>
        <v>Gladiators vs Patriots</v>
      </c>
      <c r="F79" s="56" t="str">
        <f t="array" ref="F79">XLOOKUP(A79,Scores!$A:$A,Scores!$J:$J,"No_score")</f>
        <v>Gladiators</v>
      </c>
    </row>
    <row r="80">
      <c r="A80" s="54">
        <v>67.0</v>
      </c>
      <c r="B80" s="16">
        <f t="array" ref="B80">xlookup(A80,Scores!$A:$A,Scores!$D:$D)</f>
        <v>1</v>
      </c>
      <c r="C80" s="17" t="str">
        <f t="array" ref="C80">(XLOOKUP(A80,Scores!$A:$A,Scores!$B:$B))</f>
        <v>Mens Open</v>
      </c>
      <c r="D80" s="18">
        <f t="array" ref="D80">xlookup(A80,Scores!$A:$A,Scores!$E:$E)</f>
        <v>0.4479166667</v>
      </c>
      <c r="E80" s="55" t="str">
        <f t="array" ref="E80">CONCATENATE(XLOOKUP(A80,Scores!$A:$A,Scores!$F:$F)," vs ",(XLOOKUP(A80,Scores!$A:$A,Scores!$H:$H)))</f>
        <v>TO Blue vs Sarasota</v>
      </c>
      <c r="F80" s="56" t="str">
        <f t="array" ref="F80">XLOOKUP(A80,Scores!$A:$A,Scores!$J:$J,"No_score")</f>
        <v>TO Blue</v>
      </c>
    </row>
    <row r="81">
      <c r="A81" s="54">
        <v>68.0</v>
      </c>
      <c r="B81" s="16">
        <f t="array" ref="B81">xlookup(A81,Scores!$A:$A,Scores!$D:$D)</f>
        <v>2</v>
      </c>
      <c r="C81" s="17" t="str">
        <f t="array" ref="C81">(XLOOKUP(A81,Scores!$A:$A,Scores!$B:$B))</f>
        <v>18u Boys</v>
      </c>
      <c r="D81" s="18">
        <f t="array" ref="D81">xlookup(A81,Scores!$A:$A,Scores!$E:$E)</f>
        <v>0.4479166667</v>
      </c>
      <c r="E81" s="55" t="str">
        <f t="array" ref="E81">CONCATENATE(XLOOKUP(A81,Scores!$A:$A,Scores!$F:$F)," vs ",(XLOOKUP(A81,Scores!$A:$A,Scores!$H:$H)))</f>
        <v>Patriots vs Orl. Thunder</v>
      </c>
      <c r="F81" s="56" t="str">
        <f t="array" ref="F81">XLOOKUP(A81,Scores!$A:$A,Scores!$J:$J,"No_score")</f>
        <v>Orl. Thunder</v>
      </c>
    </row>
    <row r="82">
      <c r="A82" s="54">
        <v>69.0</v>
      </c>
      <c r="B82" s="16">
        <f t="array" ref="B82">xlookup(A82,Scores!$A:$A,Scores!$D:$D)</f>
        <v>3</v>
      </c>
      <c r="C82" s="17" t="str">
        <f t="array" ref="C82">(XLOOKUP(A82,Scores!$A:$A,Scores!$B:$B))</f>
        <v>12u CoEd</v>
      </c>
      <c r="D82" s="18">
        <f t="array" ref="D82">xlookup(A82,Scores!$A:$A,Scores!$E:$E)</f>
        <v>0.4479166667</v>
      </c>
      <c r="E82" s="55" t="str">
        <f t="array" ref="E82">CONCATENATE(XLOOKUP(A82,Scores!$A:$A,Scores!$F:$F)," vs ",(XLOOKUP(A82,Scores!$A:$A,Scores!$H:$H)))</f>
        <v>SJ Cariba vs NextLevel</v>
      </c>
      <c r="F82" s="56" t="str">
        <f t="array" ref="F82">XLOOKUP(A82,Scores!$A:$A,Scores!$J:$J,"No_score")</f>
        <v>SJ Cariba</v>
      </c>
    </row>
    <row r="83">
      <c r="A83" s="54">
        <v>70.0</v>
      </c>
      <c r="B83" s="16">
        <f t="array" ref="B83">xlookup(A83,Scores!$A:$A,Scores!$D:$D)</f>
        <v>1</v>
      </c>
      <c r="C83" s="17" t="str">
        <f t="array" ref="C83">(XLOOKUP(A83,Scores!$A:$A,Scores!$B:$B))</f>
        <v>16u Boys</v>
      </c>
      <c r="D83" s="18">
        <f t="array" ref="D83">xlookup(A83,Scores!$A:$A,Scores!$E:$E)</f>
        <v>0.4861111111</v>
      </c>
      <c r="E83" s="55" t="str">
        <f t="array" ref="E83">CONCATENATE(XLOOKUP(A83,Scores!$A:$A,Scores!$F:$F)," vs ",(XLOOKUP(A83,Scores!$A:$A,Scores!$H:$H)))</f>
        <v>Orl. Thunder vs Gladiators</v>
      </c>
      <c r="F83" s="56" t="str">
        <f t="array" ref="F83">XLOOKUP(A83,Scores!$A:$A,Scores!$J:$J,"No_score")</f>
        <v>Gladiators</v>
      </c>
    </row>
    <row r="84">
      <c r="A84" s="54">
        <v>71.0</v>
      </c>
      <c r="B84" s="16">
        <f t="array" ref="B84">xlookup(A84,Scores!$A:$A,Scores!$D:$D)</f>
        <v>2</v>
      </c>
      <c r="C84" s="17" t="str">
        <f t="array" ref="C84">(XLOOKUP(A84,Scores!$A:$A,Scores!$B:$B))</f>
        <v>18u Girls</v>
      </c>
      <c r="D84" s="18">
        <f t="array" ref="D84">xlookup(A84,Scores!$A:$A,Scores!$E:$E)</f>
        <v>0.4861111111</v>
      </c>
      <c r="E84" s="55" t="str">
        <f t="array" ref="E84">CONCATENATE(XLOOKUP(A84,Scores!$A:$A,Scores!$F:$F)," vs ",(XLOOKUP(A84,Scores!$A:$A,Scores!$H:$H)))</f>
        <v>Seminole vs Barcelona</v>
      </c>
      <c r="F84" s="56" t="str">
        <f t="array" ref="F84">XLOOKUP(A84,Scores!$A:$A,Scores!$J:$J,"No_score")</f>
        <v>Barcelona</v>
      </c>
    </row>
    <row r="85">
      <c r="A85" s="54">
        <v>72.0</v>
      </c>
      <c r="B85" s="16">
        <f t="array" ref="B85">xlookup(A85,Scores!$A:$A,Scores!$D:$D)</f>
        <v>3</v>
      </c>
      <c r="C85" s="17" t="str">
        <f t="array" ref="C85">(XLOOKUP(A85,Scores!$A:$A,Scores!$B:$B))</f>
        <v>12u CoEd</v>
      </c>
      <c r="D85" s="18">
        <f t="array" ref="D85">xlookup(A85,Scores!$A:$A,Scores!$E:$E)</f>
        <v>0.4861111111</v>
      </c>
      <c r="E85" s="55" t="str">
        <f t="array" ref="E85">CONCATENATE(XLOOKUP(A85,Scores!$A:$A,Scores!$F:$F)," vs ",(XLOOKUP(A85,Scores!$A:$A,Scores!$H:$H)))</f>
        <v>Gladiators vs Patriots</v>
      </c>
      <c r="F85" s="56" t="str">
        <f t="array" ref="F85">XLOOKUP(A85,Scores!$A:$A,Scores!$J:$J,"No_score")</f>
        <v>Gladiators</v>
      </c>
    </row>
    <row r="86">
      <c r="A86" s="54">
        <v>73.0</v>
      </c>
      <c r="B86" s="16">
        <f t="array" ref="B86">xlookup(A86,Scores!$A:$A,Scores!$D:$D)</f>
        <v>1</v>
      </c>
      <c r="C86" s="17" t="str">
        <f t="array" ref="C86">(XLOOKUP(A86,Scores!$A:$A,Scores!$B:$B))</f>
        <v>18u Boys</v>
      </c>
      <c r="D86" s="18">
        <f t="array" ref="D86">xlookup(A86,Scores!$A:$A,Scores!$E:$E)</f>
        <v>0.5243055556</v>
      </c>
      <c r="E86" s="55" t="str">
        <f t="array" ref="E86">CONCATENATE(XLOOKUP(A86,Scores!$A:$A,Scores!$F:$F)," vs ",(XLOOKUP(A86,Scores!$A:$A,Scores!$H:$H)))</f>
        <v>Team Orlando vs Barcelona</v>
      </c>
      <c r="F86" s="56" t="str">
        <f t="array" ref="F86">XLOOKUP(A86,Scores!$A:$A,Scores!$J:$J,"No_score")</f>
        <v>Barcelona</v>
      </c>
    </row>
    <row r="87">
      <c r="A87" s="54">
        <v>74.0</v>
      </c>
      <c r="B87" s="16">
        <f t="array" ref="B87">xlookup(A87,Scores!$A:$A,Scores!$D:$D)</f>
        <v>2</v>
      </c>
      <c r="C87" s="57" t="str">
        <f t="array" ref="C87">(XLOOKUP(A87,Scores!$A:$A,Scores!$B:$B))</f>
        <v>16u Girls</v>
      </c>
      <c r="D87" s="18">
        <f t="array" ref="D87">xlookup(A87,Scores!$A:$A,Scores!$E:$E)</f>
        <v>0.5243055556</v>
      </c>
      <c r="E87" s="55" t="str">
        <f t="array" ref="E87">CONCATENATE(XLOOKUP(A87,Scores!$A:$A,Scores!$F:$F)," vs ",(XLOOKUP(A87,Scores!$A:$A,Scores!$H:$H)))</f>
        <v>Team Orlando vs Orl. Thunder</v>
      </c>
      <c r="F87" s="56" t="str">
        <f t="array" ref="F87">XLOOKUP(A87,Scores!$A:$A,Scores!$J:$J,"No_score")</f>
        <v>Team Orlando</v>
      </c>
    </row>
    <row r="88">
      <c r="A88" s="54">
        <v>75.0</v>
      </c>
      <c r="B88" s="16">
        <f t="array" ref="B88">xlookup(A88,Scores!$A:$A,Scores!$D:$D)</f>
        <v>3</v>
      </c>
      <c r="C88" s="17" t="str">
        <f t="array" ref="C88">(XLOOKUP(A88,Scores!$A:$A,Scores!$B:$B))</f>
        <v>12u CoEd</v>
      </c>
      <c r="D88" s="18">
        <f t="array" ref="D88">xlookup(A88,Scores!$A:$A,Scores!$E:$E)</f>
        <v>0.5243055556</v>
      </c>
      <c r="E88" s="55" t="str">
        <f t="array" ref="E88">CONCATENATE(XLOOKUP(A88,Scores!$A:$A,Scores!$F:$F)," vs ",(XLOOKUP(A88,Scores!$A:$A,Scores!$H:$H)))</f>
        <v>Team Orlando vs Orl. Thunder</v>
      </c>
      <c r="F88" s="56" t="str">
        <f t="array" ref="F88">XLOOKUP(A88,Scores!$A:$A,Scores!$J:$J,"No_score")</f>
        <v>Orl. Thunder</v>
      </c>
    </row>
    <row r="89">
      <c r="A89" s="54">
        <v>76.0</v>
      </c>
      <c r="B89" s="16">
        <f t="array" ref="B89">xlookup(A89,Scores!$A:$A,Scores!$D:$D)</f>
        <v>1</v>
      </c>
      <c r="C89" s="17" t="str">
        <f t="array" ref="C89">(XLOOKUP(A89,Scores!$A:$A,Scores!$B:$B))</f>
        <v>Mens Open</v>
      </c>
      <c r="D89" s="18">
        <f t="array" ref="D89">xlookup(A89,Scores!$A:$A,Scores!$E:$E)</f>
        <v>0.5625</v>
      </c>
      <c r="E89" s="55" t="str">
        <f t="array" ref="E89">CONCATENATE(XLOOKUP(A89,Scores!$A:$A,Scores!$F:$F)," vs ",(XLOOKUP(A89,Scores!$A:$A,Scores!$H:$H)))</f>
        <v>TO Black vs Sarasota</v>
      </c>
      <c r="F89" s="56" t="str">
        <f t="array" ref="F89">XLOOKUP(A89,Scores!$A:$A,Scores!$J:$J,"No_score")</f>
        <v>TO Black</v>
      </c>
    </row>
    <row r="90">
      <c r="A90" s="54">
        <v>77.0</v>
      </c>
      <c r="B90" s="16">
        <f t="array" ref="B90">xlookup(A90,Scores!$A:$A,Scores!$D:$D)</f>
        <v>2</v>
      </c>
      <c r="C90" s="17" t="str">
        <f t="array" ref="C90">(XLOOKUP(A90,Scores!$A:$A,Scores!$B:$B))</f>
        <v>18u Boys</v>
      </c>
      <c r="D90" s="18">
        <f t="array" ref="D90">xlookup(A90,Scores!$A:$A,Scores!$E:$E)</f>
        <v>0.5625</v>
      </c>
      <c r="E90" s="55" t="str">
        <f t="array" ref="E90">CONCATENATE(XLOOKUP(A90,Scores!$A:$A,Scores!$F:$F)," vs ",(XLOOKUP(A90,Scores!$A:$A,Scores!$H:$H)))</f>
        <v>NextLevel vs Seminole</v>
      </c>
      <c r="F90" s="56" t="str">
        <f t="array" ref="F90">XLOOKUP(A90,Scores!$A:$A,Scores!$J:$J,"No_score")</f>
        <v>NextLevel</v>
      </c>
    </row>
    <row r="91">
      <c r="A91" s="54">
        <v>78.0</v>
      </c>
      <c r="B91" s="16">
        <f t="array" ref="B91">xlookup(A91,Scores!$A:$A,Scores!$D:$D)</f>
        <v>3</v>
      </c>
      <c r="C91" s="17" t="str">
        <f t="array" ref="C91">(XLOOKUP(A91,Scores!$A:$A,Scores!$B:$B))</f>
        <v>14u CoEd</v>
      </c>
      <c r="D91" s="18">
        <f t="array" ref="D91">xlookup(A91,Scores!$A:$A,Scores!$E:$E)</f>
        <v>0.5625</v>
      </c>
      <c r="E91" s="55" t="str">
        <f t="array" ref="E91">CONCATENATE(XLOOKUP(A91,Scores!$A:$A,Scores!$F:$F)," vs ",(XLOOKUP(A91,Scores!$A:$A,Scores!$H:$H)))</f>
        <v>Team Orlando vs Orl. Thunder</v>
      </c>
      <c r="F91" s="56" t="str">
        <f t="array" ref="F91">XLOOKUP(A91,Scores!$A:$A,Scores!$J:$J,"No_score")</f>
        <v>Team Orlando</v>
      </c>
    </row>
    <row r="92">
      <c r="A92" s="54">
        <v>79.0</v>
      </c>
      <c r="B92" s="16">
        <f t="array" ref="B92">xlookup(A92,Scores!$A:$A,Scores!$D:$D)</f>
        <v>1</v>
      </c>
      <c r="C92" s="17" t="str">
        <f t="array" ref="C92">(XLOOKUP(A92,Scores!$A:$A,Scores!$B:$B))</f>
        <v>16u Boys</v>
      </c>
      <c r="D92" s="18">
        <f t="array" ref="D92">xlookup(A92,Scores!$A:$A,Scores!$E:$E)</f>
        <v>0.6006944444</v>
      </c>
      <c r="E92" s="55" t="str">
        <f t="array" ref="E92">CONCATENATE(XLOOKUP(A92,Scores!$A:$A,Scores!$F:$F)," vs ",(XLOOKUP(A92,Scores!$A:$A,Scores!$H:$H)))</f>
        <v>Team Orlando vs NextLevel</v>
      </c>
      <c r="F92" s="56" t="str">
        <f t="array" ref="F92">XLOOKUP(A92,Scores!$A:$A,Scores!$J:$J,"No_score")</f>
        <v>NextLevel</v>
      </c>
    </row>
    <row r="93">
      <c r="A93" s="54">
        <v>80.0</v>
      </c>
      <c r="B93" s="16">
        <f t="array" ref="B93">xlookup(A93,Scores!$A:$A,Scores!$D:$D)</f>
        <v>2</v>
      </c>
      <c r="C93" s="17" t="str">
        <f t="array" ref="C93">(XLOOKUP(A93,Scores!$A:$A,Scores!$B:$B))</f>
        <v>18u Girls</v>
      </c>
      <c r="D93" s="18">
        <f t="array" ref="D93">xlookup(A93,Scores!$A:$A,Scores!$E:$E)</f>
        <v>0.6006944444</v>
      </c>
      <c r="E93" s="55" t="str">
        <f t="array" ref="E93">CONCATENATE(XLOOKUP(A93,Scores!$A:$A,Scores!$F:$F)," vs ",(XLOOKUP(A93,Scores!$A:$A,Scores!$H:$H)))</f>
        <v>Barcelona vs Team Orlando</v>
      </c>
      <c r="F93" s="56" t="str">
        <f t="array" ref="F93">XLOOKUP(A93,Scores!$A:$A,Scores!$J:$J,"No_score")</f>
        <v>Barcelona</v>
      </c>
    </row>
    <row r="94">
      <c r="A94" s="54">
        <v>81.0</v>
      </c>
      <c r="B94" s="16">
        <f t="array" ref="B94">xlookup(A94,Scores!$A:$A,Scores!$D:$D)</f>
        <v>3</v>
      </c>
      <c r="C94" s="17" t="str">
        <f t="array" ref="C94">(XLOOKUP(A94,Scores!$A:$A,Scores!$B:$B))</f>
        <v>14u CoEd</v>
      </c>
      <c r="D94" s="18">
        <f t="array" ref="D94">xlookup(A94,Scores!$A:$A,Scores!$E:$E)</f>
        <v>0.6006944444</v>
      </c>
      <c r="E94" s="55" t="str">
        <f t="array" ref="E94">CONCATENATE(XLOOKUP(A94,Scores!$A:$A,Scores!$F:$F)," vs ",(XLOOKUP(A94,Scores!$A:$A,Scores!$H:$H)))</f>
        <v>SJ Cariba vs Seminole</v>
      </c>
      <c r="F94" s="56" t="str">
        <f t="array" ref="F94">XLOOKUP(A94,Scores!$A:$A,Scores!$J:$J,"No_score")</f>
        <v>SJ Cariba</v>
      </c>
    </row>
    <row r="95">
      <c r="A95" s="54">
        <v>82.0</v>
      </c>
      <c r="B95" s="16">
        <f t="array" ref="B95">xlookup(A95,Scores!$A:$A,Scores!$D:$D)</f>
        <v>1</v>
      </c>
      <c r="C95" s="17" t="str">
        <f t="array" ref="C95">(XLOOKUP(A95,Scores!$A:$A,Scores!$B:$B))</f>
        <v>Mens Open</v>
      </c>
      <c r="D95" s="18">
        <f t="array" ref="D95">xlookup(A95,Scores!$A:$A,Scores!$E:$E)</f>
        <v>0.6388888889</v>
      </c>
      <c r="E95" s="55" t="str">
        <f t="array" ref="E95">CONCATENATE(XLOOKUP(A95,Scores!$A:$A,Scores!$F:$F)," vs ",(XLOOKUP(A95,Scores!$A:$A,Scores!$H:$H)))</f>
        <v>TO Black vs Orl. United</v>
      </c>
      <c r="F95" s="56" t="str">
        <f t="array" ref="F95">XLOOKUP(A95,Scores!$A:$A,Scores!$J:$J,"No_score")</f>
        <v>Orl. United</v>
      </c>
    </row>
    <row r="96">
      <c r="A96" s="54">
        <v>83.0</v>
      </c>
      <c r="B96" s="16">
        <f t="array" ref="B96">xlookup(A96,Scores!$A:$A,Scores!$D:$D)</f>
        <v>2</v>
      </c>
      <c r="C96" s="17" t="str">
        <f t="array" ref="C96">(XLOOKUP(A96,Scores!$A:$A,Scores!$B:$B))</f>
        <v>18u Girls</v>
      </c>
      <c r="D96" s="18">
        <f t="array" ref="D96">xlookup(A96,Scores!$A:$A,Scores!$E:$E)</f>
        <v>0.6388888889</v>
      </c>
      <c r="E96" s="55" t="str">
        <f t="array" ref="E96">CONCATENATE(XLOOKUP(A96,Scores!$A:$A,Scores!$F:$F)," vs ",(XLOOKUP(A96,Scores!$A:$A,Scores!$H:$H)))</f>
        <v>Orl. Thunder vs Cayman Islands</v>
      </c>
      <c r="F96" s="56" t="str">
        <f t="array" ref="F96">XLOOKUP(A96,Scores!$A:$A,Scores!$J:$J,"No_score")</f>
        <v>Orl. Thunder</v>
      </c>
    </row>
    <row r="97">
      <c r="A97" s="58">
        <v>84.0</v>
      </c>
      <c r="B97" s="59">
        <f t="array" ref="B97">xlookup(A97,Scores!$A:$A,Scores!$D:$D)</f>
        <v>3</v>
      </c>
      <c r="C97" s="60" t="str">
        <f t="array" ref="C97">(XLOOKUP(A97,Scores!$A:$A,Scores!$B:$B))</f>
        <v>14u CoEd</v>
      </c>
      <c r="D97" s="61">
        <f t="array" ref="D97">xlookup(A97,Scores!$A:$A,Scores!$E:$E)</f>
        <v>0.6388888889</v>
      </c>
      <c r="E97" s="62" t="str">
        <f t="array" ref="E97">CONCATENATE(XLOOKUP(A97,Scores!$A:$A,Scores!$F:$F)," vs ",(XLOOKUP(A97,Scores!$A:$A,Scores!$H:$H)))</f>
        <v>NextLevel vs Patriots</v>
      </c>
      <c r="F97" s="63" t="str">
        <f t="array" ref="F97">XLOOKUP(A97,Scores!$A:$A,Scores!$J:$J,"No_score")</f>
        <v>NextLevel</v>
      </c>
    </row>
  </sheetData>
  <mergeCells count="3">
    <mergeCell ref="A5:F5"/>
    <mergeCell ref="A21:F21"/>
    <mergeCell ref="A66:F66"/>
  </mergeCells>
  <conditionalFormatting sqref="F7:F19 F23:F64 F68:F97">
    <cfRule type="notContainsText" dxfId="0" priority="1" stopIfTrue="1" operator="notContains" text="no_score">
      <formula>ISERROR(SEARCH(("no_score"),(F7)))</formula>
    </cfRule>
  </conditionalFormatting>
  <conditionalFormatting sqref="B1:B97">
    <cfRule type="cellIs" dxfId="1" priority="12" stopIfTrue="1" operator="equal">
      <formula>"12u CoEd"</formula>
    </cfRule>
  </conditionalFormatting>
  <conditionalFormatting sqref="B1:B97">
    <cfRule type="cellIs" dxfId="2" priority="13" stopIfTrue="1" operator="equal">
      <formula>"13u CoEd"</formula>
    </cfRule>
  </conditionalFormatting>
  <conditionalFormatting sqref="B1:B97">
    <cfRule type="cellIs" dxfId="3" priority="14" stopIfTrue="1" operator="equal">
      <formula>"14u CoEd"</formula>
    </cfRule>
  </conditionalFormatting>
  <conditionalFormatting sqref="B1:B97">
    <cfRule type="cellIs" dxfId="4" priority="15" stopIfTrue="1" operator="equal">
      <formula>"15u Boys"</formula>
    </cfRule>
  </conditionalFormatting>
  <conditionalFormatting sqref="B1:B97">
    <cfRule type="cellIs" dxfId="5" priority="16" stopIfTrue="1" operator="equal">
      <formula>"16u Boys"</formula>
    </cfRule>
  </conditionalFormatting>
  <conditionalFormatting sqref="B1:B97">
    <cfRule type="cellIs" dxfId="6" priority="17" stopIfTrue="1" operator="equal">
      <formula>"16u Girls"</formula>
    </cfRule>
  </conditionalFormatting>
  <conditionalFormatting sqref="B1:B97">
    <cfRule type="cellIs" dxfId="7" priority="18" stopIfTrue="1" operator="equal">
      <formula>"18u Boys"</formula>
    </cfRule>
  </conditionalFormatting>
  <conditionalFormatting sqref="B1:B97">
    <cfRule type="cellIs" dxfId="8" priority="19" stopIfTrue="1" operator="equal">
      <formula>"18u Girls"</formula>
    </cfRule>
  </conditionalFormatting>
  <conditionalFormatting sqref="B1:B97">
    <cfRule type="cellIs" dxfId="9" priority="20" stopIfTrue="1" operator="equal">
      <formula>"Mens Open"</formula>
    </cfRule>
  </conditionalFormatting>
  <conditionalFormatting sqref="B1:B97">
    <cfRule type="cellIs" dxfId="10" priority="21" stopIfTrue="1" operator="equal">
      <formula>"Womens Open"</formula>
    </cfRule>
  </conditionalFormatting>
  <conditionalFormatting sqref="C1:C97">
    <cfRule type="cellIs" dxfId="1" priority="22" stopIfTrue="1" operator="equal">
      <formula>"12u CoEd"</formula>
    </cfRule>
  </conditionalFormatting>
  <conditionalFormatting sqref="C1:C97">
    <cfRule type="cellIs" dxfId="2" priority="23" stopIfTrue="1" operator="equal">
      <formula>"13u CoEd"</formula>
    </cfRule>
  </conditionalFormatting>
  <conditionalFormatting sqref="C1:C97">
    <cfRule type="cellIs" dxfId="3" priority="24" stopIfTrue="1" operator="equal">
      <formula>"14u CoEd"</formula>
    </cfRule>
  </conditionalFormatting>
  <conditionalFormatting sqref="C1:C97">
    <cfRule type="cellIs" dxfId="4" priority="25" stopIfTrue="1" operator="equal">
      <formula>"15u Boys"</formula>
    </cfRule>
  </conditionalFormatting>
  <conditionalFormatting sqref="C1:C97">
    <cfRule type="cellIs" dxfId="5" priority="26" stopIfTrue="1" operator="equal">
      <formula>"16u Boys"</formula>
    </cfRule>
  </conditionalFormatting>
  <conditionalFormatting sqref="C1:C97">
    <cfRule type="cellIs" dxfId="6" priority="27" stopIfTrue="1" operator="equal">
      <formula>"16u Girls"</formula>
    </cfRule>
  </conditionalFormatting>
  <conditionalFormatting sqref="C1:C97">
    <cfRule type="cellIs" dxfId="7" priority="28" stopIfTrue="1" operator="equal">
      <formula>"18u Boys"</formula>
    </cfRule>
  </conditionalFormatting>
  <conditionalFormatting sqref="C1:C97">
    <cfRule type="cellIs" dxfId="8" priority="29" stopIfTrue="1" operator="equal">
      <formula>"18u Girls"</formula>
    </cfRule>
  </conditionalFormatting>
  <conditionalFormatting sqref="C1:C97">
    <cfRule type="cellIs" dxfId="9" priority="30" stopIfTrue="1" operator="equal">
      <formula>"Mens Open"</formula>
    </cfRule>
  </conditionalFormatting>
  <conditionalFormatting sqref="C1:C97">
    <cfRule type="cellIs" dxfId="10" priority="31" stopIfTrue="1" operator="equal">
      <formula>"Womens Open"</formula>
    </cfRule>
  </conditionalFormatting>
  <printOptions gridLines="1" horizontalCentered="1"/>
  <pageMargins bottom="0.75" footer="0.0" header="0.0" left="0.25" right="0.25" top="0.75"/>
  <pageSetup cellComments="atEnd" orientation="portrait" pageOrder="overThenDown"/>
  <rowBreaks count="3" manualBreakCount="3">
    <brk man="1"/>
    <brk id="50" man="1"/>
    <brk id="63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6.33"/>
    <col customWidth="1" min="2" max="2" width="8.33"/>
    <col customWidth="1" min="3" max="3" width="6.56"/>
    <col customWidth="1" min="4" max="4" width="7.11"/>
    <col customWidth="1" min="5" max="5" width="7.56"/>
    <col customWidth="1" min="6" max="6" width="11.56"/>
    <col customWidth="1" min="7" max="7" width="10.33"/>
    <col customWidth="1" min="8" max="8" width="17.11"/>
    <col customWidth="1" min="9" max="9" width="9.89"/>
    <col customWidth="1" min="10" max="10" width="17.22"/>
  </cols>
  <sheetData>
    <row r="1" ht="15.75" customHeight="1">
      <c r="A1" s="64" t="s">
        <v>11</v>
      </c>
      <c r="B1" s="65" t="s">
        <v>5</v>
      </c>
      <c r="C1" s="65" t="s">
        <v>12</v>
      </c>
      <c r="D1" s="66" t="s">
        <v>4</v>
      </c>
      <c r="E1" s="65" t="s">
        <v>6</v>
      </c>
      <c r="F1" s="65" t="s">
        <v>13</v>
      </c>
      <c r="G1" s="67" t="s">
        <v>14</v>
      </c>
      <c r="H1" s="68" t="s">
        <v>15</v>
      </c>
      <c r="I1" s="68" t="s">
        <v>16</v>
      </c>
      <c r="J1" s="69" t="s">
        <v>8</v>
      </c>
    </row>
    <row r="2" ht="15.75" customHeight="1">
      <c r="A2" s="70">
        <v>1.0</v>
      </c>
      <c r="B2" s="71" t="s">
        <v>17</v>
      </c>
      <c r="C2" s="72" t="s">
        <v>18</v>
      </c>
      <c r="D2" s="72">
        <v>1.0</v>
      </c>
      <c r="E2" s="73">
        <v>0.6666666666666666</v>
      </c>
      <c r="F2" s="74" t="s">
        <v>19</v>
      </c>
      <c r="G2" s="75">
        <v>15.0</v>
      </c>
      <c r="H2" s="74" t="s">
        <v>20</v>
      </c>
      <c r="I2" s="75">
        <v>9.0</v>
      </c>
      <c r="J2" s="76" t="str">
        <f t="shared" ref="J2:J86" si="1">ifs(G2=I2,"No_score",G2&gt;I2,F2,I2&gt;G2,H2)</f>
        <v>Seminole</v>
      </c>
    </row>
    <row r="3" ht="15.75" customHeight="1">
      <c r="A3" s="77">
        <v>2.0</v>
      </c>
      <c r="B3" s="78" t="s">
        <v>21</v>
      </c>
      <c r="C3" s="79" t="s">
        <v>18</v>
      </c>
      <c r="D3" s="80">
        <v>2.0</v>
      </c>
      <c r="E3" s="81">
        <v>0.6666666666666666</v>
      </c>
      <c r="F3" s="82" t="s">
        <v>20</v>
      </c>
      <c r="G3" s="83">
        <v>9.0</v>
      </c>
      <c r="H3" s="82" t="s">
        <v>22</v>
      </c>
      <c r="I3" s="83">
        <v>10.0</v>
      </c>
      <c r="J3" s="84" t="str">
        <f t="shared" si="1"/>
        <v>Team Orlando</v>
      </c>
    </row>
    <row r="4" ht="15.75" customHeight="1">
      <c r="A4" s="85">
        <v>3.0</v>
      </c>
      <c r="B4" s="78" t="s">
        <v>23</v>
      </c>
      <c r="C4" s="80" t="s">
        <v>18</v>
      </c>
      <c r="D4" s="80">
        <v>1.0</v>
      </c>
      <c r="E4" s="86">
        <v>0.7048611111111112</v>
      </c>
      <c r="F4" s="87" t="s">
        <v>22</v>
      </c>
      <c r="G4" s="83">
        <v>10.0</v>
      </c>
      <c r="H4" s="87" t="s">
        <v>24</v>
      </c>
      <c r="I4" s="83">
        <v>8.0</v>
      </c>
      <c r="J4" s="84" t="str">
        <f t="shared" si="1"/>
        <v>Team Orlando</v>
      </c>
    </row>
    <row r="5" ht="15.75" customHeight="1">
      <c r="A5" s="77">
        <v>4.0</v>
      </c>
      <c r="B5" s="78" t="s">
        <v>21</v>
      </c>
      <c r="C5" s="79" t="s">
        <v>18</v>
      </c>
      <c r="D5" s="80">
        <v>2.0</v>
      </c>
      <c r="E5" s="81">
        <v>0.7048611111111112</v>
      </c>
      <c r="F5" s="82" t="s">
        <v>25</v>
      </c>
      <c r="G5" s="83">
        <v>12.0</v>
      </c>
      <c r="H5" s="82" t="s">
        <v>19</v>
      </c>
      <c r="I5" s="83">
        <v>3.0</v>
      </c>
      <c r="J5" s="84" t="str">
        <f t="shared" si="1"/>
        <v>Orl. Thunder</v>
      </c>
    </row>
    <row r="6" ht="15.75" customHeight="1">
      <c r="A6" s="85">
        <v>5.0</v>
      </c>
      <c r="B6" s="78" t="s">
        <v>17</v>
      </c>
      <c r="C6" s="80" t="s">
        <v>18</v>
      </c>
      <c r="D6" s="80">
        <v>1.0</v>
      </c>
      <c r="E6" s="86">
        <v>0.7430555555555556</v>
      </c>
      <c r="F6" s="87" t="s">
        <v>22</v>
      </c>
      <c r="G6" s="83">
        <v>17.0</v>
      </c>
      <c r="H6" s="87" t="s">
        <v>20</v>
      </c>
      <c r="I6" s="83">
        <v>4.0</v>
      </c>
      <c r="J6" s="84" t="str">
        <f t="shared" si="1"/>
        <v>Team Orlando</v>
      </c>
    </row>
    <row r="7" ht="15.75" customHeight="1">
      <c r="A7" s="77">
        <v>6.0</v>
      </c>
      <c r="B7" s="78" t="s">
        <v>26</v>
      </c>
      <c r="C7" s="79" t="s">
        <v>18</v>
      </c>
      <c r="D7" s="80">
        <v>2.0</v>
      </c>
      <c r="E7" s="81">
        <v>0.7430555555555556</v>
      </c>
      <c r="F7" s="82" t="s">
        <v>22</v>
      </c>
      <c r="G7" s="83">
        <v>20.0</v>
      </c>
      <c r="H7" s="82" t="s">
        <v>20</v>
      </c>
      <c r="I7" s="83">
        <v>1.0</v>
      </c>
      <c r="J7" s="84" t="str">
        <f t="shared" si="1"/>
        <v>Team Orlando</v>
      </c>
    </row>
    <row r="8" ht="15.75" customHeight="1">
      <c r="A8" s="85">
        <v>7.0</v>
      </c>
      <c r="B8" s="78" t="s">
        <v>26</v>
      </c>
      <c r="C8" s="80" t="s">
        <v>18</v>
      </c>
      <c r="D8" s="80">
        <v>3.0</v>
      </c>
      <c r="E8" s="86">
        <v>0.7430555555555556</v>
      </c>
      <c r="F8" s="87" t="s">
        <v>24</v>
      </c>
      <c r="G8" s="83">
        <v>11.0</v>
      </c>
      <c r="H8" s="87" t="s">
        <v>19</v>
      </c>
      <c r="I8" s="83">
        <v>12.0</v>
      </c>
      <c r="J8" s="84" t="str">
        <f t="shared" si="1"/>
        <v>Seminole</v>
      </c>
    </row>
    <row r="9" ht="15.75" customHeight="1">
      <c r="A9" s="77">
        <v>8.0</v>
      </c>
      <c r="B9" s="78" t="s">
        <v>27</v>
      </c>
      <c r="C9" s="79" t="s">
        <v>18</v>
      </c>
      <c r="D9" s="80">
        <v>1.0</v>
      </c>
      <c r="E9" s="81">
        <v>0.78125</v>
      </c>
      <c r="F9" s="82" t="s">
        <v>28</v>
      </c>
      <c r="G9" s="83">
        <v>6.0</v>
      </c>
      <c r="H9" s="82" t="s">
        <v>29</v>
      </c>
      <c r="I9" s="83">
        <v>17.0</v>
      </c>
      <c r="J9" s="84" t="str">
        <f t="shared" si="1"/>
        <v>TO Blue</v>
      </c>
    </row>
    <row r="10" ht="15.75" customHeight="1">
      <c r="A10" s="85">
        <v>9.0</v>
      </c>
      <c r="B10" s="78" t="s">
        <v>21</v>
      </c>
      <c r="C10" s="80" t="s">
        <v>18</v>
      </c>
      <c r="D10" s="80">
        <v>2.0</v>
      </c>
      <c r="E10" s="86">
        <v>0.78125</v>
      </c>
      <c r="F10" s="87" t="s">
        <v>20</v>
      </c>
      <c r="G10" s="83">
        <v>10.0</v>
      </c>
      <c r="H10" s="87" t="s">
        <v>30</v>
      </c>
      <c r="I10" s="83">
        <v>3.0</v>
      </c>
      <c r="J10" s="84" t="str">
        <f t="shared" si="1"/>
        <v>Patriots</v>
      </c>
    </row>
    <row r="11" ht="15.75" customHeight="1">
      <c r="A11" s="77">
        <v>10.0</v>
      </c>
      <c r="B11" s="78" t="s">
        <v>31</v>
      </c>
      <c r="C11" s="79" t="s">
        <v>18</v>
      </c>
      <c r="D11" s="80">
        <v>3.0</v>
      </c>
      <c r="E11" s="81">
        <v>0.78125</v>
      </c>
      <c r="F11" s="82" t="s">
        <v>24</v>
      </c>
      <c r="G11" s="83">
        <v>13.0</v>
      </c>
      <c r="H11" s="82" t="s">
        <v>25</v>
      </c>
      <c r="I11" s="83">
        <v>20.0</v>
      </c>
      <c r="J11" s="84" t="str">
        <f t="shared" si="1"/>
        <v>Orl. Thunder</v>
      </c>
    </row>
    <row r="12" ht="15.75" customHeight="1">
      <c r="A12" s="85">
        <v>11.0</v>
      </c>
      <c r="B12" s="78" t="s">
        <v>17</v>
      </c>
      <c r="C12" s="80" t="s">
        <v>18</v>
      </c>
      <c r="D12" s="80">
        <v>1.0</v>
      </c>
      <c r="E12" s="86">
        <v>0.8159722222222222</v>
      </c>
      <c r="F12" s="87" t="s">
        <v>19</v>
      </c>
      <c r="G12" s="83">
        <v>18.0</v>
      </c>
      <c r="H12" s="87" t="s">
        <v>30</v>
      </c>
      <c r="I12" s="83">
        <v>5.0</v>
      </c>
      <c r="J12" s="84" t="str">
        <f t="shared" si="1"/>
        <v>Seminole</v>
      </c>
    </row>
    <row r="13" ht="15.75" customHeight="1">
      <c r="A13" s="77">
        <v>12.0</v>
      </c>
      <c r="B13" s="78" t="s">
        <v>21</v>
      </c>
      <c r="C13" s="79" t="s">
        <v>18</v>
      </c>
      <c r="D13" s="80">
        <v>2.0</v>
      </c>
      <c r="E13" s="81">
        <v>0.8159722222222222</v>
      </c>
      <c r="F13" s="82" t="s">
        <v>22</v>
      </c>
      <c r="G13" s="83">
        <v>10.0</v>
      </c>
      <c r="H13" s="82" t="s">
        <v>19</v>
      </c>
      <c r="I13" s="83">
        <v>8.0</v>
      </c>
      <c r="J13" s="84" t="str">
        <f t="shared" si="1"/>
        <v>Team Orlando</v>
      </c>
    </row>
    <row r="14" ht="15.75" customHeight="1">
      <c r="A14" s="88">
        <v>13.0</v>
      </c>
      <c r="B14" s="89" t="s">
        <v>31</v>
      </c>
      <c r="C14" s="80" t="s">
        <v>18</v>
      </c>
      <c r="D14" s="80">
        <v>3.0</v>
      </c>
      <c r="E14" s="86">
        <v>0.8159722222222222</v>
      </c>
      <c r="F14" s="87" t="s">
        <v>22</v>
      </c>
      <c r="G14" s="90">
        <v>20.0</v>
      </c>
      <c r="H14" s="87" t="s">
        <v>20</v>
      </c>
      <c r="I14" s="90">
        <v>9.0</v>
      </c>
      <c r="J14" s="91" t="str">
        <f t="shared" si="1"/>
        <v>Team Orlando</v>
      </c>
    </row>
    <row r="15" ht="15.75" customHeight="1">
      <c r="A15" s="92">
        <v>14.0</v>
      </c>
      <c r="B15" s="93" t="s">
        <v>17</v>
      </c>
      <c r="C15" s="94" t="s">
        <v>32</v>
      </c>
      <c r="D15" s="95">
        <v>1.0</v>
      </c>
      <c r="E15" s="96">
        <v>0.2951388888888889</v>
      </c>
      <c r="F15" s="97" t="s">
        <v>22</v>
      </c>
      <c r="G15" s="98">
        <v>13.0</v>
      </c>
      <c r="H15" s="97" t="s">
        <v>30</v>
      </c>
      <c r="I15" s="98">
        <v>4.0</v>
      </c>
      <c r="J15" s="99" t="str">
        <f t="shared" si="1"/>
        <v>Team Orlando</v>
      </c>
    </row>
    <row r="16" ht="15.75" customHeight="1">
      <c r="A16" s="100">
        <v>15.0</v>
      </c>
      <c r="B16" s="78" t="s">
        <v>21</v>
      </c>
      <c r="C16" s="80" t="s">
        <v>32</v>
      </c>
      <c r="D16" s="80">
        <v>2.0</v>
      </c>
      <c r="E16" s="86">
        <v>0.2951388888888889</v>
      </c>
      <c r="F16" s="87" t="s">
        <v>25</v>
      </c>
      <c r="G16" s="83">
        <v>14.0</v>
      </c>
      <c r="H16" s="87" t="s">
        <v>20</v>
      </c>
      <c r="I16" s="83">
        <v>5.0</v>
      </c>
      <c r="J16" s="101" t="str">
        <f t="shared" si="1"/>
        <v>Orl. Thunder</v>
      </c>
    </row>
    <row r="17" ht="15.75" customHeight="1">
      <c r="A17" s="102">
        <v>16.0</v>
      </c>
      <c r="B17" s="78" t="s">
        <v>31</v>
      </c>
      <c r="C17" s="79" t="s">
        <v>32</v>
      </c>
      <c r="D17" s="80">
        <v>3.0</v>
      </c>
      <c r="E17" s="81">
        <v>0.2951388888888889</v>
      </c>
      <c r="F17" s="82" t="s">
        <v>25</v>
      </c>
      <c r="G17" s="83">
        <v>19.0</v>
      </c>
      <c r="H17" s="82" t="s">
        <v>33</v>
      </c>
      <c r="I17" s="83">
        <v>8.0</v>
      </c>
      <c r="J17" s="101" t="str">
        <f t="shared" si="1"/>
        <v>Orl. Thunder</v>
      </c>
    </row>
    <row r="18" ht="15.75" customHeight="1">
      <c r="A18" s="100">
        <v>17.0</v>
      </c>
      <c r="B18" s="78" t="s">
        <v>17</v>
      </c>
      <c r="C18" s="80" t="s">
        <v>32</v>
      </c>
      <c r="D18" s="80">
        <v>1.0</v>
      </c>
      <c r="E18" s="86">
        <v>0.3333333333333333</v>
      </c>
      <c r="F18" s="87" t="s">
        <v>25</v>
      </c>
      <c r="G18" s="83">
        <v>9.4</v>
      </c>
      <c r="H18" s="87" t="s">
        <v>33</v>
      </c>
      <c r="I18" s="83">
        <v>9.5</v>
      </c>
      <c r="J18" s="101" t="str">
        <f t="shared" si="1"/>
        <v>NextLevel</v>
      </c>
    </row>
    <row r="19" ht="15.75" customHeight="1">
      <c r="A19" s="102">
        <v>18.0</v>
      </c>
      <c r="B19" s="78" t="s">
        <v>21</v>
      </c>
      <c r="C19" s="79" t="s">
        <v>32</v>
      </c>
      <c r="D19" s="80">
        <v>2.0</v>
      </c>
      <c r="E19" s="81">
        <v>0.3333333333333333</v>
      </c>
      <c r="F19" s="82" t="s">
        <v>19</v>
      </c>
      <c r="G19" s="83">
        <v>7.0</v>
      </c>
      <c r="H19" s="82" t="s">
        <v>30</v>
      </c>
      <c r="I19" s="83">
        <v>1.0</v>
      </c>
      <c r="J19" s="101" t="str">
        <f t="shared" si="1"/>
        <v>Seminole</v>
      </c>
    </row>
    <row r="20" ht="15.75" customHeight="1">
      <c r="A20" s="100">
        <v>19.0</v>
      </c>
      <c r="B20" s="78" t="s">
        <v>31</v>
      </c>
      <c r="C20" s="80" t="s">
        <v>32</v>
      </c>
      <c r="D20" s="80">
        <v>3.0</v>
      </c>
      <c r="E20" s="86">
        <v>0.3333333333333333</v>
      </c>
      <c r="F20" s="87" t="s">
        <v>22</v>
      </c>
      <c r="G20" s="83">
        <v>19.0</v>
      </c>
      <c r="H20" s="87" t="s">
        <v>34</v>
      </c>
      <c r="I20" s="83">
        <v>1.0</v>
      </c>
      <c r="J20" s="101" t="str">
        <f t="shared" si="1"/>
        <v>Team Orlando</v>
      </c>
    </row>
    <row r="21" ht="15.75" customHeight="1">
      <c r="A21" s="102">
        <v>20.0</v>
      </c>
      <c r="B21" s="78" t="s">
        <v>23</v>
      </c>
      <c r="C21" s="79" t="s">
        <v>32</v>
      </c>
      <c r="D21" s="80">
        <v>1.0</v>
      </c>
      <c r="E21" s="81">
        <v>0.3715277777777778</v>
      </c>
      <c r="F21" s="82" t="s">
        <v>25</v>
      </c>
      <c r="G21" s="83">
        <v>10.0</v>
      </c>
      <c r="H21" s="82" t="s">
        <v>24</v>
      </c>
      <c r="I21" s="83">
        <v>5.0</v>
      </c>
      <c r="J21" s="101" t="str">
        <f t="shared" si="1"/>
        <v>Orl. Thunder</v>
      </c>
    </row>
    <row r="22" ht="15.75" customHeight="1">
      <c r="A22" s="100">
        <v>21.0</v>
      </c>
      <c r="B22" s="78" t="s">
        <v>26</v>
      </c>
      <c r="C22" s="80" t="s">
        <v>32</v>
      </c>
      <c r="D22" s="80">
        <v>2.0</v>
      </c>
      <c r="E22" s="86">
        <v>0.3715277777777778</v>
      </c>
      <c r="F22" s="87" t="s">
        <v>25</v>
      </c>
      <c r="G22" s="83">
        <v>18.0</v>
      </c>
      <c r="H22" s="87" t="s">
        <v>20</v>
      </c>
      <c r="I22" s="83">
        <v>1.0</v>
      </c>
      <c r="J22" s="101" t="str">
        <f t="shared" si="1"/>
        <v>Orl. Thunder</v>
      </c>
    </row>
    <row r="23" ht="15.75" customHeight="1">
      <c r="A23" s="102">
        <v>22.0</v>
      </c>
      <c r="B23" s="78" t="s">
        <v>31</v>
      </c>
      <c r="C23" s="79" t="s">
        <v>32</v>
      </c>
      <c r="D23" s="80">
        <v>3.0</v>
      </c>
      <c r="E23" s="81">
        <v>0.3715277777777778</v>
      </c>
      <c r="F23" s="82" t="s">
        <v>24</v>
      </c>
      <c r="G23" s="83">
        <v>13.0</v>
      </c>
      <c r="H23" s="82" t="s">
        <v>35</v>
      </c>
      <c r="I23" s="83">
        <v>14.0</v>
      </c>
      <c r="J23" s="101" t="str">
        <f t="shared" si="1"/>
        <v>Gladiators</v>
      </c>
    </row>
    <row r="24" ht="15.75" customHeight="1">
      <c r="A24" s="100">
        <v>23.0</v>
      </c>
      <c r="B24" s="78" t="s">
        <v>17</v>
      </c>
      <c r="C24" s="80" t="s">
        <v>32</v>
      </c>
      <c r="D24" s="80">
        <v>1.0</v>
      </c>
      <c r="E24" s="86">
        <v>0.4097222222222222</v>
      </c>
      <c r="F24" s="87" t="s">
        <v>22</v>
      </c>
      <c r="G24" s="83">
        <v>23.0</v>
      </c>
      <c r="H24" s="87" t="s">
        <v>19</v>
      </c>
      <c r="I24" s="83">
        <v>16.0</v>
      </c>
      <c r="J24" s="101" t="str">
        <f t="shared" si="1"/>
        <v>Team Orlando</v>
      </c>
    </row>
    <row r="25" ht="15.75" customHeight="1">
      <c r="A25" s="102">
        <v>24.0</v>
      </c>
      <c r="B25" s="78" t="s">
        <v>23</v>
      </c>
      <c r="C25" s="79" t="s">
        <v>32</v>
      </c>
      <c r="D25" s="80">
        <v>2.0</v>
      </c>
      <c r="E25" s="81">
        <v>0.4097222222222222</v>
      </c>
      <c r="F25" s="82" t="s">
        <v>35</v>
      </c>
      <c r="G25" s="83">
        <v>14.0</v>
      </c>
      <c r="H25" s="82" t="s">
        <v>33</v>
      </c>
      <c r="I25" s="83">
        <v>18.0</v>
      </c>
      <c r="J25" s="101" t="str">
        <f t="shared" si="1"/>
        <v>NextLevel</v>
      </c>
    </row>
    <row r="26" ht="15.75" customHeight="1">
      <c r="A26" s="100">
        <v>25.0</v>
      </c>
      <c r="B26" s="78" t="s">
        <v>21</v>
      </c>
      <c r="C26" s="80" t="s">
        <v>32</v>
      </c>
      <c r="D26" s="80">
        <v>3.0</v>
      </c>
      <c r="E26" s="86">
        <v>0.4097222222222222</v>
      </c>
      <c r="F26" s="87" t="s">
        <v>36</v>
      </c>
      <c r="G26" s="83">
        <v>19.0</v>
      </c>
      <c r="H26" s="87" t="s">
        <v>25</v>
      </c>
      <c r="I26" s="83">
        <v>10.0</v>
      </c>
      <c r="J26" s="101" t="str">
        <f t="shared" si="1"/>
        <v>Barcelona</v>
      </c>
    </row>
    <row r="27" ht="15.75" customHeight="1">
      <c r="A27" s="102">
        <v>26.0</v>
      </c>
      <c r="B27" s="78" t="s">
        <v>17</v>
      </c>
      <c r="C27" s="79" t="s">
        <v>32</v>
      </c>
      <c r="D27" s="80">
        <v>1.0</v>
      </c>
      <c r="E27" s="81">
        <v>0.4479166666666667</v>
      </c>
      <c r="F27" s="82" t="s">
        <v>36</v>
      </c>
      <c r="G27" s="83">
        <v>14.0</v>
      </c>
      <c r="H27" s="82" t="s">
        <v>33</v>
      </c>
      <c r="I27" s="83">
        <v>11.0</v>
      </c>
      <c r="J27" s="101" t="str">
        <f t="shared" si="1"/>
        <v>Barcelona</v>
      </c>
    </row>
    <row r="28" ht="15.75" customHeight="1">
      <c r="A28" s="100">
        <v>27.0</v>
      </c>
      <c r="B28" s="78" t="s">
        <v>26</v>
      </c>
      <c r="C28" s="80" t="s">
        <v>32</v>
      </c>
      <c r="D28" s="80">
        <v>2.0</v>
      </c>
      <c r="E28" s="86">
        <v>0.4479166666666667</v>
      </c>
      <c r="F28" s="87" t="s">
        <v>19</v>
      </c>
      <c r="G28" s="83">
        <v>18.0</v>
      </c>
      <c r="H28" s="87" t="s">
        <v>33</v>
      </c>
      <c r="I28" s="83">
        <v>16.0</v>
      </c>
      <c r="J28" s="101" t="str">
        <f t="shared" si="1"/>
        <v>Seminole</v>
      </c>
    </row>
    <row r="29" ht="15.75" customHeight="1">
      <c r="A29" s="102">
        <v>28.0</v>
      </c>
      <c r="B29" s="78" t="s">
        <v>21</v>
      </c>
      <c r="C29" s="79" t="s">
        <v>32</v>
      </c>
      <c r="D29" s="80">
        <v>3.0</v>
      </c>
      <c r="E29" s="81">
        <v>0.4479166666666667</v>
      </c>
      <c r="F29" s="82" t="s">
        <v>19</v>
      </c>
      <c r="G29" s="83">
        <v>11.0</v>
      </c>
      <c r="H29" s="82" t="s">
        <v>20</v>
      </c>
      <c r="I29" s="83">
        <v>6.0</v>
      </c>
      <c r="J29" s="101" t="str">
        <f t="shared" si="1"/>
        <v>Seminole</v>
      </c>
    </row>
    <row r="30" ht="15.75" customHeight="1">
      <c r="A30" s="100">
        <v>29.0</v>
      </c>
      <c r="B30" s="78" t="s">
        <v>17</v>
      </c>
      <c r="C30" s="80" t="s">
        <v>32</v>
      </c>
      <c r="D30" s="80">
        <v>1.0</v>
      </c>
      <c r="E30" s="86">
        <v>0.4861111111111111</v>
      </c>
      <c r="F30" s="87" t="s">
        <v>30</v>
      </c>
      <c r="G30" s="83">
        <v>4.0</v>
      </c>
      <c r="H30" s="87" t="s">
        <v>20</v>
      </c>
      <c r="I30" s="83">
        <v>14.0</v>
      </c>
      <c r="J30" s="101" t="str">
        <f t="shared" si="1"/>
        <v>Patriots</v>
      </c>
    </row>
    <row r="31" ht="15.75" customHeight="1">
      <c r="A31" s="102">
        <v>30.0</v>
      </c>
      <c r="B31" s="78" t="s">
        <v>26</v>
      </c>
      <c r="C31" s="79" t="s">
        <v>32</v>
      </c>
      <c r="D31" s="80">
        <v>2.0</v>
      </c>
      <c r="E31" s="81">
        <v>0.4861111111111111</v>
      </c>
      <c r="F31" s="82" t="s">
        <v>22</v>
      </c>
      <c r="G31" s="83">
        <v>19.0</v>
      </c>
      <c r="H31" s="82" t="s">
        <v>35</v>
      </c>
      <c r="I31" s="83">
        <v>8.0</v>
      </c>
      <c r="J31" s="101" t="str">
        <f t="shared" si="1"/>
        <v>Team Orlando</v>
      </c>
    </row>
    <row r="32" ht="15.75" customHeight="1">
      <c r="A32" s="100">
        <v>31.0</v>
      </c>
      <c r="B32" s="78" t="s">
        <v>31</v>
      </c>
      <c r="C32" s="80" t="s">
        <v>32</v>
      </c>
      <c r="D32" s="80">
        <v>3.0</v>
      </c>
      <c r="E32" s="86">
        <v>0.4861111111111111</v>
      </c>
      <c r="F32" s="87" t="s">
        <v>35</v>
      </c>
      <c r="G32" s="83">
        <v>7.0</v>
      </c>
      <c r="H32" s="87" t="s">
        <v>25</v>
      </c>
      <c r="I32" s="83">
        <v>19.0</v>
      </c>
      <c r="J32" s="101" t="str">
        <f t="shared" si="1"/>
        <v>Orl. Thunder</v>
      </c>
    </row>
    <row r="33" ht="15.75" customHeight="1">
      <c r="A33" s="102">
        <v>32.0</v>
      </c>
      <c r="B33" s="78" t="s">
        <v>27</v>
      </c>
      <c r="C33" s="79" t="s">
        <v>32</v>
      </c>
      <c r="D33" s="80">
        <v>1.0</v>
      </c>
      <c r="E33" s="81">
        <v>0.5243055555555556</v>
      </c>
      <c r="F33" s="82" t="s">
        <v>28</v>
      </c>
      <c r="G33" s="83">
        <v>8.0</v>
      </c>
      <c r="H33" s="82" t="s">
        <v>37</v>
      </c>
      <c r="I33" s="83">
        <v>21.0</v>
      </c>
      <c r="J33" s="101" t="str">
        <f t="shared" si="1"/>
        <v>Tampa</v>
      </c>
    </row>
    <row r="34" ht="15.75" customHeight="1">
      <c r="A34" s="100">
        <v>33.0</v>
      </c>
      <c r="B34" s="78" t="s">
        <v>21</v>
      </c>
      <c r="C34" s="80" t="s">
        <v>32</v>
      </c>
      <c r="D34" s="80">
        <v>2.0</v>
      </c>
      <c r="E34" s="86">
        <v>0.5243055555555556</v>
      </c>
      <c r="F34" s="87" t="s">
        <v>36</v>
      </c>
      <c r="G34" s="83">
        <v>20.0</v>
      </c>
      <c r="H34" s="87" t="s">
        <v>30</v>
      </c>
      <c r="I34" s="83">
        <v>3.0</v>
      </c>
      <c r="J34" s="101" t="str">
        <f t="shared" si="1"/>
        <v>Barcelona</v>
      </c>
    </row>
    <row r="35" ht="15.75" customHeight="1">
      <c r="A35" s="102">
        <v>34.0</v>
      </c>
      <c r="B35" s="78" t="s">
        <v>31</v>
      </c>
      <c r="C35" s="79" t="s">
        <v>32</v>
      </c>
      <c r="D35" s="80">
        <v>3.0</v>
      </c>
      <c r="E35" s="81">
        <v>0.5243055555555556</v>
      </c>
      <c r="F35" s="82" t="s">
        <v>24</v>
      </c>
      <c r="G35" s="83">
        <v>22.0</v>
      </c>
      <c r="H35" s="82" t="s">
        <v>33</v>
      </c>
      <c r="I35" s="83">
        <v>8.0</v>
      </c>
      <c r="J35" s="101" t="str">
        <f t="shared" si="1"/>
        <v>SJ Cariba</v>
      </c>
    </row>
    <row r="36" ht="15.75" customHeight="1">
      <c r="A36" s="100">
        <v>35.0</v>
      </c>
      <c r="B36" s="78" t="s">
        <v>27</v>
      </c>
      <c r="C36" s="80" t="s">
        <v>32</v>
      </c>
      <c r="D36" s="80">
        <v>1.0</v>
      </c>
      <c r="E36" s="86">
        <v>0.5625</v>
      </c>
      <c r="F36" s="87" t="s">
        <v>34</v>
      </c>
      <c r="G36" s="83">
        <v>4.0</v>
      </c>
      <c r="H36" s="87" t="s">
        <v>38</v>
      </c>
      <c r="I36" s="83">
        <v>17.0</v>
      </c>
      <c r="J36" s="101" t="str">
        <f t="shared" si="1"/>
        <v>Orl. United</v>
      </c>
    </row>
    <row r="37" ht="15.75" customHeight="1">
      <c r="A37" s="102">
        <v>36.0</v>
      </c>
      <c r="B37" s="78" t="s">
        <v>21</v>
      </c>
      <c r="C37" s="79" t="s">
        <v>32</v>
      </c>
      <c r="D37" s="80">
        <v>2.0</v>
      </c>
      <c r="E37" s="81">
        <v>0.5625</v>
      </c>
      <c r="F37" s="82" t="s">
        <v>25</v>
      </c>
      <c r="G37" s="83">
        <v>14.0</v>
      </c>
      <c r="H37" s="82" t="s">
        <v>22</v>
      </c>
      <c r="I37" s="83">
        <v>7.0</v>
      </c>
      <c r="J37" s="101" t="str">
        <f t="shared" si="1"/>
        <v>Orl. Thunder</v>
      </c>
    </row>
    <row r="38" ht="15.75" customHeight="1">
      <c r="A38" s="100">
        <v>37.0</v>
      </c>
      <c r="B38" s="78" t="s">
        <v>31</v>
      </c>
      <c r="C38" s="80" t="s">
        <v>32</v>
      </c>
      <c r="D38" s="80">
        <v>3.0</v>
      </c>
      <c r="E38" s="86">
        <v>0.5625</v>
      </c>
      <c r="F38" s="87" t="s">
        <v>34</v>
      </c>
      <c r="G38" s="83">
        <v>5.0</v>
      </c>
      <c r="H38" s="87" t="s">
        <v>20</v>
      </c>
      <c r="I38" s="83">
        <v>18.0</v>
      </c>
      <c r="J38" s="101" t="str">
        <f t="shared" si="1"/>
        <v>Patriots</v>
      </c>
    </row>
    <row r="39" ht="15.75" customHeight="1">
      <c r="A39" s="102">
        <v>38.0</v>
      </c>
      <c r="B39" s="78" t="s">
        <v>23</v>
      </c>
      <c r="C39" s="79" t="s">
        <v>32</v>
      </c>
      <c r="D39" s="80">
        <v>1.0</v>
      </c>
      <c r="E39" s="81">
        <v>0.6006944444444444</v>
      </c>
      <c r="F39" s="82" t="s">
        <v>25</v>
      </c>
      <c r="G39" s="83">
        <v>7.0</v>
      </c>
      <c r="H39" s="82" t="s">
        <v>33</v>
      </c>
      <c r="I39" s="83">
        <v>10.0</v>
      </c>
      <c r="J39" s="101" t="str">
        <f t="shared" si="1"/>
        <v>NextLevel</v>
      </c>
    </row>
    <row r="40" ht="15.75" customHeight="1">
      <c r="A40" s="100">
        <v>39.0</v>
      </c>
      <c r="B40" s="78" t="s">
        <v>23</v>
      </c>
      <c r="C40" s="80" t="s">
        <v>32</v>
      </c>
      <c r="D40" s="80">
        <v>2.0</v>
      </c>
      <c r="E40" s="86">
        <v>0.6006944444444444</v>
      </c>
      <c r="F40" s="87" t="s">
        <v>22</v>
      </c>
      <c r="G40" s="83">
        <v>7.0</v>
      </c>
      <c r="H40" s="87" t="s">
        <v>35</v>
      </c>
      <c r="I40" s="83">
        <v>15.0</v>
      </c>
      <c r="J40" s="101" t="str">
        <f t="shared" si="1"/>
        <v>Gladiators</v>
      </c>
    </row>
    <row r="41" ht="15.75" customHeight="1">
      <c r="A41" s="102">
        <v>40.0</v>
      </c>
      <c r="B41" s="78" t="s">
        <v>31</v>
      </c>
      <c r="C41" s="79" t="s">
        <v>32</v>
      </c>
      <c r="D41" s="80">
        <v>3.0</v>
      </c>
      <c r="E41" s="81">
        <v>0.6006944444444444</v>
      </c>
      <c r="F41" s="82" t="s">
        <v>35</v>
      </c>
      <c r="G41" s="83">
        <v>16.0</v>
      </c>
      <c r="H41" s="82" t="s">
        <v>33</v>
      </c>
      <c r="I41" s="83">
        <v>6.0</v>
      </c>
      <c r="J41" s="101" t="str">
        <f t="shared" si="1"/>
        <v>Gladiators</v>
      </c>
    </row>
    <row r="42" ht="15.75" customHeight="1">
      <c r="A42" s="100">
        <v>41.0</v>
      </c>
      <c r="B42" s="78" t="s">
        <v>27</v>
      </c>
      <c r="C42" s="80" t="s">
        <v>32</v>
      </c>
      <c r="D42" s="80">
        <v>1.0</v>
      </c>
      <c r="E42" s="86">
        <v>0.6388888888888888</v>
      </c>
      <c r="F42" s="87" t="s">
        <v>37</v>
      </c>
      <c r="G42" s="83">
        <v>16.0</v>
      </c>
      <c r="H42" s="87" t="s">
        <v>29</v>
      </c>
      <c r="I42" s="83">
        <v>13.0</v>
      </c>
      <c r="J42" s="101" t="str">
        <f t="shared" si="1"/>
        <v>Tampa</v>
      </c>
    </row>
    <row r="43" ht="15.75" customHeight="1">
      <c r="A43" s="102">
        <v>42.0</v>
      </c>
      <c r="B43" s="78" t="s">
        <v>26</v>
      </c>
      <c r="C43" s="79" t="s">
        <v>32</v>
      </c>
      <c r="D43" s="80">
        <v>2.0</v>
      </c>
      <c r="E43" s="81">
        <v>0.6388888888888888</v>
      </c>
      <c r="F43" s="82" t="s">
        <v>25</v>
      </c>
      <c r="G43" s="83">
        <v>20.0</v>
      </c>
      <c r="H43" s="82" t="s">
        <v>35</v>
      </c>
      <c r="I43" s="83">
        <v>7.0</v>
      </c>
      <c r="J43" s="101" t="str">
        <f t="shared" si="1"/>
        <v>Orl. Thunder</v>
      </c>
    </row>
    <row r="44" ht="15.75" customHeight="1">
      <c r="A44" s="100">
        <v>42.5</v>
      </c>
      <c r="B44" s="78" t="s">
        <v>39</v>
      </c>
      <c r="C44" s="80" t="s">
        <v>32</v>
      </c>
      <c r="D44" s="80">
        <v>3.0</v>
      </c>
      <c r="E44" s="86">
        <v>0.6388888888888888</v>
      </c>
      <c r="F44" s="87" t="s">
        <v>39</v>
      </c>
      <c r="G44" s="83" t="s">
        <v>39</v>
      </c>
      <c r="H44" s="87" t="s">
        <v>39</v>
      </c>
      <c r="I44" s="83" t="s">
        <v>40</v>
      </c>
      <c r="J44" s="101" t="str">
        <f t="shared" si="1"/>
        <v>BREAK</v>
      </c>
    </row>
    <row r="45" ht="15.75" customHeight="1">
      <c r="A45" s="102">
        <v>43.0</v>
      </c>
      <c r="B45" s="78" t="s">
        <v>17</v>
      </c>
      <c r="C45" s="79" t="s">
        <v>32</v>
      </c>
      <c r="D45" s="80">
        <v>1.0</v>
      </c>
      <c r="E45" s="81">
        <v>0.6770833333333334</v>
      </c>
      <c r="F45" s="82" t="s">
        <v>25</v>
      </c>
      <c r="G45" s="83">
        <v>9.0</v>
      </c>
      <c r="H45" s="82" t="s">
        <v>36</v>
      </c>
      <c r="I45" s="83">
        <v>17.0</v>
      </c>
      <c r="J45" s="101" t="str">
        <f t="shared" si="1"/>
        <v>Barcelona</v>
      </c>
    </row>
    <row r="46" ht="15.75" customHeight="1">
      <c r="A46" s="100">
        <v>44.0</v>
      </c>
      <c r="B46" s="78" t="s">
        <v>26</v>
      </c>
      <c r="C46" s="80" t="s">
        <v>32</v>
      </c>
      <c r="D46" s="80">
        <v>2.0</v>
      </c>
      <c r="E46" s="86">
        <v>0.6770833333333334</v>
      </c>
      <c r="F46" s="87" t="s">
        <v>24</v>
      </c>
      <c r="G46" s="83">
        <v>8.0</v>
      </c>
      <c r="H46" s="87" t="s">
        <v>33</v>
      </c>
      <c r="I46" s="83">
        <v>7.0</v>
      </c>
      <c r="J46" s="101" t="str">
        <f t="shared" si="1"/>
        <v>SJ Cariba</v>
      </c>
    </row>
    <row r="47" ht="15.75" customHeight="1">
      <c r="A47" s="102">
        <v>45.0</v>
      </c>
      <c r="B47" s="78" t="s">
        <v>31</v>
      </c>
      <c r="C47" s="79" t="s">
        <v>32</v>
      </c>
      <c r="D47" s="80">
        <v>3.0</v>
      </c>
      <c r="E47" s="81">
        <v>0.6770833333333334</v>
      </c>
      <c r="F47" s="82" t="s">
        <v>34</v>
      </c>
      <c r="G47" s="83">
        <v>1.0</v>
      </c>
      <c r="H47" s="82" t="s">
        <v>24</v>
      </c>
      <c r="I47" s="83">
        <v>20.0</v>
      </c>
      <c r="J47" s="101" t="str">
        <f t="shared" si="1"/>
        <v>SJ Cariba</v>
      </c>
    </row>
    <row r="48" ht="15.75" customHeight="1">
      <c r="A48" s="100">
        <v>46.0</v>
      </c>
      <c r="B48" s="78" t="s">
        <v>23</v>
      </c>
      <c r="C48" s="80" t="s">
        <v>32</v>
      </c>
      <c r="D48" s="80">
        <v>1.0</v>
      </c>
      <c r="E48" s="86">
        <v>0.7152777777777778</v>
      </c>
      <c r="F48" s="87" t="s">
        <v>24</v>
      </c>
      <c r="G48" s="83">
        <v>7.0</v>
      </c>
      <c r="H48" s="87" t="s">
        <v>35</v>
      </c>
      <c r="I48" s="83">
        <v>8.0</v>
      </c>
      <c r="J48" s="101" t="str">
        <f t="shared" si="1"/>
        <v>Gladiators</v>
      </c>
    </row>
    <row r="49" ht="15.75" customHeight="1">
      <c r="A49" s="102">
        <v>47.0</v>
      </c>
      <c r="B49" s="78" t="s">
        <v>26</v>
      </c>
      <c r="C49" s="79" t="s">
        <v>32</v>
      </c>
      <c r="D49" s="80">
        <v>2.0</v>
      </c>
      <c r="E49" s="81">
        <v>0.7152777777777778</v>
      </c>
      <c r="F49" s="82" t="s">
        <v>22</v>
      </c>
      <c r="G49" s="83">
        <v>12.0</v>
      </c>
      <c r="H49" s="82" t="s">
        <v>25</v>
      </c>
      <c r="I49" s="83">
        <v>10.0</v>
      </c>
      <c r="J49" s="101" t="str">
        <f t="shared" si="1"/>
        <v>Team Orlando</v>
      </c>
    </row>
    <row r="50" ht="15.75" customHeight="1">
      <c r="A50" s="100">
        <v>48.0</v>
      </c>
      <c r="B50" s="78" t="s">
        <v>31</v>
      </c>
      <c r="C50" s="80" t="s">
        <v>32</v>
      </c>
      <c r="D50" s="80">
        <v>3.0</v>
      </c>
      <c r="E50" s="86">
        <v>0.7152777777777778</v>
      </c>
      <c r="F50" s="87" t="s">
        <v>22</v>
      </c>
      <c r="G50" s="83">
        <v>19.0</v>
      </c>
      <c r="H50" s="87" t="s">
        <v>35</v>
      </c>
      <c r="I50" s="83">
        <v>9.0</v>
      </c>
      <c r="J50" s="101" t="str">
        <f t="shared" si="1"/>
        <v>Team Orlando</v>
      </c>
    </row>
    <row r="51" ht="15.75" customHeight="1">
      <c r="A51" s="102">
        <v>49.0</v>
      </c>
      <c r="B51" s="78" t="s">
        <v>27</v>
      </c>
      <c r="C51" s="82" t="s">
        <v>32</v>
      </c>
      <c r="D51" s="80">
        <v>1.0</v>
      </c>
      <c r="E51" s="81">
        <v>0.7534722222222222</v>
      </c>
      <c r="F51" s="82" t="s">
        <v>38</v>
      </c>
      <c r="G51" s="83">
        <v>16.0</v>
      </c>
      <c r="H51" s="82" t="s">
        <v>29</v>
      </c>
      <c r="I51" s="83">
        <v>17.0</v>
      </c>
      <c r="J51" s="101" t="str">
        <f t="shared" si="1"/>
        <v>TO Blue</v>
      </c>
    </row>
    <row r="52" ht="15.75" customHeight="1">
      <c r="A52" s="100">
        <v>50.0</v>
      </c>
      <c r="B52" s="78" t="s">
        <v>26</v>
      </c>
      <c r="C52" s="103" t="s">
        <v>32</v>
      </c>
      <c r="D52" s="80">
        <v>2.0</v>
      </c>
      <c r="E52" s="86">
        <v>0.7534722222222222</v>
      </c>
      <c r="F52" s="87" t="s">
        <v>35</v>
      </c>
      <c r="G52" s="83">
        <v>16.0</v>
      </c>
      <c r="H52" s="87" t="s">
        <v>20</v>
      </c>
      <c r="I52" s="83">
        <v>5.0</v>
      </c>
      <c r="J52" s="101" t="str">
        <f t="shared" si="1"/>
        <v>Gladiators</v>
      </c>
    </row>
    <row r="53" ht="15.75" customHeight="1">
      <c r="A53" s="102">
        <v>51.0</v>
      </c>
      <c r="B53" s="78" t="s">
        <v>31</v>
      </c>
      <c r="C53" s="82" t="s">
        <v>32</v>
      </c>
      <c r="D53" s="80">
        <v>3.0</v>
      </c>
      <c r="E53" s="81">
        <v>0.7534722222222222</v>
      </c>
      <c r="F53" s="82" t="s">
        <v>25</v>
      </c>
      <c r="G53" s="83">
        <v>18.0</v>
      </c>
      <c r="H53" s="82" t="s">
        <v>20</v>
      </c>
      <c r="I53" s="83">
        <v>12.0</v>
      </c>
      <c r="J53" s="101" t="str">
        <f t="shared" si="1"/>
        <v>Orl. Thunder</v>
      </c>
    </row>
    <row r="54" ht="15.75" customHeight="1">
      <c r="A54" s="100">
        <v>52.0</v>
      </c>
      <c r="B54" s="78" t="s">
        <v>27</v>
      </c>
      <c r="C54" s="103" t="s">
        <v>32</v>
      </c>
      <c r="D54" s="80">
        <v>1.0</v>
      </c>
      <c r="E54" s="86">
        <v>0.7916666666666666</v>
      </c>
      <c r="F54" s="87" t="s">
        <v>37</v>
      </c>
      <c r="G54" s="83">
        <v>19.0</v>
      </c>
      <c r="H54" s="87" t="s">
        <v>34</v>
      </c>
      <c r="I54" s="83">
        <v>8.0</v>
      </c>
      <c r="J54" s="101" t="str">
        <f t="shared" si="1"/>
        <v>Tampa</v>
      </c>
    </row>
    <row r="55" ht="15.75" customHeight="1">
      <c r="A55" s="102">
        <v>53.0</v>
      </c>
      <c r="B55" s="78" t="s">
        <v>23</v>
      </c>
      <c r="C55" s="82" t="s">
        <v>32</v>
      </c>
      <c r="D55" s="80">
        <v>2.0</v>
      </c>
      <c r="E55" s="81">
        <v>0.7916666666666666</v>
      </c>
      <c r="F55" s="82" t="s">
        <v>22</v>
      </c>
      <c r="G55" s="83">
        <v>4.0</v>
      </c>
      <c r="H55" s="82" t="s">
        <v>25</v>
      </c>
      <c r="I55" s="83">
        <v>11.0</v>
      </c>
      <c r="J55" s="101" t="str">
        <f t="shared" si="1"/>
        <v>Orl. Thunder</v>
      </c>
    </row>
    <row r="56" ht="15.75" customHeight="1">
      <c r="A56" s="104">
        <v>54.0</v>
      </c>
      <c r="B56" s="89" t="s">
        <v>31</v>
      </c>
      <c r="C56" s="105" t="s">
        <v>32</v>
      </c>
      <c r="D56" s="80">
        <v>3.0</v>
      </c>
      <c r="E56" s="86">
        <v>0.7916666666666666</v>
      </c>
      <c r="F56" s="87" t="s">
        <v>34</v>
      </c>
      <c r="G56" s="90">
        <v>3.0</v>
      </c>
      <c r="H56" s="87" t="s">
        <v>33</v>
      </c>
      <c r="I56" s="90">
        <v>14.0</v>
      </c>
      <c r="J56" s="106" t="str">
        <f t="shared" si="1"/>
        <v>NextLevel</v>
      </c>
    </row>
    <row r="57" ht="15.75" customHeight="1">
      <c r="A57" s="107">
        <v>55.0</v>
      </c>
      <c r="B57" s="108" t="s">
        <v>17</v>
      </c>
      <c r="C57" s="109" t="s">
        <v>41</v>
      </c>
      <c r="D57" s="110">
        <v>1.0</v>
      </c>
      <c r="E57" s="111">
        <v>0.2951388888888889</v>
      </c>
      <c r="F57" s="109" t="s">
        <v>20</v>
      </c>
      <c r="G57" s="112">
        <v>15.0</v>
      </c>
      <c r="H57" s="109" t="s">
        <v>30</v>
      </c>
      <c r="I57" s="112">
        <v>5.0</v>
      </c>
      <c r="J57" s="113" t="str">
        <f t="shared" si="1"/>
        <v>Patriots</v>
      </c>
    </row>
    <row r="58" ht="15.75" customHeight="1">
      <c r="A58" s="114">
        <v>56.0</v>
      </c>
      <c r="B58" s="78" t="s">
        <v>23</v>
      </c>
      <c r="C58" s="103" t="s">
        <v>41</v>
      </c>
      <c r="D58" s="80">
        <v>2.0</v>
      </c>
      <c r="E58" s="86">
        <v>0.2951388888888889</v>
      </c>
      <c r="F58" s="87" t="s">
        <v>33</v>
      </c>
      <c r="G58" s="83">
        <v>14.0</v>
      </c>
      <c r="H58" s="87" t="s">
        <v>24</v>
      </c>
      <c r="I58" s="83">
        <v>5.0</v>
      </c>
      <c r="J58" s="115" t="str">
        <f t="shared" si="1"/>
        <v>NextLevel</v>
      </c>
    </row>
    <row r="59" ht="15.75" customHeight="1">
      <c r="A59" s="116">
        <v>57.0</v>
      </c>
      <c r="B59" s="78" t="s">
        <v>26</v>
      </c>
      <c r="C59" s="82" t="s">
        <v>41</v>
      </c>
      <c r="D59" s="80">
        <v>3.0</v>
      </c>
      <c r="E59" s="81">
        <v>0.2951388888888889</v>
      </c>
      <c r="F59" s="82" t="s">
        <v>35</v>
      </c>
      <c r="G59" s="83">
        <v>8.0</v>
      </c>
      <c r="H59" s="82" t="s">
        <v>33</v>
      </c>
      <c r="I59" s="83">
        <v>22.0</v>
      </c>
      <c r="J59" s="115" t="str">
        <f t="shared" si="1"/>
        <v>NextLevel</v>
      </c>
    </row>
    <row r="60">
      <c r="A60" s="114">
        <v>58.0</v>
      </c>
      <c r="B60" s="78" t="s">
        <v>17</v>
      </c>
      <c r="C60" s="103" t="s">
        <v>41</v>
      </c>
      <c r="D60" s="80">
        <v>1.0</v>
      </c>
      <c r="E60" s="86">
        <v>0.3333333333333333</v>
      </c>
      <c r="F60" s="87" t="s">
        <v>22</v>
      </c>
      <c r="G60" s="83">
        <v>12.0</v>
      </c>
      <c r="H60" s="87" t="s">
        <v>33</v>
      </c>
      <c r="I60" s="83">
        <v>8.0</v>
      </c>
      <c r="J60" s="115" t="str">
        <f t="shared" si="1"/>
        <v>Team Orlando</v>
      </c>
    </row>
    <row r="61" ht="15.75" customHeight="1">
      <c r="A61" s="116">
        <v>59.0</v>
      </c>
      <c r="B61" s="78" t="s">
        <v>21</v>
      </c>
      <c r="C61" s="82" t="s">
        <v>41</v>
      </c>
      <c r="D61" s="80">
        <v>2.0</v>
      </c>
      <c r="E61" s="81">
        <v>0.3333333333333333</v>
      </c>
      <c r="F61" s="82" t="s">
        <v>30</v>
      </c>
      <c r="G61" s="83">
        <v>4.0</v>
      </c>
      <c r="H61" s="82" t="s">
        <v>22</v>
      </c>
      <c r="I61" s="83">
        <v>17.0</v>
      </c>
      <c r="J61" s="115" t="str">
        <f t="shared" si="1"/>
        <v>Team Orlando</v>
      </c>
    </row>
    <row r="62" ht="15.75" customHeight="1">
      <c r="A62" s="114">
        <v>60.0</v>
      </c>
      <c r="B62" s="78" t="s">
        <v>26</v>
      </c>
      <c r="C62" s="103" t="s">
        <v>41</v>
      </c>
      <c r="D62" s="80">
        <v>3.0</v>
      </c>
      <c r="E62" s="86">
        <v>0.3333333333333333</v>
      </c>
      <c r="F62" s="87" t="s">
        <v>24</v>
      </c>
      <c r="G62" s="83">
        <v>13.0</v>
      </c>
      <c r="H62" s="87" t="s">
        <v>22</v>
      </c>
      <c r="I62" s="83">
        <v>4.0</v>
      </c>
      <c r="J62" s="115" t="str">
        <f t="shared" si="1"/>
        <v>SJ Cariba</v>
      </c>
    </row>
    <row r="63" ht="15.75" customHeight="1">
      <c r="A63" s="116">
        <v>61.0</v>
      </c>
      <c r="B63" s="78" t="s">
        <v>17</v>
      </c>
      <c r="C63" s="82" t="s">
        <v>41</v>
      </c>
      <c r="D63" s="80">
        <v>1.0</v>
      </c>
      <c r="E63" s="81">
        <v>0.3715277777777778</v>
      </c>
      <c r="F63" s="82" t="s">
        <v>36</v>
      </c>
      <c r="G63" s="83">
        <v>18.0</v>
      </c>
      <c r="H63" s="82" t="s">
        <v>19</v>
      </c>
      <c r="I63" s="83">
        <v>12.0</v>
      </c>
      <c r="J63" s="115" t="str">
        <f t="shared" si="1"/>
        <v>Barcelona</v>
      </c>
    </row>
    <row r="64" ht="15.75" customHeight="1">
      <c r="A64" s="114">
        <v>62.0</v>
      </c>
      <c r="B64" s="78" t="s">
        <v>17</v>
      </c>
      <c r="C64" s="103" t="s">
        <v>41</v>
      </c>
      <c r="D64" s="80">
        <v>2.0</v>
      </c>
      <c r="E64" s="86">
        <v>0.3715277777777778</v>
      </c>
      <c r="F64" s="87" t="s">
        <v>25</v>
      </c>
      <c r="G64" s="83">
        <v>18.0</v>
      </c>
      <c r="H64" s="87" t="s">
        <v>30</v>
      </c>
      <c r="I64" s="83">
        <v>3.0</v>
      </c>
      <c r="J64" s="115" t="str">
        <f t="shared" si="1"/>
        <v>Orl. Thunder</v>
      </c>
    </row>
    <row r="65" ht="15.75" customHeight="1">
      <c r="A65" s="116">
        <v>63.0</v>
      </c>
      <c r="B65" s="78" t="s">
        <v>26</v>
      </c>
      <c r="C65" s="82" t="s">
        <v>41</v>
      </c>
      <c r="D65" s="80">
        <v>3.0</v>
      </c>
      <c r="E65" s="81">
        <v>0.3715277777777778</v>
      </c>
      <c r="F65" s="82" t="s">
        <v>19</v>
      </c>
      <c r="G65" s="83">
        <v>20.0</v>
      </c>
      <c r="H65" s="82" t="s">
        <v>25</v>
      </c>
      <c r="I65" s="83">
        <v>8.0</v>
      </c>
      <c r="J65" s="115" t="str">
        <f t="shared" si="1"/>
        <v>Seminole</v>
      </c>
    </row>
    <row r="66" ht="15.75" customHeight="1">
      <c r="A66" s="116">
        <v>64.0</v>
      </c>
      <c r="B66" s="78" t="s">
        <v>27</v>
      </c>
      <c r="C66" s="103" t="s">
        <v>41</v>
      </c>
      <c r="D66" s="80">
        <v>1.0</v>
      </c>
      <c r="E66" s="86">
        <v>0.4097222222222222</v>
      </c>
      <c r="F66" s="87" t="s">
        <v>37</v>
      </c>
      <c r="G66" s="83">
        <v>15.0</v>
      </c>
      <c r="H66" s="87" t="s">
        <v>38</v>
      </c>
      <c r="I66" s="83">
        <v>8.0</v>
      </c>
      <c r="J66" s="115" t="str">
        <f t="shared" si="1"/>
        <v>Tampa</v>
      </c>
    </row>
    <row r="67" ht="15.75" customHeight="1">
      <c r="A67" s="116">
        <v>65.0</v>
      </c>
      <c r="B67" s="78" t="s">
        <v>21</v>
      </c>
      <c r="C67" s="82" t="s">
        <v>41</v>
      </c>
      <c r="D67" s="80">
        <v>2.0</v>
      </c>
      <c r="E67" s="81">
        <v>0.4097222222222222</v>
      </c>
      <c r="F67" s="82" t="s">
        <v>20</v>
      </c>
      <c r="G67" s="83">
        <v>5.0</v>
      </c>
      <c r="H67" s="82" t="s">
        <v>36</v>
      </c>
      <c r="I67" s="83">
        <v>14.0</v>
      </c>
      <c r="J67" s="115" t="str">
        <f t="shared" si="1"/>
        <v>Barcelona</v>
      </c>
    </row>
    <row r="68" ht="15.75" customHeight="1">
      <c r="A68" s="116">
        <v>66.0</v>
      </c>
      <c r="B68" s="78" t="s">
        <v>26</v>
      </c>
      <c r="C68" s="103" t="s">
        <v>41</v>
      </c>
      <c r="D68" s="80">
        <v>3.0</v>
      </c>
      <c r="E68" s="86">
        <v>0.4097222222222222</v>
      </c>
      <c r="F68" s="87" t="s">
        <v>35</v>
      </c>
      <c r="G68" s="83">
        <v>23.0</v>
      </c>
      <c r="H68" s="87" t="s">
        <v>20</v>
      </c>
      <c r="I68" s="83">
        <v>4.0</v>
      </c>
      <c r="J68" s="115" t="str">
        <f t="shared" si="1"/>
        <v>Gladiators</v>
      </c>
    </row>
    <row r="69" ht="15.75" customHeight="1">
      <c r="A69" s="116">
        <v>67.0</v>
      </c>
      <c r="B69" s="78" t="s">
        <v>27</v>
      </c>
      <c r="C69" s="82" t="s">
        <v>41</v>
      </c>
      <c r="D69" s="80">
        <v>1.0</v>
      </c>
      <c r="E69" s="81">
        <v>0.4479166666666667</v>
      </c>
      <c r="F69" s="82" t="s">
        <v>29</v>
      </c>
      <c r="G69" s="83">
        <v>17.0</v>
      </c>
      <c r="H69" s="82" t="s">
        <v>34</v>
      </c>
      <c r="I69" s="83">
        <v>4.0</v>
      </c>
      <c r="J69" s="115" t="str">
        <f t="shared" si="1"/>
        <v>TO Blue</v>
      </c>
    </row>
    <row r="70" ht="15.75" customHeight="1">
      <c r="A70" s="116">
        <v>68.0</v>
      </c>
      <c r="B70" s="78" t="s">
        <v>17</v>
      </c>
      <c r="C70" s="103" t="s">
        <v>41</v>
      </c>
      <c r="D70" s="80">
        <v>2.0</v>
      </c>
      <c r="E70" s="86">
        <v>0.4479166666666667</v>
      </c>
      <c r="F70" s="87" t="s">
        <v>20</v>
      </c>
      <c r="G70" s="83">
        <v>6.0</v>
      </c>
      <c r="H70" s="87" t="s">
        <v>25</v>
      </c>
      <c r="I70" s="83">
        <v>13.0</v>
      </c>
      <c r="J70" s="115" t="str">
        <f t="shared" si="1"/>
        <v>Orl. Thunder</v>
      </c>
    </row>
    <row r="71" ht="15.75" customHeight="1">
      <c r="A71" s="116">
        <v>69.0</v>
      </c>
      <c r="B71" s="78" t="s">
        <v>31</v>
      </c>
      <c r="C71" s="82" t="s">
        <v>41</v>
      </c>
      <c r="D71" s="80">
        <v>3.0</v>
      </c>
      <c r="E71" s="81">
        <v>0.4479166666666667</v>
      </c>
      <c r="F71" s="82" t="s">
        <v>24</v>
      </c>
      <c r="G71" s="83">
        <v>17.0</v>
      </c>
      <c r="H71" s="82" t="s">
        <v>33</v>
      </c>
      <c r="I71" s="83">
        <v>7.0</v>
      </c>
      <c r="J71" s="115" t="str">
        <f t="shared" si="1"/>
        <v>SJ Cariba</v>
      </c>
    </row>
    <row r="72" ht="15.75" customHeight="1">
      <c r="A72" s="116">
        <v>70.0</v>
      </c>
      <c r="B72" s="78" t="s">
        <v>23</v>
      </c>
      <c r="C72" s="103" t="s">
        <v>41</v>
      </c>
      <c r="D72" s="80">
        <v>1.0</v>
      </c>
      <c r="E72" s="86">
        <v>0.4861111111111111</v>
      </c>
      <c r="F72" s="87" t="s">
        <v>25</v>
      </c>
      <c r="G72" s="83">
        <v>6.0</v>
      </c>
      <c r="H72" s="87" t="s">
        <v>35</v>
      </c>
      <c r="I72" s="83">
        <v>7.0</v>
      </c>
      <c r="J72" s="115" t="str">
        <f t="shared" si="1"/>
        <v>Gladiators</v>
      </c>
    </row>
    <row r="73" ht="15.75" customHeight="1">
      <c r="A73" s="116">
        <v>71.0</v>
      </c>
      <c r="B73" s="78" t="s">
        <v>21</v>
      </c>
      <c r="C73" s="82" t="s">
        <v>41</v>
      </c>
      <c r="D73" s="80">
        <v>2.0</v>
      </c>
      <c r="E73" s="81">
        <v>0.4861111111111111</v>
      </c>
      <c r="F73" s="82" t="s">
        <v>19</v>
      </c>
      <c r="G73" s="83">
        <v>7.0</v>
      </c>
      <c r="H73" s="82" t="s">
        <v>36</v>
      </c>
      <c r="I73" s="83">
        <v>12.0</v>
      </c>
      <c r="J73" s="115" t="str">
        <f t="shared" si="1"/>
        <v>Barcelona</v>
      </c>
    </row>
    <row r="74" ht="15.75" customHeight="1">
      <c r="A74" s="116">
        <v>72.0</v>
      </c>
      <c r="B74" s="78" t="s">
        <v>31</v>
      </c>
      <c r="C74" s="103" t="s">
        <v>41</v>
      </c>
      <c r="D74" s="80">
        <v>3.0</v>
      </c>
      <c r="E74" s="86">
        <v>0.4861111111111111</v>
      </c>
      <c r="F74" s="87" t="s">
        <v>35</v>
      </c>
      <c r="G74" s="83">
        <v>13.0</v>
      </c>
      <c r="H74" s="87" t="s">
        <v>20</v>
      </c>
      <c r="I74" s="83">
        <v>12.0</v>
      </c>
      <c r="J74" s="115" t="str">
        <f t="shared" si="1"/>
        <v>Gladiators</v>
      </c>
    </row>
    <row r="75" ht="15.75" customHeight="1">
      <c r="A75" s="116">
        <v>73.0</v>
      </c>
      <c r="B75" s="78" t="s">
        <v>17</v>
      </c>
      <c r="C75" s="82" t="s">
        <v>41</v>
      </c>
      <c r="D75" s="80">
        <v>1.0</v>
      </c>
      <c r="E75" s="81">
        <v>0.5243055555555556</v>
      </c>
      <c r="F75" s="82" t="s">
        <v>22</v>
      </c>
      <c r="G75" s="83">
        <v>15.0</v>
      </c>
      <c r="H75" s="82" t="s">
        <v>36</v>
      </c>
      <c r="I75" s="83">
        <v>16.0</v>
      </c>
      <c r="J75" s="115" t="str">
        <f t="shared" si="1"/>
        <v>Barcelona</v>
      </c>
    </row>
    <row r="76" ht="15.75" customHeight="1">
      <c r="A76" s="116">
        <v>74.0</v>
      </c>
      <c r="B76" s="78" t="s">
        <v>42</v>
      </c>
      <c r="C76" s="103" t="s">
        <v>41</v>
      </c>
      <c r="D76" s="80">
        <v>2.0</v>
      </c>
      <c r="E76" s="86">
        <v>0.5243055555555556</v>
      </c>
      <c r="F76" s="87" t="s">
        <v>22</v>
      </c>
      <c r="G76" s="83">
        <v>10.0</v>
      </c>
      <c r="H76" s="87" t="s">
        <v>25</v>
      </c>
      <c r="I76" s="83">
        <v>8.0</v>
      </c>
      <c r="J76" s="115" t="str">
        <f t="shared" si="1"/>
        <v>Team Orlando</v>
      </c>
    </row>
    <row r="77" ht="15.75" customHeight="1">
      <c r="A77" s="116">
        <v>75.0</v>
      </c>
      <c r="B77" s="78" t="s">
        <v>31</v>
      </c>
      <c r="C77" s="82" t="s">
        <v>41</v>
      </c>
      <c r="D77" s="80">
        <v>3.0</v>
      </c>
      <c r="E77" s="81">
        <v>0.5243055555555556</v>
      </c>
      <c r="F77" s="82" t="s">
        <v>22</v>
      </c>
      <c r="G77" s="83">
        <v>9.0</v>
      </c>
      <c r="H77" s="82" t="s">
        <v>25</v>
      </c>
      <c r="I77" s="83">
        <v>13.0</v>
      </c>
      <c r="J77" s="115" t="str">
        <f t="shared" si="1"/>
        <v>Orl. Thunder</v>
      </c>
    </row>
    <row r="78" ht="15.75" customHeight="1">
      <c r="A78" s="116">
        <v>76.0</v>
      </c>
      <c r="B78" s="78" t="s">
        <v>27</v>
      </c>
      <c r="C78" s="103" t="s">
        <v>41</v>
      </c>
      <c r="D78" s="80">
        <v>1.0</v>
      </c>
      <c r="E78" s="86">
        <v>0.5625</v>
      </c>
      <c r="F78" s="87" t="s">
        <v>28</v>
      </c>
      <c r="G78" s="83">
        <v>8.0</v>
      </c>
      <c r="H78" s="87" t="s">
        <v>34</v>
      </c>
      <c r="I78" s="83">
        <v>6.0</v>
      </c>
      <c r="J78" s="115" t="str">
        <f t="shared" si="1"/>
        <v>TO Black</v>
      </c>
    </row>
    <row r="79" ht="15.75" customHeight="1">
      <c r="A79" s="116">
        <v>77.0</v>
      </c>
      <c r="B79" s="78" t="s">
        <v>17</v>
      </c>
      <c r="C79" s="82" t="s">
        <v>41</v>
      </c>
      <c r="D79" s="80">
        <v>2.0</v>
      </c>
      <c r="E79" s="81">
        <v>0.5625</v>
      </c>
      <c r="F79" s="82" t="s">
        <v>33</v>
      </c>
      <c r="G79" s="83">
        <v>16.0</v>
      </c>
      <c r="H79" s="83" t="s">
        <v>19</v>
      </c>
      <c r="I79" s="83">
        <v>13.0</v>
      </c>
      <c r="J79" s="115" t="str">
        <f t="shared" si="1"/>
        <v>NextLevel</v>
      </c>
    </row>
    <row r="80" ht="15.75" customHeight="1">
      <c r="A80" s="116">
        <v>78.0</v>
      </c>
      <c r="B80" s="78" t="s">
        <v>26</v>
      </c>
      <c r="C80" s="103" t="s">
        <v>41</v>
      </c>
      <c r="D80" s="80">
        <v>3.0</v>
      </c>
      <c r="E80" s="86">
        <v>0.5625</v>
      </c>
      <c r="F80" s="87" t="s">
        <v>22</v>
      </c>
      <c r="G80" s="83">
        <v>15.0</v>
      </c>
      <c r="H80" s="83" t="s">
        <v>25</v>
      </c>
      <c r="I80" s="83">
        <v>5.0</v>
      </c>
      <c r="J80" s="115" t="str">
        <f t="shared" si="1"/>
        <v>Team Orlando</v>
      </c>
    </row>
    <row r="81" ht="15.75" customHeight="1">
      <c r="A81" s="116">
        <v>79.0</v>
      </c>
      <c r="B81" s="78" t="s">
        <v>23</v>
      </c>
      <c r="C81" s="82" t="s">
        <v>41</v>
      </c>
      <c r="D81" s="80">
        <v>1.0</v>
      </c>
      <c r="E81" s="81">
        <v>0.6006944444444444</v>
      </c>
      <c r="F81" s="82" t="s">
        <v>22</v>
      </c>
      <c r="G81" s="83">
        <v>5.0</v>
      </c>
      <c r="H81" s="82" t="s">
        <v>33</v>
      </c>
      <c r="I81" s="83">
        <v>14.0</v>
      </c>
      <c r="J81" s="115" t="str">
        <f t="shared" si="1"/>
        <v>NextLevel</v>
      </c>
    </row>
    <row r="82" ht="15.75" customHeight="1">
      <c r="A82" s="116">
        <v>80.0</v>
      </c>
      <c r="B82" s="78" t="s">
        <v>21</v>
      </c>
      <c r="C82" s="103" t="s">
        <v>41</v>
      </c>
      <c r="D82" s="80">
        <v>2.0</v>
      </c>
      <c r="E82" s="86">
        <v>0.6006944444444444</v>
      </c>
      <c r="F82" s="87" t="s">
        <v>36</v>
      </c>
      <c r="G82" s="83">
        <v>17.0</v>
      </c>
      <c r="H82" s="87" t="s">
        <v>22</v>
      </c>
      <c r="I82" s="83">
        <v>3.0</v>
      </c>
      <c r="J82" s="115" t="str">
        <f t="shared" si="1"/>
        <v>Barcelona</v>
      </c>
    </row>
    <row r="83" ht="15.75" customHeight="1">
      <c r="A83" s="116">
        <v>81.0</v>
      </c>
      <c r="B83" s="78" t="s">
        <v>26</v>
      </c>
      <c r="C83" s="82" t="s">
        <v>41</v>
      </c>
      <c r="D83" s="80">
        <v>3.0</v>
      </c>
      <c r="E83" s="81">
        <v>0.6006944444444444</v>
      </c>
      <c r="F83" s="82" t="s">
        <v>24</v>
      </c>
      <c r="G83" s="83">
        <v>8.4</v>
      </c>
      <c r="H83" s="82" t="s">
        <v>19</v>
      </c>
      <c r="I83" s="83">
        <v>8.1</v>
      </c>
      <c r="J83" s="115" t="str">
        <f t="shared" si="1"/>
        <v>SJ Cariba</v>
      </c>
    </row>
    <row r="84" ht="15.75" customHeight="1">
      <c r="A84" s="116">
        <v>82.0</v>
      </c>
      <c r="B84" s="78" t="s">
        <v>27</v>
      </c>
      <c r="C84" s="103" t="s">
        <v>41</v>
      </c>
      <c r="D84" s="80">
        <v>1.0</v>
      </c>
      <c r="E84" s="86">
        <v>0.6388888888888888</v>
      </c>
      <c r="F84" s="87" t="s">
        <v>28</v>
      </c>
      <c r="G84" s="83">
        <v>4.0</v>
      </c>
      <c r="H84" s="87" t="s">
        <v>38</v>
      </c>
      <c r="I84" s="83">
        <v>11.0</v>
      </c>
      <c r="J84" s="115" t="str">
        <f t="shared" si="1"/>
        <v>Orl. United</v>
      </c>
    </row>
    <row r="85" ht="15.75" customHeight="1">
      <c r="A85" s="116">
        <v>83.0</v>
      </c>
      <c r="B85" s="78" t="s">
        <v>21</v>
      </c>
      <c r="C85" s="82" t="s">
        <v>41</v>
      </c>
      <c r="D85" s="80">
        <v>2.0</v>
      </c>
      <c r="E85" s="81">
        <v>0.6388888888888888</v>
      </c>
      <c r="F85" s="82" t="s">
        <v>25</v>
      </c>
      <c r="G85" s="83">
        <v>1.0</v>
      </c>
      <c r="H85" s="82" t="s">
        <v>30</v>
      </c>
      <c r="I85" s="83">
        <v>0.0</v>
      </c>
      <c r="J85" s="115" t="str">
        <f t="shared" si="1"/>
        <v>Orl. Thunder</v>
      </c>
    </row>
    <row r="86" ht="15.75" customHeight="1">
      <c r="A86" s="117">
        <v>84.0</v>
      </c>
      <c r="B86" s="118" t="s">
        <v>26</v>
      </c>
      <c r="C86" s="119" t="s">
        <v>41</v>
      </c>
      <c r="D86" s="120">
        <v>3.0</v>
      </c>
      <c r="E86" s="121">
        <v>0.6388888888888888</v>
      </c>
      <c r="F86" s="122" t="s">
        <v>33</v>
      </c>
      <c r="G86" s="123">
        <v>19.0</v>
      </c>
      <c r="H86" s="122" t="s">
        <v>20</v>
      </c>
      <c r="I86" s="123">
        <v>2.0</v>
      </c>
      <c r="J86" s="124" t="str">
        <f t="shared" si="1"/>
        <v>NextLevel</v>
      </c>
    </row>
  </sheetData>
  <conditionalFormatting sqref="J2:J86">
    <cfRule type="notContainsText" dxfId="11" priority="1" stopIfTrue="1" operator="notContains" text="no_score">
      <formula>ISERROR(SEARCH(("no_score"),(J2)))</formula>
    </cfRule>
  </conditionalFormatting>
  <conditionalFormatting sqref="B1:B86">
    <cfRule type="cellIs" dxfId="1" priority="2" stopIfTrue="1" operator="equal">
      <formula>"12u CoEd"</formula>
    </cfRule>
  </conditionalFormatting>
  <conditionalFormatting sqref="B1:B86">
    <cfRule type="cellIs" dxfId="2" priority="3" stopIfTrue="1" operator="equal">
      <formula>"13u CoEd"</formula>
    </cfRule>
  </conditionalFormatting>
  <conditionalFormatting sqref="B1:B86">
    <cfRule type="cellIs" dxfId="3" priority="4" stopIfTrue="1" operator="equal">
      <formula>"14u CoEd"</formula>
    </cfRule>
  </conditionalFormatting>
  <conditionalFormatting sqref="B1:B86">
    <cfRule type="cellIs" dxfId="4" priority="5" stopIfTrue="1" operator="equal">
      <formula>"15u Boys"</formula>
    </cfRule>
  </conditionalFormatting>
  <conditionalFormatting sqref="B1:B86">
    <cfRule type="cellIs" dxfId="5" priority="6" stopIfTrue="1" operator="equal">
      <formula>"16u Boys"</formula>
    </cfRule>
  </conditionalFormatting>
  <conditionalFormatting sqref="B1:B86">
    <cfRule type="cellIs" dxfId="6" priority="7" stopIfTrue="1" operator="equal">
      <formula>"16u Girls"</formula>
    </cfRule>
  </conditionalFormatting>
  <conditionalFormatting sqref="B1:B86">
    <cfRule type="cellIs" dxfId="7" priority="8" stopIfTrue="1" operator="equal">
      <formula>"18u Boys"</formula>
    </cfRule>
  </conditionalFormatting>
  <conditionalFormatting sqref="B1:B86">
    <cfRule type="cellIs" dxfId="8" priority="9" stopIfTrue="1" operator="equal">
      <formula>"18u Girls"</formula>
    </cfRule>
  </conditionalFormatting>
  <conditionalFormatting sqref="B1:B86">
    <cfRule type="cellIs" dxfId="9" priority="10" stopIfTrue="1" operator="equal">
      <formula>"Mens Open"</formula>
    </cfRule>
  </conditionalFormatting>
  <conditionalFormatting sqref="B1:B86">
    <cfRule type="cellIs" dxfId="10" priority="11" stopIfTrue="1" operator="equal">
      <formula>"Womens Open"</formula>
    </cfRule>
  </conditionalFormatting>
  <printOptions horizontalCentered="1" verticalCentered="1"/>
  <pageMargins bottom="0.75" footer="0.0" header="0.0" left="0.25" right="0.25" top="0.75"/>
  <pageSetup orientation="portrait"/>
  <rowBreaks count="2" manualBreakCount="2">
    <brk man="1"/>
    <brk id="40" man="1"/>
  </rowBreaks>
  <colBreaks count="2" manualBreakCount="2">
    <brk man="1"/>
    <brk id="10" man="1"/>
  </colBreak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1.22" defaultRowHeight="15.0"/>
  <cols>
    <col customWidth="1" min="1" max="1" width="9.33"/>
    <col customWidth="1" min="2" max="2" width="8.89"/>
    <col customWidth="1" min="3" max="3" width="13.22"/>
    <col customWidth="1" min="4" max="4" width="7.11"/>
    <col customWidth="1" min="5" max="5" width="9.78"/>
    <col customWidth="1" min="6" max="6" width="9.67"/>
    <col customWidth="1" min="7" max="7" width="10.11"/>
    <col customWidth="1" min="8" max="8" width="12.33"/>
    <col customWidth="1" min="9" max="9" width="9.56"/>
  </cols>
  <sheetData>
    <row r="1">
      <c r="A1" s="125" t="s">
        <v>43</v>
      </c>
    </row>
    <row r="2">
      <c r="A2" s="126" t="s">
        <v>44</v>
      </c>
      <c r="B2" s="127" t="s">
        <v>45</v>
      </c>
      <c r="C2" s="127" t="s">
        <v>46</v>
      </c>
      <c r="D2" s="128" t="s">
        <v>47</v>
      </c>
      <c r="E2" s="129" t="s">
        <v>48</v>
      </c>
      <c r="F2" s="130" t="s">
        <v>49</v>
      </c>
      <c r="G2" s="130" t="s">
        <v>50</v>
      </c>
      <c r="H2" s="130" t="s">
        <v>51</v>
      </c>
      <c r="I2" s="131" t="s">
        <v>52</v>
      </c>
    </row>
    <row r="3">
      <c r="A3" s="132" t="s">
        <v>31</v>
      </c>
      <c r="B3" s="133" t="s">
        <v>53</v>
      </c>
      <c r="C3" s="134" t="s">
        <v>22</v>
      </c>
      <c r="D3" s="135">
        <f>IF($C3="","",(COUNTIFS(Scores!$J:$J,$C3,Scores!$B:$B,$A3)))</f>
        <v>3</v>
      </c>
      <c r="E3" s="136">
        <f t="shared" ref="E3:E42" si="1">IF($B3="","",
  1
  + COUNTIFS($A$3:$A42,$A3,$B$3:$B42,$B3,$D$3:$D42,"&gt;"&amp;$D3)
  + COUNTIFS($A$3:$A42,$A3,$B$3:$B42,$B3,$D$3:$D42,"="&amp;$D3,$I$3:$I42,"&gt;"&amp;$I3)
  + COUNTIFS($A$3:$A42,$A3,$B$3:$B42,$B3,$D$3:$D42,"="&amp;$D3,$I$3:$I42,"="&amp;$I3,$H$3:$H42,"&lt;"&amp;$H3))</f>
        <v>1</v>
      </c>
      <c r="F3" s="137">
        <f t="shared" ref="F3:F42" si="2">IF($A3="","",
  1
  + COUNTIFS($A$3:$A42,$A3,$D$3:$D42,"&gt;"&amp;$D3)
  + COUNTIFS($A$3:$A42,$A3,$D$3:$D42,"="&amp;$D3,$I$3:$I42,"&gt;"&amp;$I3)
  + COUNTIFS($A$3:$A42,$A3,$D$3:$D42,"="&amp;$D3,$I$3:$I42,"="&amp;$I3,$H$3:$H42,"&lt;"&amp;$H3)
)</f>
        <v>2</v>
      </c>
      <c r="G3" s="138">
        <f>IFERROR(__xludf.DUMMYFUNCTION("IF($C3="""","""",
  SUM(
    IFNA(FILTER(Scores!$G:$G, Scores!$F:$F=$C3, Scores!$B:$B=$A3),0),
    IFNA(FILTER(Scores!$I:$I, Scores!$H:$H=$C3, Scores!$B:$B=$A3),0)
  )
)"),67.0)</f>
        <v>67</v>
      </c>
      <c r="H3" s="138">
        <f>IFERROR(__xludf.DUMMYFUNCTION("IF($C3="""","""",
  SUM(
    IFNA(FILTER(Scores!$I:$I, Scores!$F:$F=$C3, Scores!$B:$B=$A3),0),
    IFNA(FILTER(Scores!$G:$G, Scores!$H:$H=$C3, Scores!$B:$B=$A3),0)
  )
)"),32.0)</f>
        <v>32</v>
      </c>
      <c r="I3" s="139">
        <f t="shared" ref="I3:I42" si="3">IF($C3="","", $G3 - $H3)</f>
        <v>35</v>
      </c>
    </row>
    <row r="4">
      <c r="A4" s="132" t="s">
        <v>31</v>
      </c>
      <c r="B4" s="140" t="s">
        <v>53</v>
      </c>
      <c r="C4" s="141" t="s">
        <v>20</v>
      </c>
      <c r="D4" s="142">
        <f>IF($C4="","",(COUNTIFS(Scores!$J:$J,$C4,Scores!$B:$B,$A4)))</f>
        <v>1</v>
      </c>
      <c r="E4" s="143">
        <f t="shared" si="1"/>
        <v>2</v>
      </c>
      <c r="F4" s="144">
        <f t="shared" si="2"/>
        <v>5</v>
      </c>
      <c r="G4" s="144">
        <f>IFERROR(__xludf.DUMMYFUNCTION("IF($C4="""","""",
  SUM(
    IFNA(FILTER(Scores!$G:$G, Scores!$F:$F=$C4, Scores!$B:$B=$A4),0),
    IFNA(FILTER(Scores!$I:$I, Scores!$H:$H=$C4, Scores!$B:$B=$A4),0)
  )
)"),51.0)</f>
        <v>51</v>
      </c>
      <c r="H4" s="144">
        <f>IFERROR(__xludf.DUMMYFUNCTION("IF($C4="""","""",
  SUM(
    IFNA(FILTER(Scores!$I:$I, Scores!$F:$F=$C4, Scores!$B:$B=$A4),0),
    IFNA(FILTER(Scores!$G:$G, Scores!$H:$H=$C4, Scores!$B:$B=$A4),0)
  )
)"),56.0)</f>
        <v>56</v>
      </c>
      <c r="I4" s="145">
        <f t="shared" si="3"/>
        <v>-5</v>
      </c>
    </row>
    <row r="5">
      <c r="A5" s="132" t="s">
        <v>31</v>
      </c>
      <c r="B5" s="146" t="s">
        <v>53</v>
      </c>
      <c r="C5" s="147" t="s">
        <v>34</v>
      </c>
      <c r="D5" s="148">
        <f>IF($C5="","",(COUNTIFS(Scores!$J:$J,$C5,Scores!$B:$B,$A5)))</f>
        <v>0</v>
      </c>
      <c r="E5" s="149">
        <f t="shared" si="1"/>
        <v>3</v>
      </c>
      <c r="F5" s="150">
        <f t="shared" si="2"/>
        <v>7</v>
      </c>
      <c r="G5" s="150">
        <f>IFERROR(__xludf.DUMMYFUNCTION("IF($C5="""","""",
  SUM(
    IFNA(FILTER(Scores!$G:$G, Scores!$F:$F=$C5, Scores!$B:$B=$A5),0),
    IFNA(FILTER(Scores!$I:$I, Scores!$H:$H=$C5, Scores!$B:$B=$A5),0)
  )
)"),10.0)</f>
        <v>10</v>
      </c>
      <c r="H5" s="150">
        <f>IFERROR(__xludf.DUMMYFUNCTION("IF($C5="""","""",
  SUM(
    IFNA(FILTER(Scores!$I:$I, Scores!$F:$F=$C5, Scores!$B:$B=$A5),0),
    IFNA(FILTER(Scores!$G:$G, Scores!$H:$H=$C5, Scores!$B:$B=$A5),0)
  )
)"),71.0)</f>
        <v>71</v>
      </c>
      <c r="I5" s="151">
        <f t="shared" si="3"/>
        <v>-61</v>
      </c>
    </row>
    <row r="6">
      <c r="A6" s="132" t="s">
        <v>31</v>
      </c>
      <c r="B6" s="152" t="s">
        <v>54</v>
      </c>
      <c r="C6" s="153" t="s">
        <v>35</v>
      </c>
      <c r="D6" s="154">
        <f>IF($C6="","",(COUNTIFS(Scores!$J:$J,$C6,Scores!$B:$B,$A6)))</f>
        <v>3</v>
      </c>
      <c r="E6" s="155">
        <f t="shared" si="1"/>
        <v>3</v>
      </c>
      <c r="F6" s="156">
        <f t="shared" si="2"/>
        <v>4</v>
      </c>
      <c r="G6" s="156">
        <f>IFERROR(__xludf.DUMMYFUNCTION("IF($C6="""","""",
  SUM(
    IFNA(FILTER(Scores!$G:$G, Scores!$F:$F=$C6, Scores!$B:$B=$A6),0),
    IFNA(FILTER(Scores!$I:$I, Scores!$H:$H=$C6, Scores!$B:$B=$A6),0)
  )
)"),59.0)</f>
        <v>59</v>
      </c>
      <c r="H6" s="156">
        <f>IFERROR(__xludf.DUMMYFUNCTION("IF($C6="""","""",
  SUM(
    IFNA(FILTER(Scores!$I:$I, Scores!$F:$F=$C6, Scores!$B:$B=$A6),0),
    IFNA(FILTER(Scores!$G:$G, Scores!$H:$H=$C6, Scores!$B:$B=$A6),0)
  )
)"),69.0)</f>
        <v>69</v>
      </c>
      <c r="I6" s="157">
        <f t="shared" si="3"/>
        <v>-10</v>
      </c>
    </row>
    <row r="7">
      <c r="A7" s="132" t="s">
        <v>31</v>
      </c>
      <c r="B7" s="146" t="s">
        <v>54</v>
      </c>
      <c r="C7" s="147" t="s">
        <v>24</v>
      </c>
      <c r="D7" s="148">
        <f>IF($C7="","",(COUNTIFS(Scores!$J:$J,$C7,Scores!$B:$B,$A7)))</f>
        <v>3</v>
      </c>
      <c r="E7" s="143">
        <f t="shared" si="1"/>
        <v>2</v>
      </c>
      <c r="F7" s="158">
        <f t="shared" si="2"/>
        <v>3</v>
      </c>
      <c r="G7" s="150">
        <f>IFERROR(__xludf.DUMMYFUNCTION("IF($C7="""","""",
  SUM(
    IFNA(FILTER(Scores!$G:$G, Scores!$F:$F=$C7, Scores!$B:$B=$A7),0),
    IFNA(FILTER(Scores!$I:$I, Scores!$H:$H=$C7, Scores!$B:$B=$A7),0)
  )
)"),85.0)</f>
        <v>85</v>
      </c>
      <c r="H7" s="150">
        <f>IFERROR(__xludf.DUMMYFUNCTION("IF($C7="""","""",
  SUM(
    IFNA(FILTER(Scores!$I:$I, Scores!$F:$F=$C7, Scores!$B:$B=$A7),0),
    IFNA(FILTER(Scores!$G:$G, Scores!$H:$H=$C7, Scores!$B:$B=$A7),0)
  )
)"),50.0)</f>
        <v>50</v>
      </c>
      <c r="I7" s="151">
        <f t="shared" si="3"/>
        <v>35</v>
      </c>
    </row>
    <row r="8">
      <c r="A8" s="132" t="s">
        <v>31</v>
      </c>
      <c r="B8" s="140" t="s">
        <v>54</v>
      </c>
      <c r="C8" s="141" t="s">
        <v>25</v>
      </c>
      <c r="D8" s="142">
        <f>IF($C8="","",(COUNTIFS(Scores!$J:$J,$C8,Scores!$B:$B,$A8)))</f>
        <v>5</v>
      </c>
      <c r="E8" s="159">
        <f t="shared" si="1"/>
        <v>1</v>
      </c>
      <c r="F8" s="160">
        <f t="shared" si="2"/>
        <v>1</v>
      </c>
      <c r="G8" s="144">
        <f>IFERROR(__xludf.DUMMYFUNCTION("IF($C8="""","""",
  SUM(
    IFNA(FILTER(Scores!$G:$G, Scores!$F:$F=$C8, Scores!$B:$B=$A8),0),
    IFNA(FILTER(Scores!$I:$I, Scores!$H:$H=$C8, Scores!$B:$B=$A8),0)
  )
)"),89.0)</f>
        <v>89</v>
      </c>
      <c r="H8" s="144">
        <f>IFERROR(__xludf.DUMMYFUNCTION("IF($C8="""","""",
  SUM(
    IFNA(FILTER(Scores!$I:$I, Scores!$F:$F=$C8, Scores!$B:$B=$A8),0),
    IFNA(FILTER(Scores!$G:$G, Scores!$H:$H=$C8, Scores!$B:$B=$A8),0)
  )
)"),49.0)</f>
        <v>49</v>
      </c>
      <c r="I8" s="145">
        <f t="shared" si="3"/>
        <v>40</v>
      </c>
    </row>
    <row r="9">
      <c r="A9" s="132" t="s">
        <v>31</v>
      </c>
      <c r="B9" s="146" t="s">
        <v>54</v>
      </c>
      <c r="C9" s="147" t="s">
        <v>33</v>
      </c>
      <c r="D9" s="148">
        <f>IF($C9="","",(COUNTIFS(Scores!$J:$J,$C9,Scores!$B:$B,$A9)))</f>
        <v>1</v>
      </c>
      <c r="E9" s="161">
        <f t="shared" si="1"/>
        <v>4</v>
      </c>
      <c r="F9" s="150">
        <f t="shared" si="2"/>
        <v>6</v>
      </c>
      <c r="G9" s="150">
        <f>IFERROR(__xludf.DUMMYFUNCTION("IF($C9="""","""",
  SUM(
    IFNA(FILTER(Scores!$G:$G, Scores!$F:$F=$C9, Scores!$B:$B=$A9),0),
    IFNA(FILTER(Scores!$I:$I, Scores!$H:$H=$C9, Scores!$B:$B=$A9),0)
  )
)"),43.0)</f>
        <v>43</v>
      </c>
      <c r="H9" s="150">
        <f>IFERROR(__xludf.DUMMYFUNCTION("IF($C9="""","""",
  SUM(
    IFNA(FILTER(Scores!$I:$I, Scores!$F:$F=$C9, Scores!$B:$B=$A9),0),
    IFNA(FILTER(Scores!$G:$G, Scores!$H:$H=$C9, Scores!$B:$B=$A9),0)
  )
)"),77.0)</f>
        <v>77</v>
      </c>
      <c r="I9" s="151">
        <f t="shared" si="3"/>
        <v>-34</v>
      </c>
    </row>
    <row r="10">
      <c r="A10" s="162" t="s">
        <v>26</v>
      </c>
      <c r="B10" s="163" t="s">
        <v>55</v>
      </c>
      <c r="C10" s="164" t="s">
        <v>22</v>
      </c>
      <c r="D10" s="165">
        <f>IF($C10="","",(COUNTIFS(Scores!$J:$J,$C10,Scores!$B:$B,$A10)))</f>
        <v>4</v>
      </c>
      <c r="E10" s="166">
        <f t="shared" si="1"/>
        <v>1</v>
      </c>
      <c r="F10" s="167">
        <f t="shared" si="2"/>
        <v>1</v>
      </c>
      <c r="G10" s="168">
        <f>IFERROR(__xludf.DUMMYFUNCTION("IF($C10="""","""",
  SUM(
    IFNA(FILTER(Scores!$G:$G, Scores!$F:$F=$C10, Scores!$B:$B=$A10),0),
    IFNA(FILTER(Scores!$I:$I, Scores!$H:$H=$C10, Scores!$B:$B=$A10),0)
  )
)"),70.0)</f>
        <v>70</v>
      </c>
      <c r="H10" s="168">
        <f>IFERROR(__xludf.DUMMYFUNCTION("IF($C10="""","""",
  SUM(
    IFNA(FILTER(Scores!$I:$I, Scores!$F:$F=$C10, Scores!$B:$B=$A10),0),
    IFNA(FILTER(Scores!$G:$G, Scores!$H:$H=$C10, Scores!$B:$B=$A10),0)
  )
)"),37.0)</f>
        <v>37</v>
      </c>
      <c r="I10" s="169">
        <f t="shared" si="3"/>
        <v>33</v>
      </c>
    </row>
    <row r="11">
      <c r="A11" s="162" t="s">
        <v>26</v>
      </c>
      <c r="B11" s="170" t="s">
        <v>55</v>
      </c>
      <c r="C11" s="147" t="s">
        <v>25</v>
      </c>
      <c r="D11" s="148">
        <f>IF($C11="","",(COUNTIFS(Scores!$J:$J,$C11,Scores!$B:$B,$A11)))</f>
        <v>2</v>
      </c>
      <c r="E11" s="143">
        <f t="shared" si="1"/>
        <v>2</v>
      </c>
      <c r="F11" s="150">
        <f t="shared" si="2"/>
        <v>5</v>
      </c>
      <c r="G11" s="150">
        <f>IFERROR(__xludf.DUMMYFUNCTION("IF($C11="""","""",
  SUM(
    IFNA(FILTER(Scores!$G:$G, Scores!$F:$F=$C11, Scores!$B:$B=$A11),0),
    IFNA(FILTER(Scores!$I:$I, Scores!$H:$H=$C11, Scores!$B:$B=$A11),0)
  )
)"),61.0)</f>
        <v>61</v>
      </c>
      <c r="H11" s="150">
        <f>IFERROR(__xludf.DUMMYFUNCTION("IF($C11="""","""",
  SUM(
    IFNA(FILTER(Scores!$I:$I, Scores!$F:$F=$C11, Scores!$B:$B=$A11),0),
    IFNA(FILTER(Scores!$G:$G, Scores!$H:$H=$C11, Scores!$B:$B=$A11),0)
  )
)"),55.0)</f>
        <v>55</v>
      </c>
      <c r="I11" s="171">
        <f t="shared" si="3"/>
        <v>6</v>
      </c>
    </row>
    <row r="12">
      <c r="A12" s="162" t="s">
        <v>26</v>
      </c>
      <c r="B12" s="172" t="s">
        <v>55</v>
      </c>
      <c r="C12" s="141" t="s">
        <v>20</v>
      </c>
      <c r="D12" s="142">
        <f>IF($C12="","",(COUNTIFS(Scores!$J:$J,$C12,Scores!$B:$B,$A12)))</f>
        <v>0</v>
      </c>
      <c r="E12" s="173">
        <f t="shared" si="1"/>
        <v>4</v>
      </c>
      <c r="F12" s="144">
        <f t="shared" si="2"/>
        <v>7</v>
      </c>
      <c r="G12" s="144">
        <f>IFERROR(__xludf.DUMMYFUNCTION("IF($C12="""","""",
  SUM(
    IFNA(FILTER(Scores!$G:$G, Scores!$F:$F=$C12, Scores!$B:$B=$A12),0),
    IFNA(FILTER(Scores!$I:$I, Scores!$H:$H=$C12, Scores!$B:$B=$A12),0)
  )
)"),13.0)</f>
        <v>13</v>
      </c>
      <c r="H12" s="144">
        <f>IFERROR(__xludf.DUMMYFUNCTION("IF($C12="""","""",
  SUM(
    IFNA(FILTER(Scores!$I:$I, Scores!$F:$F=$C12, Scores!$B:$B=$A12),0),
    IFNA(FILTER(Scores!$G:$G, Scores!$H:$H=$C12, Scores!$B:$B=$A12),0)
  )
)"),96.0)</f>
        <v>96</v>
      </c>
      <c r="I12" s="174">
        <f t="shared" si="3"/>
        <v>-83</v>
      </c>
    </row>
    <row r="13">
      <c r="A13" s="162" t="s">
        <v>26</v>
      </c>
      <c r="B13" s="170" t="s">
        <v>55</v>
      </c>
      <c r="C13" s="147" t="s">
        <v>35</v>
      </c>
      <c r="D13" s="148">
        <f>IF($C13="","",(COUNTIFS(Scores!$J:$J,$C13,Scores!$B:$B,$A13)))</f>
        <v>2</v>
      </c>
      <c r="E13" s="149">
        <f t="shared" si="1"/>
        <v>3</v>
      </c>
      <c r="F13" s="150">
        <f t="shared" si="2"/>
        <v>6</v>
      </c>
      <c r="G13" s="150">
        <f>IFERROR(__xludf.DUMMYFUNCTION("IF($C13="""","""",
  SUM(
    IFNA(FILTER(Scores!$G:$G, Scores!$F:$F=$C13, Scores!$B:$B=$A13),0),
    IFNA(FILTER(Scores!$I:$I, Scores!$H:$H=$C13, Scores!$B:$B=$A13),0)
  )
)"),62.0)</f>
        <v>62</v>
      </c>
      <c r="H13" s="150">
        <f>IFERROR(__xludf.DUMMYFUNCTION("IF($C13="""","""",
  SUM(
    IFNA(FILTER(Scores!$I:$I, Scores!$F:$F=$C13, Scores!$B:$B=$A13),0),
    IFNA(FILTER(Scores!$G:$G, Scores!$H:$H=$C13, Scores!$B:$B=$A13),0)
  )
)"),70.0)</f>
        <v>70</v>
      </c>
      <c r="I13" s="171">
        <f t="shared" si="3"/>
        <v>-8</v>
      </c>
    </row>
    <row r="14">
      <c r="A14" s="162" t="s">
        <v>26</v>
      </c>
      <c r="B14" s="175" t="s">
        <v>56</v>
      </c>
      <c r="C14" s="176" t="s">
        <v>24</v>
      </c>
      <c r="D14" s="177">
        <f>IF($C14="","",(COUNTIFS(Scores!$J:$J,$C14,Scores!$B:$B,$A14)))</f>
        <v>3</v>
      </c>
      <c r="E14" s="178">
        <f t="shared" si="1"/>
        <v>2</v>
      </c>
      <c r="F14" s="179">
        <f t="shared" si="2"/>
        <v>3</v>
      </c>
      <c r="G14" s="180">
        <f>IFERROR(__xludf.DUMMYFUNCTION("IF($C14="""","""",
  SUM(
    IFNA(FILTER(Scores!$G:$G, Scores!$F:$F=$C14, Scores!$B:$B=$A14),0),
    IFNA(FILTER(Scores!$I:$I, Scores!$H:$H=$C14, Scores!$B:$B=$A14),0)
  )
)"),40.4)</f>
        <v>40.4</v>
      </c>
      <c r="H14" s="180">
        <f>IFERROR(__xludf.DUMMYFUNCTION("IF($C14="""","""",
  SUM(
    IFNA(FILTER(Scores!$I:$I, Scores!$F:$F=$C14, Scores!$B:$B=$A14),0),
    IFNA(FILTER(Scores!$G:$G, Scores!$H:$H=$C14, Scores!$B:$B=$A14),0)
  )
)"),31.1)</f>
        <v>31.1</v>
      </c>
      <c r="I14" s="181">
        <f t="shared" si="3"/>
        <v>9.3</v>
      </c>
    </row>
    <row r="15">
      <c r="A15" s="162" t="s">
        <v>26</v>
      </c>
      <c r="B15" s="170" t="s">
        <v>56</v>
      </c>
      <c r="C15" s="147" t="s">
        <v>19</v>
      </c>
      <c r="D15" s="148">
        <f>IF($C15="","",(COUNTIFS(Scores!$J:$J,$C15,Scores!$B:$B,$A15)))</f>
        <v>3</v>
      </c>
      <c r="E15" s="159">
        <f t="shared" si="1"/>
        <v>1</v>
      </c>
      <c r="F15" s="182">
        <f t="shared" si="2"/>
        <v>2</v>
      </c>
      <c r="G15" s="150">
        <f>IFERROR(__xludf.DUMMYFUNCTION("IF($C15="""","""",
  SUM(
    IFNA(FILTER(Scores!$G:$G, Scores!$F:$F=$C15, Scores!$B:$B=$A15),0),
    IFNA(FILTER(Scores!$I:$I, Scores!$H:$H=$C15, Scores!$B:$B=$A15),0)
  )
)"),58.1)</f>
        <v>58.1</v>
      </c>
      <c r="H15" s="150">
        <f>IFERROR(__xludf.DUMMYFUNCTION("IF($C15="""","""",
  SUM(
    IFNA(FILTER(Scores!$I:$I, Scores!$F:$F=$C15, Scores!$B:$B=$A15),0),
    IFNA(FILTER(Scores!$G:$G, Scores!$H:$H=$C15, Scores!$B:$B=$A15),0)
  )
)"),43.4)</f>
        <v>43.4</v>
      </c>
      <c r="I15" s="171">
        <f t="shared" si="3"/>
        <v>14.7</v>
      </c>
    </row>
    <row r="16">
      <c r="A16" s="162" t="s">
        <v>26</v>
      </c>
      <c r="B16" s="172" t="s">
        <v>56</v>
      </c>
      <c r="C16" s="141" t="s">
        <v>33</v>
      </c>
      <c r="D16" s="142">
        <f>IF($C16="","",(COUNTIFS(Scores!$J:$J,$C16,Scores!$B:$B,$A16)))</f>
        <v>2</v>
      </c>
      <c r="E16" s="149">
        <f t="shared" si="1"/>
        <v>3</v>
      </c>
      <c r="F16" s="144">
        <f t="shared" si="2"/>
        <v>4</v>
      </c>
      <c r="G16" s="144">
        <f>IFERROR(__xludf.DUMMYFUNCTION("IF($C16="""","""",
  SUM(
    IFNA(FILTER(Scores!$G:$G, Scores!$F:$F=$C16, Scores!$B:$B=$A16),0),
    IFNA(FILTER(Scores!$I:$I, Scores!$H:$H=$C16, Scores!$B:$B=$A16),0)
  )
)"),64.0)</f>
        <v>64</v>
      </c>
      <c r="H16" s="144">
        <f>IFERROR(__xludf.DUMMYFUNCTION("IF($C16="""","""",
  SUM(
    IFNA(FILTER(Scores!$I:$I, Scores!$F:$F=$C16, Scores!$B:$B=$A16),0),
    IFNA(FILTER(Scores!$G:$G, Scores!$H:$H=$C16, Scores!$B:$B=$A16),0)
  )
)"),36.0)</f>
        <v>36</v>
      </c>
      <c r="I16" s="174">
        <f t="shared" si="3"/>
        <v>28</v>
      </c>
    </row>
    <row r="17">
      <c r="A17" s="183" t="s">
        <v>42</v>
      </c>
      <c r="B17" s="184" t="s">
        <v>57</v>
      </c>
      <c r="C17" s="185" t="s">
        <v>22</v>
      </c>
      <c r="D17" s="186">
        <f>IF($C17="","",(COUNTIFS(Scores!$J:$J,$C17,Scores!$B:$B,$A17)))</f>
        <v>1</v>
      </c>
      <c r="E17" s="187">
        <f t="shared" si="1"/>
        <v>1</v>
      </c>
      <c r="F17" s="188">
        <f t="shared" si="2"/>
        <v>1</v>
      </c>
      <c r="G17" s="189">
        <f>IFERROR(__xludf.DUMMYFUNCTION("IF($C17="""","""",
  SUM(
    IFNA(FILTER(Scores!$G:$G, Scores!$F:$F=$C17, Scores!$B:$B=$A17),0),
    IFNA(FILTER(Scores!$I:$I, Scores!$H:$H=$C17, Scores!$B:$B=$A17),0)
  )
)"),10.0)</f>
        <v>10</v>
      </c>
      <c r="H17" s="189">
        <f>IFERROR(__xludf.DUMMYFUNCTION("IF($C17="""","""",
  SUM(
    IFNA(FILTER(Scores!$I:$I, Scores!$F:$F=$C17, Scores!$B:$B=$A17),0),
    IFNA(FILTER(Scores!$G:$G, Scores!$H:$H=$C17, Scores!$B:$B=$A17),0)
  )
)"),8.0)</f>
        <v>8</v>
      </c>
      <c r="I17" s="190">
        <f t="shared" si="3"/>
        <v>2</v>
      </c>
    </row>
    <row r="18">
      <c r="A18" s="183" t="s">
        <v>42</v>
      </c>
      <c r="B18" s="191" t="s">
        <v>57</v>
      </c>
      <c r="C18" s="141" t="s">
        <v>25</v>
      </c>
      <c r="D18" s="142">
        <f>IF($C18="","",(COUNTIFS(Scores!$J:$J,$C18,Scores!$B:$B,$A18)))</f>
        <v>0</v>
      </c>
      <c r="E18" s="143">
        <f t="shared" si="1"/>
        <v>2</v>
      </c>
      <c r="F18" s="182">
        <f t="shared" si="2"/>
        <v>2</v>
      </c>
      <c r="G18" s="144">
        <f>IFERROR(__xludf.DUMMYFUNCTION("IF($C18="""","""",
  SUM(
    IFNA(FILTER(Scores!$G:$G, Scores!$F:$F=$C18, Scores!$B:$B=$A18),0),
    IFNA(FILTER(Scores!$I:$I, Scores!$H:$H=$C18, Scores!$B:$B=$A18),0)
  )
)"),8.0)</f>
        <v>8</v>
      </c>
      <c r="H18" s="144">
        <f>IFERROR(__xludf.DUMMYFUNCTION("IF($C18="""","""",
  SUM(
    IFNA(FILTER(Scores!$I:$I, Scores!$F:$F=$C18, Scores!$B:$B=$A18),0),
    IFNA(FILTER(Scores!$G:$G, Scores!$H:$H=$C18, Scores!$B:$B=$A18),0)
  )
)"),10.0)</f>
        <v>10</v>
      </c>
      <c r="I18" s="192">
        <f t="shared" si="3"/>
        <v>-2</v>
      </c>
    </row>
    <row r="19">
      <c r="A19" s="193" t="s">
        <v>23</v>
      </c>
      <c r="B19" s="194" t="s">
        <v>58</v>
      </c>
      <c r="C19" s="195" t="s">
        <v>22</v>
      </c>
      <c r="D19" s="196">
        <f>IF($C19="","",(COUNTIFS(Scores!$J:$J,$C19,Scores!$B:$B,$A19)))</f>
        <v>1</v>
      </c>
      <c r="E19" s="197">
        <f t="shared" si="1"/>
        <v>4</v>
      </c>
      <c r="F19" s="198">
        <f t="shared" si="2"/>
        <v>4</v>
      </c>
      <c r="G19" s="198">
        <f>IFERROR(__xludf.DUMMYFUNCTION("IF($C19="""","""",
  SUM(
    IFNA(FILTER(Scores!$G:$G, Scores!$F:$F=$C19, Scores!$B:$B=$A19),0),
    IFNA(FILTER(Scores!$I:$I, Scores!$H:$H=$C19, Scores!$B:$B=$A19),0)
  )
)"),26.0)</f>
        <v>26</v>
      </c>
      <c r="H19" s="198">
        <f>IFERROR(__xludf.DUMMYFUNCTION("IF($C19="""","""",
  SUM(
    IFNA(FILTER(Scores!$I:$I, Scores!$F:$F=$C19, Scores!$B:$B=$A19),0),
    IFNA(FILTER(Scores!$G:$G, Scores!$H:$H=$C19, Scores!$B:$B=$A19),0)
  )
)"),48.0)</f>
        <v>48</v>
      </c>
      <c r="I19" s="199">
        <f t="shared" si="3"/>
        <v>-22</v>
      </c>
    </row>
    <row r="20">
      <c r="A20" s="193" t="s">
        <v>23</v>
      </c>
      <c r="B20" s="200" t="s">
        <v>58</v>
      </c>
      <c r="C20" s="141" t="s">
        <v>25</v>
      </c>
      <c r="D20" s="142">
        <f>IF($C20="","",(COUNTIFS(Scores!$J:$J,$C20,Scores!$B:$B,$A20)))</f>
        <v>2</v>
      </c>
      <c r="E20" s="149">
        <f t="shared" si="1"/>
        <v>3</v>
      </c>
      <c r="F20" s="158">
        <f t="shared" si="2"/>
        <v>3</v>
      </c>
      <c r="G20" s="144">
        <f>IFERROR(__xludf.DUMMYFUNCTION("IF($C20="""","""",
  SUM(
    IFNA(FILTER(Scores!$G:$G, Scores!$F:$F=$C20, Scores!$B:$B=$A20),0),
    IFNA(FILTER(Scores!$I:$I, Scores!$H:$H=$C20, Scores!$B:$B=$A20),0)
  )
)"),34.0)</f>
        <v>34</v>
      </c>
      <c r="H20" s="144">
        <f>IFERROR(__xludf.DUMMYFUNCTION("IF($C20="""","""",
  SUM(
    IFNA(FILTER(Scores!$I:$I, Scores!$F:$F=$C20, Scores!$B:$B=$A20),0),
    IFNA(FILTER(Scores!$G:$G, Scores!$H:$H=$C20, Scores!$B:$B=$A20),0)
  )
)"),26.0)</f>
        <v>26</v>
      </c>
      <c r="I20" s="201">
        <f t="shared" si="3"/>
        <v>8</v>
      </c>
    </row>
    <row r="21">
      <c r="A21" s="193" t="s">
        <v>23</v>
      </c>
      <c r="B21" s="202" t="s">
        <v>58</v>
      </c>
      <c r="C21" s="147" t="s">
        <v>33</v>
      </c>
      <c r="D21" s="148">
        <f>IF($C21="","",(COUNTIFS(Scores!$J:$J,$C21,Scores!$B:$B,$A21)))</f>
        <v>4</v>
      </c>
      <c r="E21" s="159">
        <f t="shared" si="1"/>
        <v>1</v>
      </c>
      <c r="F21" s="160">
        <f t="shared" si="2"/>
        <v>1</v>
      </c>
      <c r="G21" s="150">
        <f>IFERROR(__xludf.DUMMYFUNCTION("IF($C21="""","""",
  SUM(
    IFNA(FILTER(Scores!$G:$G, Scores!$F:$F=$C21, Scores!$B:$B=$A21),0),
    IFNA(FILTER(Scores!$I:$I, Scores!$H:$H=$C21, Scores!$B:$B=$A21),0)
  )
)"),56.0)</f>
        <v>56</v>
      </c>
      <c r="H21" s="150">
        <f>IFERROR(__xludf.DUMMYFUNCTION("IF($C21="""","""",
  SUM(
    IFNA(FILTER(Scores!$I:$I, Scores!$F:$F=$C21, Scores!$B:$B=$A21),0),
    IFNA(FILTER(Scores!$G:$G, Scores!$H:$H=$C21, Scores!$B:$B=$A21),0)
  )
)"),31.0)</f>
        <v>31</v>
      </c>
      <c r="I21" s="203">
        <f t="shared" si="3"/>
        <v>25</v>
      </c>
    </row>
    <row r="22">
      <c r="A22" s="193" t="s">
        <v>23</v>
      </c>
      <c r="B22" s="200" t="s">
        <v>58</v>
      </c>
      <c r="C22" s="141" t="s">
        <v>24</v>
      </c>
      <c r="D22" s="142">
        <f>IF($C22="","",(COUNTIFS(Scores!$J:$J,$C22,Scores!$B:$B,$A22)))</f>
        <v>0</v>
      </c>
      <c r="E22" s="173">
        <f t="shared" si="1"/>
        <v>5</v>
      </c>
      <c r="F22" s="144">
        <f t="shared" si="2"/>
        <v>5</v>
      </c>
      <c r="G22" s="144">
        <f>IFERROR(__xludf.DUMMYFUNCTION("IF($C22="""","""",
  SUM(
    IFNA(FILTER(Scores!$G:$G, Scores!$F:$F=$C22, Scores!$B:$B=$A22),0),
    IFNA(FILTER(Scores!$I:$I, Scores!$H:$H=$C22, Scores!$B:$B=$A22),0)
  )
)"),25.0)</f>
        <v>25</v>
      </c>
      <c r="H22" s="144">
        <f>IFERROR(__xludf.DUMMYFUNCTION("IF($C22="""","""",
  SUM(
    IFNA(FILTER(Scores!$I:$I, Scores!$F:$F=$C22, Scores!$B:$B=$A22),0),
    IFNA(FILTER(Scores!$G:$G, Scores!$H:$H=$C22, Scores!$B:$B=$A22),0)
  )
)"),42.0)</f>
        <v>42</v>
      </c>
      <c r="I22" s="201">
        <f t="shared" si="3"/>
        <v>-17</v>
      </c>
    </row>
    <row r="23">
      <c r="A23" s="193" t="s">
        <v>23</v>
      </c>
      <c r="B23" s="202" t="s">
        <v>58</v>
      </c>
      <c r="C23" s="147" t="s">
        <v>35</v>
      </c>
      <c r="D23" s="148">
        <f>IF($C23="","",(COUNTIFS(Scores!$J:$J,$C23,Scores!$B:$B,$A23)))</f>
        <v>3</v>
      </c>
      <c r="E23" s="143">
        <f t="shared" si="1"/>
        <v>2</v>
      </c>
      <c r="F23" s="182">
        <f t="shared" si="2"/>
        <v>2</v>
      </c>
      <c r="G23" s="150">
        <f>IFERROR(__xludf.DUMMYFUNCTION("IF($C23="""","""",
  SUM(
    IFNA(FILTER(Scores!$G:$G, Scores!$F:$F=$C23, Scores!$B:$B=$A23),0),
    IFNA(FILTER(Scores!$I:$I, Scores!$H:$H=$C23, Scores!$B:$B=$A23),0)
  )
)"),44.0)</f>
        <v>44</v>
      </c>
      <c r="H23" s="150">
        <f>IFERROR(__xludf.DUMMYFUNCTION("IF($C23="""","""",
  SUM(
    IFNA(FILTER(Scores!$I:$I, Scores!$F:$F=$C23, Scores!$B:$B=$A23),0),
    IFNA(FILTER(Scores!$G:$G, Scores!$H:$H=$C23, Scores!$B:$B=$A23),0)
  )
)"),38.0)</f>
        <v>38</v>
      </c>
      <c r="I23" s="203">
        <f t="shared" si="3"/>
        <v>6</v>
      </c>
    </row>
    <row r="24">
      <c r="A24" s="204" t="s">
        <v>21</v>
      </c>
      <c r="B24" s="205" t="s">
        <v>59</v>
      </c>
      <c r="C24" s="206" t="s">
        <v>25</v>
      </c>
      <c r="D24" s="207">
        <f>IF($C24="","",(COUNTIFS(Scores!$J:$J,$C24,Scores!$B:$B,$A24)))</f>
        <v>4</v>
      </c>
      <c r="E24" s="208">
        <f t="shared" si="1"/>
        <v>2</v>
      </c>
      <c r="F24" s="209">
        <f t="shared" si="2"/>
        <v>2</v>
      </c>
      <c r="G24" s="210">
        <f>IFERROR(__xludf.DUMMYFUNCTION("IF($C24="""","""",
  SUM(
    IFNA(FILTER(Scores!$G:$G, Scores!$F:$F=$C24, Scores!$B:$B=$A24),0),
    IFNA(FILTER(Scores!$I:$I, Scores!$H:$H=$C24, Scores!$B:$B=$A24),0)
  )
)"),51.0)</f>
        <v>51</v>
      </c>
      <c r="H24" s="210">
        <f>IFERROR(__xludf.DUMMYFUNCTION("IF($C24="""","""",
  SUM(
    IFNA(FILTER(Scores!$I:$I, Scores!$F:$F=$C24, Scores!$B:$B=$A24),0),
    IFNA(FILTER(Scores!$G:$G, Scores!$H:$H=$C24, Scores!$B:$B=$A24),0)
  )
)"),34.0)</f>
        <v>34</v>
      </c>
      <c r="I24" s="211">
        <f t="shared" si="3"/>
        <v>17</v>
      </c>
    </row>
    <row r="25">
      <c r="A25" s="204" t="s">
        <v>21</v>
      </c>
      <c r="B25" s="212" t="s">
        <v>59</v>
      </c>
      <c r="C25" s="147" t="s">
        <v>19</v>
      </c>
      <c r="D25" s="148">
        <f>IF($C25="","",(COUNTIFS(Scores!$J:$J,$C25,Scores!$B:$B,$A25)))</f>
        <v>2</v>
      </c>
      <c r="E25" s="161">
        <f t="shared" si="1"/>
        <v>4</v>
      </c>
      <c r="F25" s="150">
        <f t="shared" si="2"/>
        <v>4</v>
      </c>
      <c r="G25" s="150">
        <f>IFERROR(__xludf.DUMMYFUNCTION("IF($C25="""","""",
  SUM(
    IFNA(FILTER(Scores!$G:$G, Scores!$F:$F=$C25, Scores!$B:$B=$A25),0),
    IFNA(FILTER(Scores!$I:$I, Scores!$H:$H=$C25, Scores!$B:$B=$A25),0)
  )
)"),36.0)</f>
        <v>36</v>
      </c>
      <c r="H25" s="150">
        <f>IFERROR(__xludf.DUMMYFUNCTION("IF($C25="""","""",
  SUM(
    IFNA(FILTER(Scores!$I:$I, Scores!$F:$F=$C25, Scores!$B:$B=$A25),0),
    IFNA(FILTER(Scores!$G:$G, Scores!$H:$H=$C25, Scores!$B:$B=$A25),0)
  )
)"),41.0)</f>
        <v>41</v>
      </c>
      <c r="I25" s="213">
        <f t="shared" si="3"/>
        <v>-5</v>
      </c>
    </row>
    <row r="26">
      <c r="A26" s="204" t="s">
        <v>21</v>
      </c>
      <c r="B26" s="214" t="s">
        <v>59</v>
      </c>
      <c r="C26" s="141" t="s">
        <v>36</v>
      </c>
      <c r="D26" s="142">
        <f>IF($C26="","",(COUNTIFS(Scores!$J:$J,$C26,Scores!$B:$B,$A26)))</f>
        <v>5</v>
      </c>
      <c r="E26" s="159">
        <f t="shared" si="1"/>
        <v>1</v>
      </c>
      <c r="F26" s="160">
        <f t="shared" si="2"/>
        <v>1</v>
      </c>
      <c r="G26" s="144">
        <f>IFERROR(__xludf.DUMMYFUNCTION("IF($C26="""","""",
  SUM(
    IFNA(FILTER(Scores!$G:$G, Scores!$F:$F=$C26, Scores!$B:$B=$A26),0),
    IFNA(FILTER(Scores!$I:$I, Scores!$H:$H=$C26, Scores!$B:$B=$A26),0)
  )
)"),82.0)</f>
        <v>82</v>
      </c>
      <c r="H26" s="144">
        <f>IFERROR(__xludf.DUMMYFUNCTION("IF($C26="""","""",
  SUM(
    IFNA(FILTER(Scores!$I:$I, Scores!$F:$F=$C26, Scores!$B:$B=$A26),0),
    IFNA(FILTER(Scores!$G:$G, Scores!$H:$H=$C26, Scores!$B:$B=$A26),0)
  )
)"),28.0)</f>
        <v>28</v>
      </c>
      <c r="I26" s="215">
        <f t="shared" si="3"/>
        <v>54</v>
      </c>
    </row>
    <row r="27">
      <c r="A27" s="204" t="s">
        <v>21</v>
      </c>
      <c r="B27" s="212" t="s">
        <v>59</v>
      </c>
      <c r="C27" s="147" t="s">
        <v>20</v>
      </c>
      <c r="D27" s="148">
        <f>IF($C27="","",(COUNTIFS(Scores!$J:$J,$C27,Scores!$B:$B,$A27)))</f>
        <v>1</v>
      </c>
      <c r="E27" s="161">
        <f t="shared" si="1"/>
        <v>5</v>
      </c>
      <c r="F27" s="150">
        <f t="shared" si="2"/>
        <v>5</v>
      </c>
      <c r="G27" s="150">
        <f>IFERROR(__xludf.DUMMYFUNCTION("IF($C27="""","""",
  SUM(
    IFNA(FILTER(Scores!$G:$G, Scores!$F:$F=$C27, Scores!$B:$B=$A27),0),
    IFNA(FILTER(Scores!$I:$I, Scores!$H:$H=$C27, Scores!$B:$B=$A27),0)
  )
)"),35.0)</f>
        <v>35</v>
      </c>
      <c r="H27" s="150">
        <f>IFERROR(__xludf.DUMMYFUNCTION("IF($C27="""","""",
  SUM(
    IFNA(FILTER(Scores!$I:$I, Scores!$F:$F=$C27, Scores!$B:$B=$A27),0),
    IFNA(FILTER(Scores!$G:$G, Scores!$H:$H=$C27, Scores!$B:$B=$A27),0)
  )
)"),52.0)</f>
        <v>52</v>
      </c>
      <c r="I27" s="213">
        <f t="shared" si="3"/>
        <v>-17</v>
      </c>
    </row>
    <row r="28">
      <c r="A28" s="204" t="s">
        <v>21</v>
      </c>
      <c r="B28" s="214" t="s">
        <v>59</v>
      </c>
      <c r="C28" s="141" t="s">
        <v>30</v>
      </c>
      <c r="D28" s="142">
        <f>IF($C28="","",(COUNTIFS(Scores!$J:$J,$C28,Scores!$B:$B,$A28)))</f>
        <v>0</v>
      </c>
      <c r="E28" s="173">
        <f t="shared" si="1"/>
        <v>6</v>
      </c>
      <c r="F28" s="144">
        <f t="shared" si="2"/>
        <v>6</v>
      </c>
      <c r="G28" s="144">
        <f>IFERROR(__xludf.DUMMYFUNCTION("IF($C28="""","""",
  SUM(
    IFNA(FILTER(Scores!$G:$G, Scores!$F:$F=$C28, Scores!$B:$B=$A28),0),
    IFNA(FILTER(Scores!$I:$I, Scores!$H:$H=$C28, Scores!$B:$B=$A28),0)
  )
)"),11.0)</f>
        <v>11</v>
      </c>
      <c r="H28" s="144">
        <f>IFERROR(__xludf.DUMMYFUNCTION("IF($C28="""","""",
  SUM(
    IFNA(FILTER(Scores!$I:$I, Scores!$F:$F=$C28, Scores!$B:$B=$A28),0),
    IFNA(FILTER(Scores!$G:$G, Scores!$H:$H=$C28, Scores!$B:$B=$A28),0)
  )
)"),55.0)</f>
        <v>55</v>
      </c>
      <c r="I28" s="215">
        <f t="shared" si="3"/>
        <v>-44</v>
      </c>
    </row>
    <row r="29">
      <c r="A29" s="204" t="s">
        <v>21</v>
      </c>
      <c r="B29" s="212" t="s">
        <v>59</v>
      </c>
      <c r="C29" s="147" t="s">
        <v>22</v>
      </c>
      <c r="D29" s="148">
        <f>IF($C29="","",(COUNTIFS(Scores!$J:$J,$C29,Scores!$B:$B,$A29)))</f>
        <v>3</v>
      </c>
      <c r="E29" s="149">
        <f t="shared" si="1"/>
        <v>3</v>
      </c>
      <c r="F29" s="158">
        <f t="shared" si="2"/>
        <v>3</v>
      </c>
      <c r="G29" s="150">
        <f>IFERROR(__xludf.DUMMYFUNCTION("IF($C29="""","""",
  SUM(
    IFNA(FILTER(Scores!$G:$G, Scores!$F:$F=$C29, Scores!$B:$B=$A29),0),
    IFNA(FILTER(Scores!$I:$I, Scores!$H:$H=$C29, Scores!$B:$B=$A29),0)
  )
)"),47.0)</f>
        <v>47</v>
      </c>
      <c r="H29" s="150">
        <f>IFERROR(__xludf.DUMMYFUNCTION("IF($C29="""","""",
  SUM(
    IFNA(FILTER(Scores!$I:$I, Scores!$F:$F=$C29, Scores!$B:$B=$A29),0),
    IFNA(FILTER(Scores!$G:$G, Scores!$H:$H=$C29, Scores!$B:$B=$A29),0)
  )
)"),52.0)</f>
        <v>52</v>
      </c>
      <c r="I29" s="213">
        <f t="shared" si="3"/>
        <v>-5</v>
      </c>
    </row>
    <row r="30">
      <c r="A30" s="216" t="s">
        <v>17</v>
      </c>
      <c r="B30" s="217" t="s">
        <v>60</v>
      </c>
      <c r="C30" s="218" t="s">
        <v>22</v>
      </c>
      <c r="D30" s="219">
        <f>IF($C30="","",(COUNTIFS(Scores!$J:$J,$C30,Scores!$B:$B,$A30)))</f>
        <v>4</v>
      </c>
      <c r="E30" s="220">
        <f t="shared" si="1"/>
        <v>1</v>
      </c>
      <c r="F30" s="221">
        <f t="shared" si="2"/>
        <v>1</v>
      </c>
      <c r="G30" s="222">
        <f>IFERROR(__xludf.DUMMYFUNCTION("IF($C30="""","""",
  SUM(
    IFNA(FILTER(Scores!$G:$G, Scores!$F:$F=$C30, Scores!$B:$B=$A30),0),
    IFNA(FILTER(Scores!$I:$I, Scores!$H:$H=$C30, Scores!$B:$B=$A30),0)
  )
)"),80.0)</f>
        <v>80</v>
      </c>
      <c r="H30" s="222">
        <f>IFERROR(__xludf.DUMMYFUNCTION("IF($C30="""","""",
  SUM(
    IFNA(FILTER(Scores!$I:$I, Scores!$F:$F=$C30, Scores!$B:$B=$A30),0),
    IFNA(FILTER(Scores!$G:$G, Scores!$H:$H=$C30, Scores!$B:$B=$A30),0)
  )
)"),48.0)</f>
        <v>48</v>
      </c>
      <c r="I30" s="223">
        <f t="shared" si="3"/>
        <v>32</v>
      </c>
    </row>
    <row r="31">
      <c r="A31" s="216" t="s">
        <v>17</v>
      </c>
      <c r="B31" s="224" t="s">
        <v>60</v>
      </c>
      <c r="C31" s="147" t="s">
        <v>19</v>
      </c>
      <c r="D31" s="148">
        <f>IF($C31="","",(COUNTIFS(Scores!$J:$J,$C31,Scores!$B:$B,$A31)))</f>
        <v>2</v>
      </c>
      <c r="E31" s="143">
        <f t="shared" si="1"/>
        <v>2</v>
      </c>
      <c r="F31" s="150">
        <f t="shared" si="2"/>
        <v>4</v>
      </c>
      <c r="G31" s="150">
        <f>IFERROR(__xludf.DUMMYFUNCTION("IF($C31="""","""",
  SUM(
    IFNA(FILTER(Scores!$G:$G, Scores!$F:$F=$C31, Scores!$B:$B=$A31),0),
    IFNA(FILTER(Scores!$I:$I, Scores!$H:$H=$C31, Scores!$B:$B=$A31),0)
  )
)"),74.0)</f>
        <v>74</v>
      </c>
      <c r="H31" s="150">
        <f>IFERROR(__xludf.DUMMYFUNCTION("IF($C31="""","""",
  SUM(
    IFNA(FILTER(Scores!$I:$I, Scores!$F:$F=$C31, Scores!$B:$B=$A31),0),
    IFNA(FILTER(Scores!$G:$G, Scores!$H:$H=$C31, Scores!$B:$B=$A31),0)
  )
)"),71.0)</f>
        <v>71</v>
      </c>
      <c r="I31" s="225">
        <f t="shared" si="3"/>
        <v>3</v>
      </c>
    </row>
    <row r="32">
      <c r="A32" s="216" t="s">
        <v>17</v>
      </c>
      <c r="B32" s="226" t="s">
        <v>60</v>
      </c>
      <c r="C32" s="141" t="s">
        <v>30</v>
      </c>
      <c r="D32" s="142">
        <f>IF($C32="","",(COUNTIFS(Scores!$J:$J,$C32,Scores!$B:$B,$A32)))</f>
        <v>0</v>
      </c>
      <c r="E32" s="173">
        <f t="shared" si="1"/>
        <v>4</v>
      </c>
      <c r="F32" s="144">
        <f t="shared" si="2"/>
        <v>7</v>
      </c>
      <c r="G32" s="144">
        <f>IFERROR(__xludf.DUMMYFUNCTION("IF($C32="""","""",
  SUM(
    IFNA(FILTER(Scores!$G:$G, Scores!$F:$F=$C32, Scores!$B:$B=$A32),0),
    IFNA(FILTER(Scores!$I:$I, Scores!$H:$H=$C32, Scores!$B:$B=$A32),0)
  )
)"),21.0)</f>
        <v>21</v>
      </c>
      <c r="H32" s="144">
        <f>IFERROR(__xludf.DUMMYFUNCTION("IF($C32="""","""",
  SUM(
    IFNA(FILTER(Scores!$I:$I, Scores!$F:$F=$C32, Scores!$B:$B=$A32),0),
    IFNA(FILTER(Scores!$G:$G, Scores!$H:$H=$C32, Scores!$B:$B=$A32),0)
  )
)"),78.0)</f>
        <v>78</v>
      </c>
      <c r="I32" s="227">
        <f t="shared" si="3"/>
        <v>-57</v>
      </c>
    </row>
    <row r="33">
      <c r="A33" s="216" t="s">
        <v>17</v>
      </c>
      <c r="B33" s="224" t="s">
        <v>60</v>
      </c>
      <c r="C33" s="147" t="s">
        <v>20</v>
      </c>
      <c r="D33" s="148">
        <f>IF($C33="","",(COUNTIFS(Scores!$J:$J,$C33,Scores!$B:$B,$A33)))</f>
        <v>2</v>
      </c>
      <c r="E33" s="149">
        <f t="shared" si="1"/>
        <v>3</v>
      </c>
      <c r="F33" s="150">
        <f t="shared" si="2"/>
        <v>6</v>
      </c>
      <c r="G33" s="150">
        <f>IFERROR(__xludf.DUMMYFUNCTION("IF($C33="""","""",
  SUM(
    IFNA(FILTER(Scores!$G:$G, Scores!$F:$F=$C33, Scores!$B:$B=$A33),0),
    IFNA(FILTER(Scores!$I:$I, Scores!$H:$H=$C33, Scores!$B:$B=$A33),0)
  )
)"),48.0)</f>
        <v>48</v>
      </c>
      <c r="H33" s="150">
        <f>IFERROR(__xludf.DUMMYFUNCTION("IF($C33="""","""",
  SUM(
    IFNA(FILTER(Scores!$I:$I, Scores!$F:$F=$C33, Scores!$B:$B=$A33),0),
    IFNA(FILTER(Scores!$G:$G, Scores!$H:$H=$C33, Scores!$B:$B=$A33),0)
  )
)"),54.0)</f>
        <v>54</v>
      </c>
      <c r="I33" s="225">
        <f t="shared" si="3"/>
        <v>-6</v>
      </c>
    </row>
    <row r="34">
      <c r="A34" s="216" t="s">
        <v>17</v>
      </c>
      <c r="B34" s="228" t="s">
        <v>61</v>
      </c>
      <c r="C34" s="229" t="s">
        <v>25</v>
      </c>
      <c r="D34" s="230">
        <f>IF($C34="","",(COUNTIFS(Scores!$J:$J,$C34,Scores!$B:$B,$A34)))</f>
        <v>2</v>
      </c>
      <c r="E34" s="231">
        <f t="shared" si="1"/>
        <v>2</v>
      </c>
      <c r="F34" s="232">
        <f t="shared" si="2"/>
        <v>3</v>
      </c>
      <c r="G34" s="233">
        <f>IFERROR(__xludf.DUMMYFUNCTION("IF($C34="""","""",
  SUM(
    IFNA(FILTER(Scores!$G:$G, Scores!$F:$F=$C34, Scores!$B:$B=$A34),0),
    IFNA(FILTER(Scores!$I:$I, Scores!$H:$H=$C34, Scores!$B:$B=$A34),0)
  )
)"),49.4)</f>
        <v>49.4</v>
      </c>
      <c r="H34" s="233">
        <f>IFERROR(__xludf.DUMMYFUNCTION("IF($C34="""","""",
  SUM(
    IFNA(FILTER(Scores!$I:$I, Scores!$F:$F=$C34, Scores!$B:$B=$A34),0),
    IFNA(FILTER(Scores!$G:$G, Scores!$H:$H=$C34, Scores!$B:$B=$A34),0)
  )
)"),35.5)</f>
        <v>35.5</v>
      </c>
      <c r="I34" s="234">
        <f t="shared" si="3"/>
        <v>13.9</v>
      </c>
    </row>
    <row r="35">
      <c r="A35" s="216" t="s">
        <v>17</v>
      </c>
      <c r="B35" s="224" t="s">
        <v>61</v>
      </c>
      <c r="C35" s="147" t="s">
        <v>36</v>
      </c>
      <c r="D35" s="148">
        <f>IF($C35="","",(COUNTIFS(Scores!$J:$J,$C35,Scores!$B:$B,$A35)))</f>
        <v>4</v>
      </c>
      <c r="E35" s="159">
        <f t="shared" si="1"/>
        <v>1</v>
      </c>
      <c r="F35" s="182">
        <f t="shared" si="2"/>
        <v>2</v>
      </c>
      <c r="G35" s="150">
        <f>IFERROR(__xludf.DUMMYFUNCTION("IF($C35="""","""",
  SUM(
    IFNA(FILTER(Scores!$G:$G, Scores!$F:$F=$C35, Scores!$B:$B=$A35),0),
    IFNA(FILTER(Scores!$I:$I, Scores!$H:$H=$C35, Scores!$B:$B=$A35),0)
  )
)"),65.0)</f>
        <v>65</v>
      </c>
      <c r="H35" s="150">
        <f>IFERROR(__xludf.DUMMYFUNCTION("IF($C35="""","""",
  SUM(
    IFNA(FILTER(Scores!$I:$I, Scores!$F:$F=$C35, Scores!$B:$B=$A35),0),
    IFNA(FILTER(Scores!$G:$G, Scores!$H:$H=$C35, Scores!$B:$B=$A35),0)
  )
)"),47.0)</f>
        <v>47</v>
      </c>
      <c r="I35" s="225">
        <f t="shared" si="3"/>
        <v>18</v>
      </c>
    </row>
    <row r="36">
      <c r="A36" s="216" t="s">
        <v>17</v>
      </c>
      <c r="B36" s="235" t="s">
        <v>61</v>
      </c>
      <c r="C36" s="236" t="s">
        <v>33</v>
      </c>
      <c r="D36" s="237">
        <f>IF($C36="","",(COUNTIFS(Scores!$J:$J,$C36,Scores!$B:$B,$A36)))</f>
        <v>2</v>
      </c>
      <c r="E36" s="238">
        <f t="shared" si="1"/>
        <v>3</v>
      </c>
      <c r="F36" s="239">
        <f t="shared" si="2"/>
        <v>5</v>
      </c>
      <c r="G36" s="239">
        <f>IFERROR(__xludf.DUMMYFUNCTION("IF($C36="""","""",
  SUM(
    IFNA(FILTER(Scores!$G:$G, Scores!$F:$F=$C36, Scores!$B:$B=$A36),0),
    IFNA(FILTER(Scores!$I:$I, Scores!$H:$H=$C36, Scores!$B:$B=$A36),0)
  )
)"),44.5)</f>
        <v>44.5</v>
      </c>
      <c r="H36" s="239">
        <f>IFERROR(__xludf.DUMMYFUNCTION("IF($C36="""","""",
  SUM(
    IFNA(FILTER(Scores!$I:$I, Scores!$F:$F=$C36, Scores!$B:$B=$A36),0),
    IFNA(FILTER(Scores!$G:$G, Scores!$H:$H=$C36, Scores!$B:$B=$A36),0)
  )
)"),48.4)</f>
        <v>48.4</v>
      </c>
      <c r="I36" s="240">
        <f t="shared" si="3"/>
        <v>-3.9</v>
      </c>
    </row>
    <row r="37">
      <c r="A37" s="241" t="s">
        <v>27</v>
      </c>
      <c r="B37" s="161" t="s">
        <v>62</v>
      </c>
      <c r="C37" s="147" t="s">
        <v>28</v>
      </c>
      <c r="D37" s="148">
        <f>IF($C37="","",(COUNTIFS(Scores!$J:$J,$C37,Scores!$B:$B,$A37)))</f>
        <v>1</v>
      </c>
      <c r="E37" s="161">
        <f t="shared" si="1"/>
        <v>4</v>
      </c>
      <c r="F37" s="150">
        <f t="shared" si="2"/>
        <v>4</v>
      </c>
      <c r="G37" s="150">
        <f>IFERROR(__xludf.DUMMYFUNCTION("IF($C37="""","""",
  SUM(
    IFNA(FILTER(Scores!$G:$G, Scores!$F:$F=$C37, Scores!$B:$B=$A37),0),
    IFNA(FILTER(Scores!$I:$I, Scores!$H:$H=$C37, Scores!$B:$B=$A37),0)
  )
)"),26.0)</f>
        <v>26</v>
      </c>
      <c r="H37" s="150">
        <f>IFERROR(__xludf.DUMMYFUNCTION("IF($C37="""","""",
  SUM(
    IFNA(FILTER(Scores!$I:$I, Scores!$F:$F=$C37, Scores!$B:$B=$A37),0),
    IFNA(FILTER(Scores!$G:$G, Scores!$H:$H=$C37, Scores!$B:$B=$A37),0)
  )
)"),55.0)</f>
        <v>55</v>
      </c>
      <c r="I37" s="242">
        <f t="shared" si="3"/>
        <v>-29</v>
      </c>
    </row>
    <row r="38">
      <c r="A38" s="241" t="s">
        <v>27</v>
      </c>
      <c r="B38" s="173" t="s">
        <v>62</v>
      </c>
      <c r="C38" s="141" t="s">
        <v>37</v>
      </c>
      <c r="D38" s="142">
        <f>IF($C38="","",(COUNTIFS(Scores!$J:$J,$C38,Scores!$B:$B,$A38)))</f>
        <v>4</v>
      </c>
      <c r="E38" s="159">
        <f t="shared" si="1"/>
        <v>1</v>
      </c>
      <c r="F38" s="160">
        <f t="shared" si="2"/>
        <v>1</v>
      </c>
      <c r="G38" s="144">
        <f>IFERROR(__xludf.DUMMYFUNCTION("IF($C38="""","""",
  SUM(
    IFNA(FILTER(Scores!$G:$G, Scores!$F:$F=$C38, Scores!$B:$B=$A38),0),
    IFNA(FILTER(Scores!$I:$I, Scores!$H:$H=$C38, Scores!$B:$B=$A38),0)
  )
)"),71.0)</f>
        <v>71</v>
      </c>
      <c r="H38" s="144">
        <f>IFERROR(__xludf.DUMMYFUNCTION("IF($C38="""","""",
  SUM(
    IFNA(FILTER(Scores!$I:$I, Scores!$F:$F=$C38, Scores!$B:$B=$A38),0),
    IFNA(FILTER(Scores!$G:$G, Scores!$H:$H=$C38, Scores!$B:$B=$A38),0)
  )
)"),37.0)</f>
        <v>37</v>
      </c>
      <c r="I38" s="243">
        <f t="shared" si="3"/>
        <v>34</v>
      </c>
    </row>
    <row r="39">
      <c r="A39" s="241" t="s">
        <v>27</v>
      </c>
      <c r="B39" s="161" t="s">
        <v>62</v>
      </c>
      <c r="C39" s="147" t="s">
        <v>34</v>
      </c>
      <c r="D39" s="148">
        <f>IF($C39="","",(COUNTIFS(Scores!$J:$J,$C39,Scores!$B:$B,$A39)))</f>
        <v>0</v>
      </c>
      <c r="E39" s="161">
        <f t="shared" si="1"/>
        <v>5</v>
      </c>
      <c r="F39" s="150">
        <f t="shared" si="2"/>
        <v>5</v>
      </c>
      <c r="G39" s="150">
        <f>IFERROR(__xludf.DUMMYFUNCTION("IF($C39="""","""",
  SUM(
    IFNA(FILTER(Scores!$G:$G, Scores!$F:$F=$C39, Scores!$B:$B=$A39),0),
    IFNA(FILTER(Scores!$I:$I, Scores!$H:$H=$C39, Scores!$B:$B=$A39),0)
  )
)"),22.0)</f>
        <v>22</v>
      </c>
      <c r="H39" s="150">
        <f>IFERROR(__xludf.DUMMYFUNCTION("IF($C39="""","""",
  SUM(
    IFNA(FILTER(Scores!$I:$I, Scores!$F:$F=$C39, Scores!$B:$B=$A39),0),
    IFNA(FILTER(Scores!$G:$G, Scores!$H:$H=$C39, Scores!$B:$B=$A39),0)
  )
)"),61.0)</f>
        <v>61</v>
      </c>
      <c r="I39" s="242">
        <f t="shared" si="3"/>
        <v>-39</v>
      </c>
    </row>
    <row r="40">
      <c r="A40" s="241" t="s">
        <v>27</v>
      </c>
      <c r="B40" s="173" t="s">
        <v>62</v>
      </c>
      <c r="C40" s="141" t="s">
        <v>29</v>
      </c>
      <c r="D40" s="142">
        <f>IF($C40="","",(COUNTIFS(Scores!$J:$J,$C40,Scores!$B:$B,$A40)))</f>
        <v>3</v>
      </c>
      <c r="E40" s="143">
        <f t="shared" si="1"/>
        <v>2</v>
      </c>
      <c r="F40" s="182">
        <f t="shared" si="2"/>
        <v>2</v>
      </c>
      <c r="G40" s="144">
        <f>IFERROR(__xludf.DUMMYFUNCTION("IF($C40="""","""",
  SUM(
    IFNA(FILTER(Scores!$G:$G, Scores!$F:$F=$C40, Scores!$B:$B=$A40),0),
    IFNA(FILTER(Scores!$I:$I, Scores!$H:$H=$C40, Scores!$B:$B=$A40),0)
  )
)"),64.0)</f>
        <v>64</v>
      </c>
      <c r="H40" s="144">
        <f>IFERROR(__xludf.DUMMYFUNCTION("IF($C40="""","""",
  SUM(
    IFNA(FILTER(Scores!$I:$I, Scores!$F:$F=$C40, Scores!$B:$B=$A40),0),
    IFNA(FILTER(Scores!$G:$G, Scores!$H:$H=$C40, Scores!$B:$B=$A40),0)
  )
)"),42.0)</f>
        <v>42</v>
      </c>
      <c r="I40" s="243">
        <f t="shared" si="3"/>
        <v>22</v>
      </c>
    </row>
    <row r="41">
      <c r="A41" s="241" t="s">
        <v>27</v>
      </c>
      <c r="B41" s="244" t="s">
        <v>62</v>
      </c>
      <c r="C41" s="245" t="s">
        <v>38</v>
      </c>
      <c r="D41" s="246">
        <f>IF($C41="","",(COUNTIFS(Scores!$J:$J,$C41,Scores!$B:$B,$A41)))</f>
        <v>2</v>
      </c>
      <c r="E41" s="247">
        <f t="shared" si="1"/>
        <v>3</v>
      </c>
      <c r="F41" s="248">
        <f t="shared" si="2"/>
        <v>3</v>
      </c>
      <c r="G41" s="249">
        <f>IFERROR(__xludf.DUMMYFUNCTION("IF($C41="""","""",
  SUM(
    IFNA(FILTER(Scores!$G:$G, Scores!$F:$F=$C41, Scores!$B:$B=$A41),0),
    IFNA(FILTER(Scores!$I:$I, Scores!$H:$H=$C41, Scores!$B:$B=$A41),0)
  )
)"),52.0)</f>
        <v>52</v>
      </c>
      <c r="H41" s="249">
        <f>IFERROR(__xludf.DUMMYFUNCTION("IF($C41="""","""",
  SUM(
    IFNA(FILTER(Scores!$I:$I, Scores!$F:$F=$C41, Scores!$B:$B=$A41),0),
    IFNA(FILTER(Scores!$G:$G, Scores!$H:$H=$C41, Scores!$B:$B=$A41),0)
  )
)"),40.0)</f>
        <v>40</v>
      </c>
      <c r="I41" s="250">
        <f t="shared" si="3"/>
        <v>12</v>
      </c>
    </row>
    <row r="42">
      <c r="A42" s="251"/>
      <c r="B42" s="252"/>
      <c r="C42" s="253"/>
      <c r="D42" s="254" t="str">
        <f>IF($C42="","",(COUNTIFS(Scores!$J:$J,$C42,Scores!$B:$B,$A42)))</f>
        <v/>
      </c>
      <c r="E42" s="255" t="str">
        <f t="shared" si="1"/>
        <v/>
      </c>
      <c r="F42" s="256" t="str">
        <f t="shared" si="2"/>
        <v/>
      </c>
      <c r="G42" s="256" t="str">
        <f>IFERROR(__xludf.DUMMYFUNCTION("IF($C42="""","""",
  SUM(
    IFNA(FILTER(Scores!$G:$G, Scores!$F:$F=$C42, Scores!$B:$B=$A42),0),
    IFNA(FILTER(Scores!$I:$I, Scores!$H:$H=$C42, Scores!$B:$B=$A42),0)
  )
)"),"")</f>
        <v/>
      </c>
      <c r="H42" s="256" t="str">
        <f>IFERROR(__xludf.DUMMYFUNCTION("IF($C42="""","""",
  SUM(
    IFNA(FILTER(Scores!$I:$I, Scores!$F:$F=$C42, Scores!$B:$B=$A42),0),
    IFNA(FILTER(Scores!$G:$G, Scores!$H:$H=$C42, Scores!$B:$B=$A42),0)
  )
)"),"")</f>
        <v/>
      </c>
      <c r="I42" s="256" t="str">
        <f t="shared" si="3"/>
        <v/>
      </c>
    </row>
  </sheetData>
  <mergeCells count="1">
    <mergeCell ref="A1:I1"/>
  </mergeCells>
  <conditionalFormatting sqref="A1:A42">
    <cfRule type="cellIs" dxfId="1" priority="1" stopIfTrue="1" operator="equal">
      <formula>"12u CoEd"</formula>
    </cfRule>
  </conditionalFormatting>
  <conditionalFormatting sqref="A1:A42">
    <cfRule type="cellIs" dxfId="2" priority="2" stopIfTrue="1" operator="equal">
      <formula>"13u CoEd"</formula>
    </cfRule>
  </conditionalFormatting>
  <conditionalFormatting sqref="A1:A42">
    <cfRule type="cellIs" dxfId="3" priority="3" stopIfTrue="1" operator="equal">
      <formula>"14u CoEd"</formula>
    </cfRule>
  </conditionalFormatting>
  <conditionalFormatting sqref="A1:A42">
    <cfRule type="cellIs" dxfId="4" priority="4" stopIfTrue="1" operator="equal">
      <formula>"15u Boys"</formula>
    </cfRule>
  </conditionalFormatting>
  <conditionalFormatting sqref="A1:A42">
    <cfRule type="cellIs" dxfId="5" priority="5" stopIfTrue="1" operator="equal">
      <formula>"16u Boys"</formula>
    </cfRule>
  </conditionalFormatting>
  <conditionalFormatting sqref="A1:A42">
    <cfRule type="cellIs" dxfId="6" priority="6" stopIfTrue="1" operator="equal">
      <formula>"16u Girls"</formula>
    </cfRule>
  </conditionalFormatting>
  <conditionalFormatting sqref="A1:A42">
    <cfRule type="cellIs" dxfId="7" priority="7" stopIfTrue="1" operator="equal">
      <formula>"18u Boys"</formula>
    </cfRule>
  </conditionalFormatting>
  <conditionalFormatting sqref="A1:A42">
    <cfRule type="cellIs" dxfId="8" priority="8" stopIfTrue="1" operator="equal">
      <formula>"18u Girls"</formula>
    </cfRule>
  </conditionalFormatting>
  <conditionalFormatting sqref="A1:A42">
    <cfRule type="cellIs" dxfId="9" priority="9" stopIfTrue="1" operator="equal">
      <formula>"Mens Open"</formula>
    </cfRule>
  </conditionalFormatting>
  <conditionalFormatting sqref="A1:A42">
    <cfRule type="cellIs" dxfId="10" priority="10" stopIfTrue="1" operator="equal">
      <formula>"Womens Open"</formula>
    </cfRule>
  </conditionalFormatting>
  <conditionalFormatting sqref="E3:F41">
    <cfRule type="cellIs" dxfId="16" priority="11" operator="equal">
      <formula>1</formula>
    </cfRule>
  </conditionalFormatting>
  <conditionalFormatting sqref="E3:F41">
    <cfRule type="cellIs" dxfId="17" priority="12" operator="equal">
      <formula>2</formula>
    </cfRule>
  </conditionalFormatting>
  <conditionalFormatting sqref="E3:F41">
    <cfRule type="cellIs" dxfId="18" priority="13" operator="equal">
      <formula>3</formula>
    </cfRule>
  </conditionalFormatting>
  <dataValidations>
    <dataValidation type="custom" allowBlank="1" showDropDown="1" sqref="D3:D41">
      <formula1>AND(ISNUMBER(D3),(NOT(OR(NOT(ISERROR(DATEVALUE(D3))), AND(ISNUMBER(D3), LEFT(CELL("format", D3))="D")))))</formula1>
    </dataValidation>
    <dataValidation allowBlank="1" showDropDown="1" sqref="A3:B41"/>
  </dataValidations>
  <printOptions/>
  <pageMargins bottom="0.75" footer="0.0" header="0.0" left="0.7" right="0.7" top="0.75"/>
  <pageSetup scale="80" orientation="portrait"/>
  <drawing r:id="rId2"/>
  <legacyDrawing r:id="rId3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12.89"/>
    <col customWidth="1" min="2" max="2" width="10.56"/>
    <col customWidth="1" min="3" max="3" width="12.0"/>
    <col customWidth="1" min="4" max="4" width="7.78"/>
    <col customWidth="1" min="5" max="5" width="12.56"/>
    <col customWidth="1" min="6" max="6" width="15.0"/>
  </cols>
  <sheetData>
    <row r="1">
      <c r="A1" s="257" t="s">
        <v>63</v>
      </c>
      <c r="B1" s="257"/>
      <c r="C1" s="257"/>
      <c r="D1" s="257"/>
      <c r="E1" s="257"/>
      <c r="F1" s="258"/>
    </row>
    <row r="2">
      <c r="A2" s="259" t="s">
        <v>64</v>
      </c>
      <c r="B2" s="257"/>
      <c r="C2" s="257"/>
      <c r="D2" s="257"/>
      <c r="E2" s="257"/>
      <c r="F2" s="258"/>
    </row>
    <row r="3">
      <c r="A3" s="258"/>
      <c r="B3" s="258"/>
      <c r="C3" s="258"/>
      <c r="D3" s="258"/>
      <c r="E3" s="258"/>
      <c r="F3" s="258"/>
    </row>
    <row r="4">
      <c r="A4" s="260" t="s">
        <v>44</v>
      </c>
      <c r="B4" s="261" t="s">
        <v>65</v>
      </c>
      <c r="C4" s="261" t="s">
        <v>66</v>
      </c>
      <c r="D4" s="261" t="s">
        <v>67</v>
      </c>
      <c r="E4" s="262" t="s">
        <v>68</v>
      </c>
      <c r="F4" s="263" t="s">
        <v>69</v>
      </c>
    </row>
    <row r="5">
      <c r="A5" s="78" t="s">
        <v>31</v>
      </c>
      <c r="B5" s="264">
        <f>round(SUMIFS(Scores!G:G,Scores!B:B,A5),0)</f>
        <v>214</v>
      </c>
      <c r="C5" s="264">
        <f>round(SUMIFS(Scores!I:I,Scores!B:B,A5),0)</f>
        <v>190</v>
      </c>
      <c r="D5" s="264">
        <f t="shared" ref="D5:D11" si="1">SUM(B5:C5)</f>
        <v>404</v>
      </c>
      <c r="E5" s="264">
        <f>COUNTIFS(Scores!B:B,A5)</f>
        <v>16</v>
      </c>
      <c r="F5" s="265">
        <f t="shared" ref="F5:F11" si="2">D5/E5</f>
        <v>25.25</v>
      </c>
    </row>
    <row r="6">
      <c r="A6" s="78" t="s">
        <v>26</v>
      </c>
      <c r="B6" s="266">
        <f>round(SUMIFS(Scores!G:G,Scores!B:B,A6),0)</f>
        <v>248</v>
      </c>
      <c r="C6" s="266">
        <f>round(SUMIFS(Scores!I:I,Scores!B:B,A6),0)</f>
        <v>120</v>
      </c>
      <c r="D6" s="266">
        <f t="shared" si="1"/>
        <v>368</v>
      </c>
      <c r="E6" s="266">
        <f>COUNTIFS(Scores!B:B,A6)</f>
        <v>16</v>
      </c>
      <c r="F6" s="267">
        <f t="shared" si="2"/>
        <v>23</v>
      </c>
    </row>
    <row r="7">
      <c r="A7" s="78" t="s">
        <v>42</v>
      </c>
      <c r="B7" s="264">
        <f>round(SUMIFS(Scores!G:G,Scores!B:B,A7),0)</f>
        <v>10</v>
      </c>
      <c r="C7" s="264">
        <f>round(SUMIFS(Scores!I:I,Scores!B:B,A7),0)</f>
        <v>8</v>
      </c>
      <c r="D7" s="264">
        <f t="shared" si="1"/>
        <v>18</v>
      </c>
      <c r="E7" s="264">
        <f>COUNTIFS(Scores!B:B,A7)</f>
        <v>1</v>
      </c>
      <c r="F7" s="265">
        <f t="shared" si="2"/>
        <v>18</v>
      </c>
    </row>
    <row r="8">
      <c r="A8" s="78" t="s">
        <v>23</v>
      </c>
      <c r="B8" s="266">
        <f>round(SUMIFS(Scores!G:G,Scores!B:B,A8),0)</f>
        <v>84</v>
      </c>
      <c r="C8" s="266">
        <f>round(SUMIFS(Scores!I:I,Scores!B:B,A8),0)</f>
        <v>101</v>
      </c>
      <c r="D8" s="266">
        <f t="shared" si="1"/>
        <v>185</v>
      </c>
      <c r="E8" s="266">
        <f>COUNTIFS(Scores!B:B,A8)</f>
        <v>10</v>
      </c>
      <c r="F8" s="267">
        <f t="shared" si="2"/>
        <v>18.5</v>
      </c>
    </row>
    <row r="9">
      <c r="A9" s="78" t="s">
        <v>21</v>
      </c>
      <c r="B9" s="264">
        <f>round(SUMIFS(Scores!G:G,Scores!B:B,A9),0)</f>
        <v>160</v>
      </c>
      <c r="C9" s="264">
        <f>round(SUMIFS(Scores!I:I,Scores!B:B,A9),0)</f>
        <v>102</v>
      </c>
      <c r="D9" s="264">
        <f t="shared" si="1"/>
        <v>262</v>
      </c>
      <c r="E9" s="264">
        <f>COUNTIFS(Scores!B:B,A9)</f>
        <v>15</v>
      </c>
      <c r="F9" s="265">
        <f t="shared" si="2"/>
        <v>17.46666667</v>
      </c>
    </row>
    <row r="10">
      <c r="A10" s="78" t="s">
        <v>17</v>
      </c>
      <c r="B10" s="266">
        <f>round(SUMIFS(Scores!G:G,Scores!B:B,A10),0)</f>
        <v>222</v>
      </c>
      <c r="C10" s="266">
        <f>round(SUMIFS(Scores!I:I,Scores!B:B,A10),0)</f>
        <v>160</v>
      </c>
      <c r="D10" s="266">
        <f t="shared" si="1"/>
        <v>382</v>
      </c>
      <c r="E10" s="266">
        <f>COUNTIFS(Scores!B:B,A10)</f>
        <v>16</v>
      </c>
      <c r="F10" s="267">
        <f t="shared" si="2"/>
        <v>23.875</v>
      </c>
    </row>
    <row r="11">
      <c r="A11" s="268" t="s">
        <v>27</v>
      </c>
      <c r="B11" s="264">
        <f>round(SUMIFS(Scores!G:G,Scores!B:B,A11),0)</f>
        <v>113</v>
      </c>
      <c r="C11" s="264">
        <f>round(SUMIFS(Scores!I:I,Scores!B:B,A11),0)</f>
        <v>122</v>
      </c>
      <c r="D11" s="264">
        <f t="shared" si="1"/>
        <v>235</v>
      </c>
      <c r="E11" s="264">
        <f>COUNTIFS(Scores!B:B,A11)</f>
        <v>10</v>
      </c>
      <c r="F11" s="265">
        <f t="shared" si="2"/>
        <v>23.5</v>
      </c>
    </row>
    <row r="12">
      <c r="A12" s="269" t="s">
        <v>67</v>
      </c>
      <c r="B12" s="270">
        <f>sum(Total_Points_by_Division[Dark Pts])</f>
        <v>1051</v>
      </c>
      <c r="C12" s="270">
        <f>sum(Total_Points_by_Division[Light Pts])</f>
        <v>803</v>
      </c>
      <c r="D12" s="270">
        <f>sum(Total_Points_by_Division[Total])</f>
        <v>1854</v>
      </c>
      <c r="E12" s="270">
        <f>SUM(Total_Points_by_Division[No. Games])</f>
        <v>84</v>
      </c>
      <c r="F12" s="271">
        <f>AVERAGE(Total_Points_by_Division[Avg per Game])</f>
        <v>21.3702381</v>
      </c>
    </row>
    <row r="13">
      <c r="A13" s="254"/>
      <c r="B13" s="254"/>
      <c r="C13" s="254"/>
      <c r="D13" s="254"/>
      <c r="E13" s="254"/>
      <c r="F13" s="254"/>
    </row>
    <row r="14">
      <c r="A14" s="260" t="s">
        <v>4</v>
      </c>
      <c r="B14" s="261" t="s">
        <v>65</v>
      </c>
      <c r="C14" s="261" t="s">
        <v>66</v>
      </c>
      <c r="D14" s="261" t="s">
        <v>67</v>
      </c>
      <c r="E14" s="261" t="s">
        <v>68</v>
      </c>
      <c r="F14" s="272" t="s">
        <v>69</v>
      </c>
    </row>
    <row r="15">
      <c r="A15" s="273">
        <v>1.0</v>
      </c>
      <c r="B15" s="274">
        <f>round(sumifs(Scores!G:G,Scores!D:D,A15),0)</f>
        <v>340</v>
      </c>
      <c r="C15" s="264">
        <f>round(sumifs(Scores!I:I,Scores!D:D,A15),0)</f>
        <v>305</v>
      </c>
      <c r="D15" s="264">
        <f t="shared" ref="D15:D17" si="3">SUM(B15:C15)</f>
        <v>645</v>
      </c>
      <c r="E15" s="264">
        <f>COUNTIF(Scores!D:D,A15)</f>
        <v>29</v>
      </c>
      <c r="F15" s="275">
        <f t="shared" ref="F15:F17" si="4">D15/E15</f>
        <v>22.24137931</v>
      </c>
    </row>
    <row r="16">
      <c r="A16" s="276">
        <v>2.0</v>
      </c>
      <c r="B16" s="277">
        <f>round(sumifs(Scores!G:G,Scores!D:D,A16),0)</f>
        <v>350</v>
      </c>
      <c r="C16" s="266">
        <f>round(sumifs(Scores!I:I,Scores!D:D,A16),0)</f>
        <v>227</v>
      </c>
      <c r="D16" s="266">
        <f t="shared" si="3"/>
        <v>577</v>
      </c>
      <c r="E16" s="266">
        <f>COUNTIF(Scores!D:D,A16)</f>
        <v>29</v>
      </c>
      <c r="F16" s="278">
        <f t="shared" si="4"/>
        <v>19.89655172</v>
      </c>
    </row>
    <row r="17">
      <c r="A17" s="273">
        <v>3.0</v>
      </c>
      <c r="B17" s="274">
        <f>round(sumifs(Scores!G:G,Scores!D:D,A17),0)</f>
        <v>361</v>
      </c>
      <c r="C17" s="264">
        <f>round(sumifs(Scores!I:I,Scores!D:D,A17),0)</f>
        <v>271</v>
      </c>
      <c r="D17" s="264">
        <f t="shared" si="3"/>
        <v>632</v>
      </c>
      <c r="E17" s="264">
        <f>COUNTIF(Scores!D:D,A17)</f>
        <v>27</v>
      </c>
      <c r="F17" s="275">
        <f t="shared" si="4"/>
        <v>23.40740741</v>
      </c>
    </row>
    <row r="18">
      <c r="A18" s="269" t="s">
        <v>67</v>
      </c>
      <c r="B18" s="270">
        <f>SUM(Points_per_Pool[Dark Pts])</f>
        <v>1051</v>
      </c>
      <c r="C18" s="270">
        <f>SUM(Points_per_Pool[Light Pts])</f>
        <v>803</v>
      </c>
      <c r="D18" s="270">
        <f>SUM(Points_per_Pool[Total])</f>
        <v>1854</v>
      </c>
      <c r="E18" s="270">
        <f>SUM(Points_per_Pool[No. Games])</f>
        <v>85</v>
      </c>
      <c r="F18" s="279">
        <f>AVERAGE(Points_per_Pool[Avg per Game])</f>
        <v>21.84844615</v>
      </c>
    </row>
    <row r="19">
      <c r="A19" s="254"/>
      <c r="B19" s="254"/>
      <c r="C19" s="254"/>
      <c r="D19" s="254"/>
      <c r="E19" s="254"/>
      <c r="F19" s="254"/>
    </row>
    <row r="20">
      <c r="A20" s="280" t="s">
        <v>70</v>
      </c>
      <c r="B20" s="261" t="s">
        <v>65</v>
      </c>
      <c r="C20" s="261" t="s">
        <v>66</v>
      </c>
      <c r="D20" s="261" t="s">
        <v>67</v>
      </c>
      <c r="E20" s="261" t="s">
        <v>68</v>
      </c>
      <c r="F20" s="272" t="s">
        <v>69</v>
      </c>
    </row>
    <row r="21">
      <c r="A21" s="281" t="s">
        <v>36</v>
      </c>
      <c r="B21" s="274">
        <f>round(SUMIFS(Scores!G:G,Scores!F:F,A21),0)</f>
        <v>88</v>
      </c>
      <c r="C21" s="264">
        <f>round(sumifs(Scores!I:I,Scores!H:H,A21),0)</f>
        <v>59</v>
      </c>
      <c r="D21" s="264">
        <f t="shared" ref="D21:D34" si="5">SUM(B21:C21)</f>
        <v>147</v>
      </c>
      <c r="E21" s="282">
        <f>(countifs(Scores!F:F,A21)+(countifs(Scores!H:H,A21)))</f>
        <v>9</v>
      </c>
      <c r="F21" s="275">
        <f>D21/(countifs(Scores!F:F,A21)+(COUNTIFS(Scores!H:H,A21)))</f>
        <v>16.33333333</v>
      </c>
    </row>
    <row r="22">
      <c r="A22" s="283" t="s">
        <v>30</v>
      </c>
      <c r="B22" s="277">
        <f>round(SUMIFS(Scores!G:G,Scores!F:F,A22),0)</f>
        <v>8</v>
      </c>
      <c r="C22" s="266">
        <f>round(sumifs(Scores!I:I,Scores!H:H,A22),0)</f>
        <v>24</v>
      </c>
      <c r="D22" s="266">
        <f t="shared" si="5"/>
        <v>32</v>
      </c>
      <c r="E22" s="284">
        <f>(countifs(Scores!F:F,A22)+(countifs(Scores!H:H,A22)))</f>
        <v>10</v>
      </c>
      <c r="F22" s="278">
        <f>D22/(countifs(Scores!F:F,A22)+(COUNTIFS(Scores!H:H,A22)))</f>
        <v>3.2</v>
      </c>
    </row>
    <row r="23">
      <c r="A23" s="281" t="s">
        <v>35</v>
      </c>
      <c r="B23" s="274">
        <f>round(SUMIFS(Scores!G:G,Scores!F:F,A23),0)</f>
        <v>97</v>
      </c>
      <c r="C23" s="264">
        <f>round(sumifs(Scores!I:I,Scores!H:H,A23),0)</f>
        <v>68</v>
      </c>
      <c r="D23" s="264">
        <f t="shared" si="5"/>
        <v>165</v>
      </c>
      <c r="E23" s="282">
        <f>(countifs(Scores!F:F,A23)+(countifs(Scores!H:H,A23)))</f>
        <v>14</v>
      </c>
      <c r="F23" s="275">
        <f>D23/(countifs(Scores!F:F,A23)+(COUNTIFS(Scores!H:H,A23)))</f>
        <v>11.78571429</v>
      </c>
    </row>
    <row r="24">
      <c r="A24" s="283" t="s">
        <v>33</v>
      </c>
      <c r="B24" s="277">
        <f>round(SUMIFS(Scores!G:G,Scores!F:F,A24),0)</f>
        <v>49</v>
      </c>
      <c r="C24" s="266">
        <f>round(sumifs(Scores!I:I,Scores!H:H,A24),0)</f>
        <v>159</v>
      </c>
      <c r="D24" s="266">
        <f t="shared" si="5"/>
        <v>208</v>
      </c>
      <c r="E24" s="284">
        <f>(countifs(Scores!F:F,A24)+(countifs(Scores!H:H,A24)))</f>
        <v>17</v>
      </c>
      <c r="F24" s="278">
        <f>D24/(countifs(Scores!F:F,A24)+(COUNTIFS(Scores!H:H,A24)))</f>
        <v>12.23529412</v>
      </c>
    </row>
    <row r="25">
      <c r="A25" s="281" t="s">
        <v>25</v>
      </c>
      <c r="B25" s="274">
        <f>round(SUMIFS(Scores!G:G,Scores!F:F,A25),0)</f>
        <v>175</v>
      </c>
      <c r="C25" s="264">
        <f>round(sumifs(Scores!I:I,Scores!H:H,A25),0)</f>
        <v>117</v>
      </c>
      <c r="D25" s="264">
        <f t="shared" si="5"/>
        <v>292</v>
      </c>
      <c r="E25" s="282">
        <f>(countifs(Scores!F:F,A25)+(countifs(Scores!H:H,A25)))</f>
        <v>24</v>
      </c>
      <c r="F25" s="275">
        <f>D25/(countifs(Scores!F:F,A25)+(COUNTIFS(Scores!H:H,A25)))</f>
        <v>12.16666667</v>
      </c>
    </row>
    <row r="26">
      <c r="A26" s="283" t="s">
        <v>38</v>
      </c>
      <c r="B26" s="277">
        <f>round(SUMIFS(Scores!G:G,Scores!F:F,A26),0)</f>
        <v>16</v>
      </c>
      <c r="C26" s="266">
        <f>round(sumifs(Scores!I:I,Scores!H:H,A26),0)</f>
        <v>36</v>
      </c>
      <c r="D26" s="266">
        <f t="shared" si="5"/>
        <v>52</v>
      </c>
      <c r="E26" s="284">
        <f>(countifs(Scores!F:F,A26)+(countifs(Scores!H:H,A26)))</f>
        <v>4</v>
      </c>
      <c r="F26" s="278">
        <f>D26/(countifs(Scores!F:F,A26)+(COUNTIFS(Scores!H:H,A26)))</f>
        <v>13</v>
      </c>
    </row>
    <row r="27">
      <c r="A27" s="281" t="s">
        <v>20</v>
      </c>
      <c r="B27" s="274">
        <f>round(SUMIFS(Scores!G:G,Scores!F:F,A27),0)</f>
        <v>45</v>
      </c>
      <c r="C27" s="264">
        <f>round(sumifs(Scores!I:I,Scores!H:H,A27),0)</f>
        <v>102</v>
      </c>
      <c r="D27" s="264">
        <f t="shared" si="5"/>
        <v>147</v>
      </c>
      <c r="E27" s="282">
        <f>(countifs(Scores!F:F,A27)+(countifs(Scores!H:H,A27)))</f>
        <v>19</v>
      </c>
      <c r="F27" s="275">
        <f>D27/(countifs(Scores!F:F,A27)+(COUNTIFS(Scores!H:H,A27)))</f>
        <v>7.736842105</v>
      </c>
    </row>
    <row r="28">
      <c r="A28" s="283" t="s">
        <v>34</v>
      </c>
      <c r="B28" s="277">
        <f>round(SUMIFS(Scores!G:G,Scores!F:F,A28),0)</f>
        <v>13</v>
      </c>
      <c r="C28" s="266">
        <f>round(sumifs(Scores!I:I,Scores!H:H,A28),0)</f>
        <v>19</v>
      </c>
      <c r="D28" s="266">
        <f t="shared" si="5"/>
        <v>32</v>
      </c>
      <c r="E28" s="284">
        <f>(countifs(Scores!F:F,A28)+(countifs(Scores!H:H,A28)))</f>
        <v>8</v>
      </c>
      <c r="F28" s="278">
        <f>D28/(countifs(Scores!F:F,A28)+(COUNTIFS(Scores!H:H,A28)))</f>
        <v>4</v>
      </c>
    </row>
    <row r="29">
      <c r="A29" s="281" t="s">
        <v>19</v>
      </c>
      <c r="B29" s="274">
        <f>round(SUMIFS(Scores!G:G,Scores!F:F,A29),0)</f>
        <v>96</v>
      </c>
      <c r="C29" s="264">
        <f>round(sumifs(Scores!I:I,Scores!H:H,A29),0)</f>
        <v>72</v>
      </c>
      <c r="D29" s="264">
        <f t="shared" si="5"/>
        <v>168</v>
      </c>
      <c r="E29" s="282">
        <f>(countifs(Scores!F:F,A29)+(countifs(Scores!H:H,A29)))</f>
        <v>14</v>
      </c>
      <c r="F29" s="275">
        <f>D29/(countifs(Scores!F:F,A29)+(COUNTIFS(Scores!H:H,A29)))</f>
        <v>12</v>
      </c>
    </row>
    <row r="30">
      <c r="A30" s="283" t="s">
        <v>24</v>
      </c>
      <c r="B30" s="277">
        <f>round(SUMIFS(Scores!G:G,Scores!F:F,A30),0)</f>
        <v>112</v>
      </c>
      <c r="C30" s="266">
        <f>round(sumifs(Scores!I:I,Scores!H:H,A30),0)</f>
        <v>38</v>
      </c>
      <c r="D30" s="266">
        <f t="shared" si="5"/>
        <v>150</v>
      </c>
      <c r="E30" s="284">
        <f>(countifs(Scores!F:F,A30)+(countifs(Scores!H:H,A30)))</f>
        <v>13</v>
      </c>
      <c r="F30" s="278">
        <f>D30/(countifs(Scores!F:F,A30)+(COUNTIFS(Scores!H:H,A30)))</f>
        <v>11.53846154</v>
      </c>
    </row>
    <row r="31">
      <c r="A31" s="281" t="s">
        <v>37</v>
      </c>
      <c r="B31" s="274">
        <f>round(SUMIFS(Scores!G:G,Scores!F:F,A31),0)</f>
        <v>50</v>
      </c>
      <c r="C31" s="264">
        <f>round(sumifs(Scores!I:I,Scores!H:H,A31),0)</f>
        <v>21</v>
      </c>
      <c r="D31" s="264">
        <f t="shared" si="5"/>
        <v>71</v>
      </c>
      <c r="E31" s="282">
        <f>(countifs(Scores!F:F,A31)+(countifs(Scores!H:H,A31)))</f>
        <v>4</v>
      </c>
      <c r="F31" s="275">
        <f>D31/(countifs(Scores!F:F,A31)+(COUNTIFS(Scores!H:H,A31)))</f>
        <v>17.75</v>
      </c>
    </row>
    <row r="32">
      <c r="A32" s="283" t="s">
        <v>22</v>
      </c>
      <c r="B32" s="277">
        <f>round(SUMIFS(Scores!G:G,Scores!F:F,A32),0)</f>
        <v>259</v>
      </c>
      <c r="C32" s="266">
        <f>round(sumifs(Scores!I:I,Scores!H:H,A32),0)</f>
        <v>41</v>
      </c>
      <c r="D32" s="266">
        <f t="shared" si="5"/>
        <v>300</v>
      </c>
      <c r="E32" s="284">
        <f>(countifs(Scores!F:F,A32)+(countifs(Scores!H:H,A32)))</f>
        <v>24</v>
      </c>
      <c r="F32" s="278">
        <f>D32/(countifs(Scores!F:F,A32)+(COUNTIFS(Scores!H:H,A32)))</f>
        <v>12.5</v>
      </c>
    </row>
    <row r="33">
      <c r="A33" s="281" t="s">
        <v>28</v>
      </c>
      <c r="B33" s="274">
        <f>round(SUMIFS(Scores!G:G,Scores!F:F,A33),0)</f>
        <v>26</v>
      </c>
      <c r="C33" s="264">
        <f>round(sumifs(Scores!I:I,Scores!H:H,A33),0)</f>
        <v>0</v>
      </c>
      <c r="D33" s="264">
        <f t="shared" si="5"/>
        <v>26</v>
      </c>
      <c r="E33" s="282">
        <f>(countifs(Scores!F:F,A33)+(countifs(Scores!H:H,A33)))</f>
        <v>4</v>
      </c>
      <c r="F33" s="275">
        <f>D33/(countifs(Scores!F:F,A33)+(COUNTIFS(Scores!H:H,A33)))</f>
        <v>6.5</v>
      </c>
    </row>
    <row r="34">
      <c r="A34" s="283" t="s">
        <v>29</v>
      </c>
      <c r="B34" s="277">
        <f>round(SUMIFS(Scores!G:G,Scores!F:F,A34),0)</f>
        <v>17</v>
      </c>
      <c r="C34" s="266">
        <f>round(sumifs(Scores!I:I,Scores!H:H,A34),0)</f>
        <v>47</v>
      </c>
      <c r="D34" s="266">
        <f t="shared" si="5"/>
        <v>64</v>
      </c>
      <c r="E34" s="284">
        <f>(countifs(Scores!F:F,A34)+(countifs(Scores!H:H,A34)))</f>
        <v>4</v>
      </c>
      <c r="F34" s="278">
        <f>D34/(countifs(Scores!F:F,A34)+(COUNTIFS(Scores!H:H,A34)))</f>
        <v>16</v>
      </c>
    </row>
    <row r="35">
      <c r="A35" s="285" t="s">
        <v>67</v>
      </c>
      <c r="B35" s="286">
        <f>SUM(Club_Stats[Dark Pts])</f>
        <v>1051</v>
      </c>
      <c r="C35" s="286">
        <f>SUM(Club_Stats[Light Pts])</f>
        <v>803</v>
      </c>
      <c r="D35" s="286">
        <f>SUM(Club_Stats[Total])</f>
        <v>1854</v>
      </c>
      <c r="E35" s="287">
        <f>SUM(Club_Stats[No. Games])</f>
        <v>168</v>
      </c>
      <c r="F35" s="288">
        <f>AVERAGE(Club_Stats[Avg per Game])</f>
        <v>11.19616515</v>
      </c>
    </row>
  </sheetData>
  <conditionalFormatting sqref="A1:A35">
    <cfRule type="cellIs" dxfId="1" priority="1" stopIfTrue="1" operator="equal">
      <formula>"12u CoEd"</formula>
    </cfRule>
  </conditionalFormatting>
  <conditionalFormatting sqref="A1:A35">
    <cfRule type="cellIs" dxfId="2" priority="2" stopIfTrue="1" operator="equal">
      <formula>"13u CoEd"</formula>
    </cfRule>
  </conditionalFormatting>
  <conditionalFormatting sqref="A1:A35">
    <cfRule type="cellIs" dxfId="3" priority="3" stopIfTrue="1" operator="equal">
      <formula>"14u CoEd"</formula>
    </cfRule>
  </conditionalFormatting>
  <conditionalFormatting sqref="A1:A35">
    <cfRule type="cellIs" dxfId="4" priority="4" stopIfTrue="1" operator="equal">
      <formula>"15u Boys"</formula>
    </cfRule>
  </conditionalFormatting>
  <conditionalFormatting sqref="A1:A35">
    <cfRule type="cellIs" dxfId="5" priority="5" stopIfTrue="1" operator="equal">
      <formula>"16u Boys"</formula>
    </cfRule>
  </conditionalFormatting>
  <conditionalFormatting sqref="A1:A35">
    <cfRule type="cellIs" dxfId="6" priority="6" stopIfTrue="1" operator="equal">
      <formula>"16u Girls"</formula>
    </cfRule>
  </conditionalFormatting>
  <conditionalFormatting sqref="A1:A35">
    <cfRule type="cellIs" dxfId="7" priority="7" stopIfTrue="1" operator="equal">
      <formula>"18u Boys"</formula>
    </cfRule>
  </conditionalFormatting>
  <conditionalFormatting sqref="A1:A35">
    <cfRule type="cellIs" dxfId="8" priority="8" stopIfTrue="1" operator="equal">
      <formula>"18u Girls"</formula>
    </cfRule>
  </conditionalFormatting>
  <conditionalFormatting sqref="A1:A35">
    <cfRule type="cellIs" dxfId="9" priority="9" stopIfTrue="1" operator="equal">
      <formula>"Mens Open"</formula>
    </cfRule>
  </conditionalFormatting>
  <conditionalFormatting sqref="A1:A35">
    <cfRule type="cellIs" dxfId="10" priority="10" stopIfTrue="1" operator="equal">
      <formula>"Womens Open"</formula>
    </cfRule>
  </conditionalFormatting>
  <printOptions horizontalCentered="1"/>
  <pageMargins bottom="0.75" footer="0.0" header="0.0" left="0.25" right="0.25" top="0.75"/>
  <pageSetup orientation="portrait"/>
  <drawing r:id="rId1"/>
  <tableParts count="3">
    <tablePart r:id="rId5"/>
    <tablePart r:id="rId6"/>
    <tablePart r:id="rId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pageSetUpPr/>
  </sheetPr>
  <sheetViews>
    <sheetView workbookViewId="0"/>
  </sheetViews>
  <sheetFormatPr customHeight="1" defaultColWidth="11.22" defaultRowHeight="15.0"/>
  <cols>
    <col customWidth="1" min="1" max="1" width="5.78"/>
    <col customWidth="1" min="2" max="2" width="9.78"/>
    <col customWidth="1" min="3" max="3" width="18.89"/>
    <col customWidth="1" min="4" max="4" width="7.22"/>
    <col customWidth="1" min="5" max="5" width="17.89"/>
    <col customWidth="1" min="6" max="6" width="2.67"/>
    <col customWidth="1" min="7" max="7" width="6.11"/>
    <col customWidth="1" min="8" max="8" width="9.78"/>
    <col customWidth="1" min="9" max="9" width="17.33"/>
    <col customWidth="1" min="10" max="10" width="7.22"/>
    <col customWidth="1" min="11" max="11" width="18.44"/>
  </cols>
  <sheetData>
    <row r="1" ht="15.75" customHeight="1">
      <c r="A1" s="289"/>
      <c r="B1" s="290"/>
      <c r="C1" s="290"/>
      <c r="D1" s="290"/>
      <c r="E1" s="290"/>
      <c r="F1" s="290"/>
      <c r="G1" s="290"/>
      <c r="H1" s="290"/>
      <c r="I1" s="290"/>
      <c r="J1" s="290"/>
      <c r="K1" s="291"/>
    </row>
    <row r="2" ht="15.75" customHeight="1">
      <c r="A2" s="291"/>
      <c r="B2" s="290"/>
      <c r="C2" s="290"/>
      <c r="D2" s="290"/>
      <c r="E2" s="290"/>
      <c r="F2" s="290"/>
      <c r="G2" s="290"/>
      <c r="H2" s="290"/>
      <c r="I2" s="290"/>
      <c r="J2" s="290"/>
      <c r="K2" s="291"/>
    </row>
    <row r="3" ht="15.75" customHeight="1">
      <c r="A3" s="291"/>
      <c r="B3" s="290"/>
      <c r="C3" s="290"/>
      <c r="D3" s="290"/>
      <c r="E3" s="290"/>
      <c r="F3" s="290"/>
      <c r="G3" s="290"/>
      <c r="H3" s="290"/>
      <c r="I3" s="290"/>
      <c r="J3" s="290"/>
      <c r="K3" s="291"/>
    </row>
    <row r="4" ht="15.75" customHeight="1">
      <c r="A4" s="291"/>
      <c r="B4" s="290"/>
      <c r="C4" s="290"/>
      <c r="D4" s="290"/>
      <c r="E4" s="290"/>
      <c r="F4" s="290"/>
      <c r="G4" s="290"/>
      <c r="H4" s="290"/>
      <c r="I4" s="290"/>
      <c r="J4" s="290"/>
      <c r="K4" s="291"/>
    </row>
    <row r="5" ht="15.75" customHeight="1">
      <c r="A5" s="291"/>
      <c r="B5" s="290"/>
      <c r="C5" s="290"/>
      <c r="D5" s="290"/>
      <c r="E5" s="290"/>
      <c r="F5" s="290"/>
      <c r="G5" s="290"/>
      <c r="H5" s="290"/>
      <c r="I5" s="290"/>
      <c r="J5" s="290"/>
      <c r="K5" s="291"/>
    </row>
    <row r="6">
      <c r="A6" s="292">
        <v>45933.0</v>
      </c>
      <c r="K6" s="293"/>
    </row>
    <row r="7">
      <c r="A7" s="294"/>
      <c r="B7" s="294"/>
      <c r="C7" s="294"/>
      <c r="D7" s="294"/>
      <c r="E7" s="294"/>
      <c r="F7" s="294"/>
      <c r="G7" s="294"/>
      <c r="H7" s="294"/>
      <c r="I7" s="294"/>
      <c r="J7" s="294"/>
      <c r="K7" s="295"/>
    </row>
    <row r="8">
      <c r="A8" s="296" t="s">
        <v>71</v>
      </c>
      <c r="B8" s="297"/>
      <c r="C8" s="297"/>
      <c r="D8" s="297"/>
      <c r="E8" s="298"/>
      <c r="F8" s="299"/>
      <c r="G8" s="296" t="s">
        <v>72</v>
      </c>
      <c r="H8" s="297"/>
      <c r="I8" s="297"/>
      <c r="J8" s="297"/>
      <c r="K8" s="298"/>
    </row>
    <row r="9">
      <c r="A9" s="300" t="s">
        <v>3</v>
      </c>
      <c r="B9" s="301" t="s">
        <v>5</v>
      </c>
      <c r="C9" s="301" t="s">
        <v>73</v>
      </c>
      <c r="D9" s="301" t="s">
        <v>6</v>
      </c>
      <c r="E9" s="302" t="s">
        <v>74</v>
      </c>
      <c r="F9" s="299"/>
      <c r="G9" s="300" t="s">
        <v>3</v>
      </c>
      <c r="H9" s="301" t="s">
        <v>5</v>
      </c>
      <c r="I9" s="301" t="s">
        <v>73</v>
      </c>
      <c r="J9" s="301" t="s">
        <v>6</v>
      </c>
      <c r="K9" s="302" t="s">
        <v>74</v>
      </c>
    </row>
    <row r="10">
      <c r="A10" s="303">
        <v>1.0</v>
      </c>
      <c r="B10" s="304" t="str">
        <f t="array" ref="B10">XLOOKUP(A10,Scores!A:A,Scores!B:B)</f>
        <v>18u Boys</v>
      </c>
      <c r="C10" s="305" t="str">
        <f t="array" ref="C10">xlookup(A10,Scores!$A:$A,Scores!F:F)</f>
        <v>Seminole</v>
      </c>
      <c r="D10" s="306">
        <f t="array" ref="D10">xlookup(A10,Scores!$A:$A,Scores!E:E)</f>
        <v>0.6666666667</v>
      </c>
      <c r="E10" s="307" t="str">
        <f t="array" ref="E10">xlookup(A10,Scores!$A:$A,Scores!H:H)</f>
        <v>Patriots</v>
      </c>
      <c r="F10" s="308"/>
      <c r="G10" s="309">
        <v>2.0</v>
      </c>
      <c r="H10" s="304" t="str">
        <f t="array" ref="H10">xlookup(G10,Scores!A:A,Scores!B:B)</f>
        <v>18u Girls</v>
      </c>
      <c r="I10" s="305" t="str">
        <f t="array" ref="I10">xlookup(G10,Scores!$A:$A,Scores!F:F)</f>
        <v>Patriots</v>
      </c>
      <c r="J10" s="306">
        <f t="array" ref="J10">xlookup(G10,Scores!$A:$A,Scores!E:E)</f>
        <v>0.6666666667</v>
      </c>
      <c r="K10" s="307" t="str">
        <f t="array" ref="K10">xlookup(G10,Scores!$A:$A,Scores!H:H)</f>
        <v>Team Orlando</v>
      </c>
    </row>
    <row r="11">
      <c r="A11" s="303">
        <v>3.0</v>
      </c>
      <c r="B11" s="304" t="str">
        <f t="array" ref="B11">XLOOKUP(A11,Scores!A:A,Scores!B:B)</f>
        <v>16u Boys</v>
      </c>
      <c r="C11" s="305" t="str">
        <f t="array" ref="C11">xlookup(A11,Scores!A:A,Scores!F:F)</f>
        <v>Team Orlando</v>
      </c>
      <c r="D11" s="306">
        <f t="array" ref="D11">xlookup(A11,Scores!$A:$A,Scores!E:E)</f>
        <v>0.7048611111</v>
      </c>
      <c r="E11" s="307" t="str">
        <f t="array" ref="E11">xlookup(A11,Scores!A:A,Scores!H:H)</f>
        <v>SJ Cariba</v>
      </c>
      <c r="F11" s="308"/>
      <c r="G11" s="303">
        <v>4.0</v>
      </c>
      <c r="H11" s="304" t="str">
        <f t="array" ref="H11">xlookup(G11,Scores!A:A,Scores!B:B)</f>
        <v>18u Girls</v>
      </c>
      <c r="I11" s="305" t="str">
        <f t="array" ref="I11">xlookup(G11,Scores!$A:$A,Scores!F:F)</f>
        <v>Orl. Thunder</v>
      </c>
      <c r="J11" s="306">
        <f t="array" ref="J11">xlookup(G11,Scores!$A:$A,Scores!E:E)</f>
        <v>0.7048611111</v>
      </c>
      <c r="K11" s="307" t="str">
        <f t="array" ref="K11">xlookup(G11,Scores!$A:$A,Scores!H:H)</f>
        <v>Seminole</v>
      </c>
    </row>
    <row r="12">
      <c r="A12" s="309">
        <v>5.0</v>
      </c>
      <c r="B12" s="304" t="str">
        <f t="array" ref="B12">XLOOKUP(A12,Scores!A:A,Scores!B:B)</f>
        <v>18u Boys</v>
      </c>
      <c r="C12" s="305" t="str">
        <f t="array" ref="C12">xlookup(A12,Scores!A:A,Scores!F:F)</f>
        <v>Team Orlando</v>
      </c>
      <c r="D12" s="306">
        <f t="array" ref="D12">xlookup(A12,Scores!$A:$A,Scores!E:E)</f>
        <v>0.7430555556</v>
      </c>
      <c r="E12" s="307" t="str">
        <f t="array" ref="E12">xlookup(A12,Scores!A:A,Scores!H:H)</f>
        <v>Patriots</v>
      </c>
      <c r="F12" s="308"/>
      <c r="G12" s="309">
        <v>6.0</v>
      </c>
      <c r="H12" s="304" t="str">
        <f t="array" ref="H12">xlookup(G12,Scores!A:A,Scores!B:B)</f>
        <v>14u CoEd</v>
      </c>
      <c r="I12" s="305" t="str">
        <f t="array" ref="I12">xlookup(G12,Scores!$A:$A,Scores!F:F)</f>
        <v>Team Orlando</v>
      </c>
      <c r="J12" s="306">
        <f t="array" ref="J12">xlookup(G12,Scores!$A:$A,Scores!E:E)</f>
        <v>0.7430555556</v>
      </c>
      <c r="K12" s="307" t="str">
        <f t="array" ref="K12">xlookup(G12,Scores!$A:$A,Scores!H:H)</f>
        <v>Patriots</v>
      </c>
    </row>
    <row r="13">
      <c r="A13" s="309">
        <v>8.0</v>
      </c>
      <c r="B13" s="304" t="str">
        <f t="array" ref="B13">XLOOKUP(A13,Scores!A:A,Scores!B:B)</f>
        <v>Mens Open</v>
      </c>
      <c r="C13" s="305" t="str">
        <f t="array" ref="C13">xlookup(A13,Scores!A:A,Scores!F:F)</f>
        <v>TO Black</v>
      </c>
      <c r="D13" s="306">
        <f t="array" ref="D13">xlookup(A13,Scores!$A:$A,Scores!E:E)</f>
        <v>0.78125</v>
      </c>
      <c r="E13" s="307" t="str">
        <f t="array" ref="E13">xlookup(A13,Scores!A:A,Scores!H:H)</f>
        <v>TO Blue</v>
      </c>
      <c r="F13" s="308"/>
      <c r="G13" s="309">
        <v>9.0</v>
      </c>
      <c r="H13" s="304" t="str">
        <f t="array" ref="H13">xlookup(G13,Scores!A:A,Scores!B:B)</f>
        <v>18u Girls</v>
      </c>
      <c r="I13" s="305" t="str">
        <f t="array" ref="I13">xlookup(G13,Scores!$A:$A,Scores!F:F)</f>
        <v>Patriots</v>
      </c>
      <c r="J13" s="306">
        <f t="array" ref="J13">xlookup(G13,Scores!$A:$A,Scores!E:E)</f>
        <v>0.78125</v>
      </c>
      <c r="K13" s="307" t="str">
        <f t="array" ref="K13">xlookup(G13,Scores!$A:$A,Scores!H:H)</f>
        <v>Cayman Islands</v>
      </c>
    </row>
    <row r="14">
      <c r="A14" s="310">
        <v>11.0</v>
      </c>
      <c r="B14" s="311" t="str">
        <f t="array" ref="B14">XLOOKUP(A14,Scores!A:A,Scores!B:B)</f>
        <v>18u Boys</v>
      </c>
      <c r="C14" s="312" t="str">
        <f t="array" ref="C14">xlookup(A14,Scores!A:A,Scores!F:F)</f>
        <v>Seminole</v>
      </c>
      <c r="D14" s="313">
        <f t="array" ref="D14">xlookup(A14,Scores!$A:$A,Scores!E:E)</f>
        <v>0.8159722222</v>
      </c>
      <c r="E14" s="314" t="str">
        <f t="array" ref="E14">xlookup(A14,Scores!A:A,Scores!H:H)</f>
        <v>Cayman Islands</v>
      </c>
      <c r="F14" s="308"/>
      <c r="G14" s="310">
        <v>12.0</v>
      </c>
      <c r="H14" s="311" t="str">
        <f t="array" ref="H14">xlookup(G14,Scores!A:A,Scores!B:B)</f>
        <v>18u Girls</v>
      </c>
      <c r="I14" s="312" t="str">
        <f t="array" ref="I14">xlookup(G14,Scores!$A:$A,Scores!F:F)</f>
        <v>Team Orlando</v>
      </c>
      <c r="J14" s="313">
        <f t="array" ref="J14">xlookup(G14,Scores!$A:$A,Scores!E:E)</f>
        <v>0.8159722222</v>
      </c>
      <c r="K14" s="314" t="str">
        <f t="array" ref="K14">xlookup(G14,Scores!$A:$A,Scores!H:H)</f>
        <v>Seminole</v>
      </c>
    </row>
    <row r="15">
      <c r="A15" s="299"/>
      <c r="B15" s="299"/>
      <c r="C15" s="299"/>
      <c r="D15" s="299"/>
      <c r="E15" s="299"/>
      <c r="F15" s="299"/>
      <c r="G15" s="299"/>
      <c r="H15" s="299"/>
      <c r="I15" s="299"/>
      <c r="J15" s="299"/>
      <c r="K15" s="299"/>
    </row>
    <row r="16">
      <c r="A16" s="296" t="s">
        <v>75</v>
      </c>
      <c r="B16" s="297"/>
      <c r="C16" s="297"/>
      <c r="D16" s="297"/>
      <c r="E16" s="298"/>
      <c r="F16" s="299"/>
      <c r="G16" s="299"/>
      <c r="H16" s="299"/>
      <c r="I16" s="299"/>
      <c r="J16" s="299"/>
      <c r="K16" s="299"/>
    </row>
    <row r="17">
      <c r="A17" s="300" t="s">
        <v>3</v>
      </c>
      <c r="B17" s="301" t="s">
        <v>5</v>
      </c>
      <c r="C17" s="301" t="s">
        <v>73</v>
      </c>
      <c r="D17" s="301" t="s">
        <v>6</v>
      </c>
      <c r="E17" s="302" t="s">
        <v>74</v>
      </c>
      <c r="F17" s="299"/>
      <c r="G17" s="299"/>
      <c r="H17" s="299"/>
      <c r="I17" s="299"/>
      <c r="J17" s="299"/>
      <c r="K17" s="299"/>
    </row>
    <row r="18">
      <c r="A18" s="303">
        <v>7.0</v>
      </c>
      <c r="B18" s="304" t="str">
        <f t="array" ref="B18">XLOOKUP(A18,Scores!A:A,Scores!B:B)</f>
        <v>14u CoEd</v>
      </c>
      <c r="C18" s="305" t="str">
        <f t="array" ref="C18">xlookup(A18,Scores!A:A,Scores!F:F)</f>
        <v>SJ Cariba</v>
      </c>
      <c r="D18" s="306">
        <f t="array" ref="D18">xlookup(A18,Scores!$A:$A,Scores!E:E)</f>
        <v>0.7430555556</v>
      </c>
      <c r="E18" s="307" t="str">
        <f t="array" ref="E18">xlookup(A18,Scores!A:A,Scores!H:H)</f>
        <v>Seminole</v>
      </c>
      <c r="F18" s="299"/>
      <c r="G18" s="299"/>
      <c r="H18" s="299"/>
      <c r="I18" s="299"/>
      <c r="J18" s="299"/>
      <c r="K18" s="299"/>
    </row>
    <row r="19">
      <c r="A19" s="303">
        <v>10.0</v>
      </c>
      <c r="B19" s="315" t="str">
        <f t="array" ref="B19">XLOOKUP(A19,Scores!A:A,Scores!B:B)</f>
        <v>12u CoEd</v>
      </c>
      <c r="C19" s="305" t="str">
        <f t="array" ref="C19">xlookup(A19,Scores!A:A,Scores!F:F)</f>
        <v>SJ Cariba</v>
      </c>
      <c r="D19" s="306">
        <f t="array" ref="D19">xlookup(A19,Scores!$A:$A,Scores!E:E)</f>
        <v>0.78125</v>
      </c>
      <c r="E19" s="307" t="str">
        <f t="array" ref="E19">xlookup(A19,Scores!A:A,Scores!H:H)</f>
        <v>Orl. Thunder</v>
      </c>
      <c r="F19" s="299"/>
      <c r="G19" s="299"/>
      <c r="H19" s="299"/>
      <c r="I19" s="299"/>
      <c r="J19" s="299"/>
      <c r="K19" s="299"/>
    </row>
    <row r="20">
      <c r="A20" s="316">
        <v>13.0</v>
      </c>
      <c r="B20" s="317" t="str">
        <f t="array" ref="B20">XLOOKUP(A20,Scores!A:A,Scores!B:B)</f>
        <v>12u CoEd</v>
      </c>
      <c r="C20" s="312" t="str">
        <f t="array" ref="C20">xlookup(A20,Scores!A:A,Scores!F:F)</f>
        <v>Team Orlando</v>
      </c>
      <c r="D20" s="313">
        <f t="array" ref="D20">xlookup(A20,Scores!$A:$A,Scores!E:E)</f>
        <v>0.8159722222</v>
      </c>
      <c r="E20" s="314" t="str">
        <f t="array" ref="E20">xlookup(A20,Scores!A:A,Scores!H:H)</f>
        <v>Patriots</v>
      </c>
      <c r="F20" s="299"/>
      <c r="G20" s="299"/>
      <c r="H20" s="299"/>
      <c r="I20" s="299"/>
      <c r="J20" s="299"/>
      <c r="K20" s="299"/>
    </row>
    <row r="21">
      <c r="A21" s="299"/>
      <c r="B21" s="299"/>
      <c r="C21" s="299"/>
      <c r="D21" s="299"/>
      <c r="E21" s="299"/>
      <c r="F21" s="299"/>
      <c r="G21" s="299"/>
      <c r="H21" s="299"/>
      <c r="I21" s="299"/>
      <c r="J21" s="299"/>
      <c r="K21" s="299"/>
    </row>
    <row r="22">
      <c r="A22" s="318"/>
      <c r="B22" s="318"/>
      <c r="C22" s="318"/>
      <c r="D22" s="318"/>
      <c r="E22" s="318"/>
      <c r="F22" s="318"/>
      <c r="G22" s="318"/>
      <c r="H22" s="318"/>
      <c r="I22" s="318"/>
      <c r="J22" s="318"/>
      <c r="K22" s="318"/>
    </row>
    <row r="23">
      <c r="A23" s="319">
        <v>45934.0</v>
      </c>
      <c r="B23" s="320"/>
      <c r="C23" s="320"/>
      <c r="D23" s="320"/>
      <c r="E23" s="320"/>
      <c r="F23" s="320"/>
      <c r="G23" s="320"/>
      <c r="H23" s="320"/>
      <c r="I23" s="320"/>
      <c r="J23" s="320"/>
      <c r="K23" s="320"/>
    </row>
    <row r="24">
      <c r="A24" s="321"/>
    </row>
    <row r="25">
      <c r="A25" s="296" t="s">
        <v>71</v>
      </c>
      <c r="B25" s="297"/>
      <c r="C25" s="297"/>
      <c r="D25" s="297"/>
      <c r="E25" s="298"/>
      <c r="F25" s="322"/>
      <c r="G25" s="296" t="s">
        <v>72</v>
      </c>
      <c r="H25" s="297"/>
      <c r="I25" s="297"/>
      <c r="J25" s="297"/>
      <c r="K25" s="298"/>
    </row>
    <row r="26">
      <c r="A26" s="300" t="s">
        <v>3</v>
      </c>
      <c r="B26" s="301" t="s">
        <v>5</v>
      </c>
      <c r="C26" s="301" t="s">
        <v>73</v>
      </c>
      <c r="D26" s="301" t="s">
        <v>6</v>
      </c>
      <c r="E26" s="302" t="s">
        <v>74</v>
      </c>
      <c r="F26" s="322"/>
      <c r="G26" s="300" t="s">
        <v>3</v>
      </c>
      <c r="H26" s="301" t="s">
        <v>5</v>
      </c>
      <c r="I26" s="301" t="s">
        <v>73</v>
      </c>
      <c r="J26" s="301" t="s">
        <v>6</v>
      </c>
      <c r="K26" s="302" t="s">
        <v>74</v>
      </c>
    </row>
    <row r="27">
      <c r="A27" s="323">
        <v>14.0</v>
      </c>
      <c r="B27" s="304" t="str">
        <f t="array" ref="B27">XLOOKUP(A27,Scores!A:A,Scores!B:B)</f>
        <v>18u Boys</v>
      </c>
      <c r="C27" s="324" t="str">
        <f t="array" ref="C27">xlookup(A27,Scores!$A:$A,Scores!F:F)</f>
        <v>Team Orlando</v>
      </c>
      <c r="D27" s="325">
        <f t="array" ref="D27">xlookup(A27,Scores!$A:$A,Scores!E:E)</f>
        <v>0.2951388889</v>
      </c>
      <c r="E27" s="326" t="str">
        <f t="array" ref="E27">xlookup(A27,Scores!$A:$A,Scores!H:H)</f>
        <v>Cayman Islands</v>
      </c>
      <c r="F27" s="327"/>
      <c r="G27" s="328">
        <v>15.0</v>
      </c>
      <c r="H27" s="304" t="str">
        <f t="array" ref="H27">xlookup(G27,Scores!A:A,Scores!B:B)</f>
        <v>18u Girls</v>
      </c>
      <c r="I27" s="329" t="str">
        <f t="array" ref="I27">xlookup(G27,Scores!$A:$A,Scores!F:F)</f>
        <v>Orl. Thunder</v>
      </c>
      <c r="J27" s="325">
        <f t="array" ref="J27">xlookup(G27,Scores!$A:$A,Scores!E:E)</f>
        <v>0.2951388889</v>
      </c>
      <c r="K27" s="330" t="str">
        <f t="array" ref="K27">xlookup(G27,Scores!$A:$A,Scores!H:H)</f>
        <v>Patriots</v>
      </c>
    </row>
    <row r="28">
      <c r="A28" s="323">
        <v>17.0</v>
      </c>
      <c r="B28" s="315" t="str">
        <f t="array" ref="B28">XLOOKUP(A28,Scores!A:A,Scores!B:B)</f>
        <v>18u Boys</v>
      </c>
      <c r="C28" s="324" t="str">
        <f t="array" ref="C28">xlookup(A28,Scores!$A:$A,Scores!F:F)</f>
        <v>Orl. Thunder</v>
      </c>
      <c r="D28" s="325">
        <f t="array" ref="D28">xlookup(A28,Scores!$A:$A,Scores!E:E)</f>
        <v>0.3333333333</v>
      </c>
      <c r="E28" s="326" t="str">
        <f t="array" ref="E28">xlookup(A28,Scores!$A:$A,Scores!H:H)</f>
        <v>NextLevel</v>
      </c>
      <c r="F28" s="327"/>
      <c r="G28" s="331">
        <v>18.0</v>
      </c>
      <c r="H28" s="315" t="str">
        <f t="array" ref="H28">xlookup(G28,Scores!A:A,Scores!B:B)</f>
        <v>18u Girls</v>
      </c>
      <c r="I28" s="329" t="str">
        <f t="array" ref="I28">xlookup(G28,Scores!$A:$A,Scores!F:F)</f>
        <v>Seminole</v>
      </c>
      <c r="J28" s="325">
        <f t="array" ref="J28">xlookup(G28,Scores!$A:$A,Scores!E:E)</f>
        <v>0.3333333333</v>
      </c>
      <c r="K28" s="330" t="str">
        <f t="array" ref="K28">xlookup(G28,Scores!$A:$A,Scores!H:H)</f>
        <v>Cayman Islands</v>
      </c>
    </row>
    <row r="29">
      <c r="A29" s="323">
        <v>20.0</v>
      </c>
      <c r="B29" s="315" t="str">
        <f t="array" ref="B29">XLOOKUP(A29,Scores!A:A,Scores!B:B)</f>
        <v>16u Boys</v>
      </c>
      <c r="C29" s="324" t="str">
        <f t="array" ref="C29">xlookup(A29,Scores!$A:$A,Scores!F:F)</f>
        <v>Orl. Thunder</v>
      </c>
      <c r="D29" s="325">
        <f t="array" ref="D29">xlookup(A29,Scores!$A:$A,Scores!E:E)</f>
        <v>0.3715277778</v>
      </c>
      <c r="E29" s="326" t="str">
        <f t="array" ref="E29">xlookup(A29,Scores!$A:$A,Scores!H:H)</f>
        <v>SJ Cariba</v>
      </c>
      <c r="F29" s="327"/>
      <c r="G29" s="332">
        <v>21.0</v>
      </c>
      <c r="H29" s="315" t="str">
        <f t="array" ref="H29">xlookup(G29,Scores!A:A,Scores!B:B)</f>
        <v>14u CoEd</v>
      </c>
      <c r="I29" s="329" t="str">
        <f t="array" ref="I29">xlookup(G29,Scores!$A:$A,Scores!F:F)</f>
        <v>Orl. Thunder</v>
      </c>
      <c r="J29" s="325">
        <f t="array" ref="J29">xlookup(G29,Scores!$A:$A,Scores!E:E)</f>
        <v>0.3715277778</v>
      </c>
      <c r="K29" s="330" t="str">
        <f t="array" ref="K29">xlookup(G29,Scores!$A:$A,Scores!H:H)</f>
        <v>Patriots</v>
      </c>
    </row>
    <row r="30">
      <c r="A30" s="323">
        <v>23.0</v>
      </c>
      <c r="B30" s="315" t="str">
        <f t="array" ref="B30">XLOOKUP(A30,Scores!A:A,Scores!B:B)</f>
        <v>18u Boys</v>
      </c>
      <c r="C30" s="324" t="str">
        <f t="array" ref="C30">xlookup(A30,Scores!$A:$A,Scores!F:F)</f>
        <v>Team Orlando</v>
      </c>
      <c r="D30" s="325">
        <f t="array" ref="D30">xlookup(A30,Scores!$A:$A,Scores!E:E)</f>
        <v>0.4097222222</v>
      </c>
      <c r="E30" s="326" t="str">
        <f t="array" ref="E30">xlookup(A30,Scores!$A:$A,Scores!H:H)</f>
        <v>Seminole</v>
      </c>
      <c r="F30" s="327"/>
      <c r="G30" s="331">
        <v>24.0</v>
      </c>
      <c r="H30" s="315" t="str">
        <f t="array" ref="H30">xlookup(G30,Scores!A:A,Scores!B:B)</f>
        <v>16u Boys</v>
      </c>
      <c r="I30" s="329" t="str">
        <f t="array" ref="I30">xlookup(G30,Scores!$A:$A,Scores!F:F)</f>
        <v>Gladiators</v>
      </c>
      <c r="J30" s="325">
        <f t="array" ref="J30">xlookup(G30,Scores!$A:$A,Scores!E:E)</f>
        <v>0.4097222222</v>
      </c>
      <c r="K30" s="330" t="str">
        <f t="array" ref="K30">xlookup(G30,Scores!$A:$A,Scores!H:H)</f>
        <v>NextLevel</v>
      </c>
    </row>
    <row r="31">
      <c r="A31" s="323">
        <v>26.0</v>
      </c>
      <c r="B31" s="315" t="str">
        <f t="array" ref="B31">XLOOKUP(A31,Scores!A:A,Scores!B:B)</f>
        <v>18u Boys</v>
      </c>
      <c r="C31" s="324" t="str">
        <f t="array" ref="C31">xlookup(A31,Scores!$A:$A,Scores!F:F)</f>
        <v>Barcelona</v>
      </c>
      <c r="D31" s="325">
        <f t="array" ref="D31">xlookup(A31,Scores!$A:$A,Scores!E:E)</f>
        <v>0.4479166667</v>
      </c>
      <c r="E31" s="326" t="str">
        <f t="array" ref="E31">xlookup(A31,Scores!$A:$A,Scores!H:H)</f>
        <v>NextLevel</v>
      </c>
      <c r="F31" s="327"/>
      <c r="G31" s="332">
        <v>27.0</v>
      </c>
      <c r="H31" s="315" t="str">
        <f t="array" ref="H31">xlookup(G31,Scores!A:A,Scores!B:B)</f>
        <v>14u CoEd</v>
      </c>
      <c r="I31" s="329" t="str">
        <f t="array" ref="I31">xlookup(G31,Scores!$A:$A,Scores!F:F)</f>
        <v>Seminole</v>
      </c>
      <c r="J31" s="325">
        <f t="array" ref="J31">xlookup(G31,Scores!$A:$A,Scores!E:E)</f>
        <v>0.4479166667</v>
      </c>
      <c r="K31" s="330" t="str">
        <f t="array" ref="K31">xlookup(G31,Scores!$A:$A,Scores!H:H)</f>
        <v>NextLevel</v>
      </c>
    </row>
    <row r="32">
      <c r="A32" s="323">
        <v>29.0</v>
      </c>
      <c r="B32" s="315" t="str">
        <f t="array" ref="B32">XLOOKUP(A32,Scores!A:A,Scores!B:B)</f>
        <v>18u Boys</v>
      </c>
      <c r="C32" s="324" t="str">
        <f t="array" ref="C32">xlookup(A32,Scores!$A:$A,Scores!F:F)</f>
        <v>Cayman Islands</v>
      </c>
      <c r="D32" s="325">
        <f t="array" ref="D32">xlookup(A32,Scores!$A:$A,Scores!E:E)</f>
        <v>0.4861111111</v>
      </c>
      <c r="E32" s="326" t="str">
        <f t="array" ref="E32">xlookup(A32,Scores!$A:$A,Scores!H:H)</f>
        <v>Patriots</v>
      </c>
      <c r="F32" s="327"/>
      <c r="G32" s="331">
        <v>30.0</v>
      </c>
      <c r="H32" s="315" t="str">
        <f t="array" ref="H32">xlookup(G32,Scores!A:A,Scores!B:B)</f>
        <v>14u CoEd</v>
      </c>
      <c r="I32" s="329" t="str">
        <f t="array" ref="I32">xlookup(G32,Scores!$A:$A,Scores!F:F)</f>
        <v>Team Orlando</v>
      </c>
      <c r="J32" s="325">
        <f t="array" ref="J32">xlookup(G32,Scores!$A:$A,Scores!E:E)</f>
        <v>0.4861111111</v>
      </c>
      <c r="K32" s="330" t="str">
        <f t="array" ref="K32">xlookup(G32,Scores!$A:$A,Scores!H:H)</f>
        <v>Gladiators</v>
      </c>
    </row>
    <row r="33">
      <c r="A33" s="323">
        <v>32.0</v>
      </c>
      <c r="B33" s="315" t="str">
        <f t="array" ref="B33">XLOOKUP(A33,Scores!A:A,Scores!B:B)</f>
        <v>Mens Open</v>
      </c>
      <c r="C33" s="324" t="str">
        <f t="array" ref="C33">xlookup(A33,Scores!$A:$A,Scores!F:F)</f>
        <v>TO Black</v>
      </c>
      <c r="D33" s="325">
        <f t="array" ref="D33">xlookup(A33,Scores!$A:$A,Scores!E:E)</f>
        <v>0.5243055556</v>
      </c>
      <c r="E33" s="326" t="str">
        <f t="array" ref="E33">xlookup(A33,Scores!$A:$A,Scores!H:H)</f>
        <v>Tampa</v>
      </c>
      <c r="F33" s="327"/>
      <c r="G33" s="332">
        <v>33.0</v>
      </c>
      <c r="H33" s="315" t="str">
        <f t="array" ref="H33">xlookup(G33,Scores!A:A,Scores!B:B)</f>
        <v>18u Girls</v>
      </c>
      <c r="I33" s="329" t="str">
        <f t="array" ref="I33">xlookup(G33,Scores!$A:$A,Scores!F:F)</f>
        <v>Barcelona</v>
      </c>
      <c r="J33" s="325">
        <f t="array" ref="J33">xlookup(G33,Scores!$A:$A,Scores!E:E)</f>
        <v>0.5243055556</v>
      </c>
      <c r="K33" s="330" t="str">
        <f t="array" ref="K33">xlookup(G33,Scores!$A:$A,Scores!H:H)</f>
        <v>Cayman Islands</v>
      </c>
    </row>
    <row r="34">
      <c r="A34" s="323">
        <v>35.0</v>
      </c>
      <c r="B34" s="315" t="str">
        <f t="array" ref="B34">XLOOKUP(A34,Scores!A:A,Scores!B:B)</f>
        <v>Mens Open</v>
      </c>
      <c r="C34" s="324" t="str">
        <f t="array" ref="C34">xlookup(A34,Scores!$A:$A,Scores!F:F)</f>
        <v>Sarasota</v>
      </c>
      <c r="D34" s="325">
        <f t="array" ref="D34">xlookup(A34,Scores!$A:$A,Scores!E:E)</f>
        <v>0.5625</v>
      </c>
      <c r="E34" s="326" t="str">
        <f t="array" ref="E34">xlookup(A34,Scores!$A:$A,Scores!H:H)</f>
        <v>Orl. United</v>
      </c>
      <c r="F34" s="327"/>
      <c r="G34" s="331">
        <v>36.0</v>
      </c>
      <c r="H34" s="315" t="str">
        <f t="array" ref="H34">xlookup(G34,Scores!A:A,Scores!B:B)</f>
        <v>18u Girls</v>
      </c>
      <c r="I34" s="329" t="str">
        <f t="array" ref="I34">xlookup(G34,Scores!$A:$A,Scores!F:F)</f>
        <v>Orl. Thunder</v>
      </c>
      <c r="J34" s="325">
        <f t="array" ref="J34">xlookup(G34,Scores!$A:$A,Scores!E:E)</f>
        <v>0.5625</v>
      </c>
      <c r="K34" s="330" t="str">
        <f t="array" ref="K34">xlookup(G34,Scores!$A:$A,Scores!H:H)</f>
        <v>Team Orlando</v>
      </c>
    </row>
    <row r="35">
      <c r="A35" s="323">
        <v>38.0</v>
      </c>
      <c r="B35" s="315" t="str">
        <f t="array" ref="B35">XLOOKUP(A35,Scores!A:A,Scores!B:B)</f>
        <v>16u Boys</v>
      </c>
      <c r="C35" s="324" t="str">
        <f t="array" ref="C35">xlookup(A35,Scores!$A:$A,Scores!F:F)</f>
        <v>Orl. Thunder</v>
      </c>
      <c r="D35" s="325">
        <f t="array" ref="D35">xlookup(A35,Scores!$A:$A,Scores!E:E)</f>
        <v>0.6006944444</v>
      </c>
      <c r="E35" s="326" t="str">
        <f t="array" ref="E35">xlookup(A35,Scores!$A:$A,Scores!H:H)</f>
        <v>NextLevel</v>
      </c>
      <c r="F35" s="327"/>
      <c r="G35" s="332">
        <v>39.0</v>
      </c>
      <c r="H35" s="315" t="str">
        <f t="array" ref="H35">xlookup(G35,Scores!A:A,Scores!B:B)</f>
        <v>16u Boys</v>
      </c>
      <c r="I35" s="329" t="str">
        <f t="array" ref="I35">xlookup(G35,Scores!$A:$A,Scores!F:F)</f>
        <v>Team Orlando</v>
      </c>
      <c r="J35" s="325">
        <f t="array" ref="J35">xlookup(G35,Scores!$A:$A,Scores!E:E)</f>
        <v>0.6006944444</v>
      </c>
      <c r="K35" s="330" t="str">
        <f t="array" ref="K35">xlookup(G35,Scores!$A:$A,Scores!H:H)</f>
        <v>Gladiators</v>
      </c>
    </row>
    <row r="36">
      <c r="A36" s="323">
        <v>41.0</v>
      </c>
      <c r="B36" s="315" t="str">
        <f t="array" ref="B36">XLOOKUP(A36,Scores!A:A,Scores!B:B)</f>
        <v>Mens Open</v>
      </c>
      <c r="C36" s="324" t="str">
        <f t="array" ref="C36">xlookup(A36,Scores!$A:$A,Scores!F:F)</f>
        <v>Tampa</v>
      </c>
      <c r="D36" s="325">
        <f t="array" ref="D36">xlookup(A36,Scores!$A:$A,Scores!E:E)</f>
        <v>0.6388888889</v>
      </c>
      <c r="E36" s="326" t="str">
        <f t="array" ref="E36">xlookup(A36,Scores!$A:$A,Scores!H:H)</f>
        <v>TO Blue</v>
      </c>
      <c r="F36" s="327"/>
      <c r="G36" s="331">
        <v>42.0</v>
      </c>
      <c r="H36" s="315" t="str">
        <f t="array" ref="H36">xlookup(G36,Scores!A:A,Scores!B:B)</f>
        <v>14u CoEd</v>
      </c>
      <c r="I36" s="329" t="str">
        <f t="array" ref="I36">xlookup(G36,Scores!$A:$A,Scores!F:F)</f>
        <v>Orl. Thunder</v>
      </c>
      <c r="J36" s="325">
        <f t="array" ref="J36">xlookup(G36,Scores!$A:$A,Scores!E:E)</f>
        <v>0.6388888889</v>
      </c>
      <c r="K36" s="330" t="str">
        <f t="array" ref="K36">xlookup(G36,Scores!$A:$A,Scores!H:H)</f>
        <v>Gladiators</v>
      </c>
    </row>
    <row r="37">
      <c r="A37" s="323">
        <v>43.0</v>
      </c>
      <c r="B37" s="315" t="str">
        <f t="array" ref="B37">XLOOKUP(A37,Scores!A:A,Scores!B:B)</f>
        <v>18u Boys</v>
      </c>
      <c r="C37" s="324" t="str">
        <f t="array" ref="C37">xlookup(A37,Scores!$A:$A,Scores!F:F)</f>
        <v>Orl. Thunder</v>
      </c>
      <c r="D37" s="325">
        <f t="array" ref="D37">xlookup(A37,Scores!$A:$A,Scores!E:E)</f>
        <v>0.6770833333</v>
      </c>
      <c r="E37" s="326" t="str">
        <f t="array" ref="E37">xlookup(A37,Scores!$A:$A,Scores!H:H)</f>
        <v>Barcelona</v>
      </c>
      <c r="F37" s="327"/>
      <c r="G37" s="333">
        <v>44.0</v>
      </c>
      <c r="H37" s="315" t="str">
        <f t="array" ref="H37">xlookup(G37,Scores!A:A,Scores!B:B)</f>
        <v>14u CoEd</v>
      </c>
      <c r="I37" s="329" t="str">
        <f t="array" ref="I37">xlookup(G37,Scores!$A:$A,Scores!F:F)</f>
        <v>SJ Cariba</v>
      </c>
      <c r="J37" s="325">
        <f t="array" ref="J37">xlookup(G37,Scores!$A:$A,Scores!E:E)</f>
        <v>0.6770833333</v>
      </c>
      <c r="K37" s="330" t="str">
        <f t="array" ref="K37">xlookup(G37,Scores!$A:$A,Scores!H:H)</f>
        <v>NextLevel</v>
      </c>
    </row>
    <row r="38">
      <c r="A38" s="323">
        <v>46.0</v>
      </c>
      <c r="B38" s="315" t="str">
        <f t="array" ref="B38">XLOOKUP(A38,Scores!A:A,Scores!B:B)</f>
        <v>16u Boys</v>
      </c>
      <c r="C38" s="324" t="str">
        <f t="array" ref="C38">xlookup(A38,Scores!$A:$A,Scores!F:F)</f>
        <v>SJ Cariba</v>
      </c>
      <c r="D38" s="325">
        <f t="array" ref="D38">xlookup(A38,Scores!$A:$A,Scores!E:E)</f>
        <v>0.7152777778</v>
      </c>
      <c r="E38" s="326" t="str">
        <f t="array" ref="E38">xlookup(A38,Scores!$A:$A,Scores!H:H)</f>
        <v>Gladiators</v>
      </c>
      <c r="F38" s="327"/>
      <c r="G38" s="331">
        <v>47.0</v>
      </c>
      <c r="H38" s="315" t="str">
        <f t="array" ref="H38">xlookup(G38,Scores!A:A,Scores!B:B)</f>
        <v>14u CoEd</v>
      </c>
      <c r="I38" s="329" t="str">
        <f t="array" ref="I38">xlookup(G38,Scores!$A:$A,Scores!F:F)</f>
        <v>Team Orlando</v>
      </c>
      <c r="J38" s="325">
        <f t="array" ref="J38">xlookup(G38,Scores!$A:$A,Scores!E:E)</f>
        <v>0.7152777778</v>
      </c>
      <c r="K38" s="330" t="str">
        <f t="array" ref="K38">xlookup(G38,Scores!$A:$A,Scores!H:H)</f>
        <v>Orl. Thunder</v>
      </c>
    </row>
    <row r="39">
      <c r="A39" s="323">
        <v>49.0</v>
      </c>
      <c r="B39" s="315" t="str">
        <f t="array" ref="B39">XLOOKUP(A39,Scores!A:A,Scores!B:B)</f>
        <v>Mens Open</v>
      </c>
      <c r="C39" s="324" t="str">
        <f t="array" ref="C39">xlookup(A39,Scores!$A:$A,Scores!F:F)</f>
        <v>Orl. United</v>
      </c>
      <c r="D39" s="325">
        <f t="array" ref="D39">xlookup(A39,Scores!$A:$A,Scores!E:E)</f>
        <v>0.7534722222</v>
      </c>
      <c r="E39" s="326" t="str">
        <f t="array" ref="E39">xlookup(A39,Scores!$A:$A,Scores!H:H)</f>
        <v>TO Blue</v>
      </c>
      <c r="F39" s="327"/>
      <c r="G39" s="332">
        <v>50.0</v>
      </c>
      <c r="H39" s="315" t="str">
        <f t="array" ref="H39">xlookup(G39,Scores!A:A,Scores!B:B)</f>
        <v>14u CoEd</v>
      </c>
      <c r="I39" s="329" t="str">
        <f t="array" ref="I39">xlookup(G39,Scores!$A:$A,Scores!F:F)</f>
        <v>Gladiators</v>
      </c>
      <c r="J39" s="325">
        <f t="array" ref="J39">xlookup(G39,Scores!$A:$A,Scores!E:E)</f>
        <v>0.7534722222</v>
      </c>
      <c r="K39" s="330" t="str">
        <f t="array" ref="K39">xlookup(G39,Scores!$A:$A,Scores!H:H)</f>
        <v>Patriots</v>
      </c>
    </row>
    <row r="40">
      <c r="A40" s="334">
        <v>52.0</v>
      </c>
      <c r="B40" s="317" t="str">
        <f t="array" ref="B40">XLOOKUP(A40,Scores!A:A,Scores!B:B)</f>
        <v>Mens Open</v>
      </c>
      <c r="C40" s="335" t="str">
        <f t="array" ref="C40">xlookup(A40,Scores!$A:$A,Scores!F:F)</f>
        <v>Tampa</v>
      </c>
      <c r="D40" s="336">
        <f t="array" ref="D40">xlookup(A40,Scores!$A:$A,Scores!E:E)</f>
        <v>0.7916666667</v>
      </c>
      <c r="E40" s="337" t="str">
        <f t="array" ref="E40">xlookup(A40,Scores!$A:$A,Scores!H:H)</f>
        <v>Sarasota</v>
      </c>
      <c r="F40" s="327"/>
      <c r="G40" s="338">
        <v>53.0</v>
      </c>
      <c r="H40" s="317" t="str">
        <f t="array" ref="H40">xlookup(G40,Scores!A:A,Scores!B:B)</f>
        <v>16u Boys</v>
      </c>
      <c r="I40" s="339" t="str">
        <f t="array" ref="I40">xlookup(G40,Scores!$A:$A,Scores!F:F)</f>
        <v>Team Orlando</v>
      </c>
      <c r="J40" s="336">
        <f t="array" ref="J40">xlookup(G40,Scores!$A:$A,Scores!E:E)</f>
        <v>0.7916666667</v>
      </c>
      <c r="K40" s="340" t="str">
        <f t="array" ref="K40">xlookup(G40,Scores!$A:$A,Scores!H:H)</f>
        <v>Orl. Thunder</v>
      </c>
    </row>
    <row r="41">
      <c r="A41" s="327"/>
      <c r="B41" s="327"/>
      <c r="C41" s="327"/>
      <c r="D41" s="327"/>
      <c r="E41" s="327"/>
      <c r="F41" s="327"/>
      <c r="G41" s="327"/>
      <c r="H41" s="327"/>
      <c r="I41" s="327"/>
      <c r="J41" s="327"/>
      <c r="K41" s="327"/>
    </row>
    <row r="42">
      <c r="A42" s="296" t="s">
        <v>75</v>
      </c>
      <c r="B42" s="297"/>
      <c r="C42" s="297"/>
      <c r="D42" s="297"/>
      <c r="E42" s="298"/>
      <c r="F42" s="327"/>
      <c r="G42" s="327"/>
      <c r="H42" s="327"/>
      <c r="I42" s="327"/>
      <c r="J42" s="327"/>
      <c r="K42" s="327"/>
    </row>
    <row r="43">
      <c r="A43" s="300" t="s">
        <v>3</v>
      </c>
      <c r="B43" s="301" t="s">
        <v>5</v>
      </c>
      <c r="C43" s="301" t="s">
        <v>73</v>
      </c>
      <c r="D43" s="301" t="s">
        <v>6</v>
      </c>
      <c r="E43" s="302" t="s">
        <v>74</v>
      </c>
      <c r="F43" s="327"/>
      <c r="G43" s="327"/>
      <c r="H43" s="327"/>
      <c r="I43" s="327"/>
      <c r="J43" s="327"/>
      <c r="K43" s="327"/>
    </row>
    <row r="44">
      <c r="A44" s="309">
        <v>16.0</v>
      </c>
      <c r="B44" s="304" t="str">
        <f t="array" ref="B44">XLOOKUP(A44,Scores!A:A,Scores!B:B)</f>
        <v>12u CoEd</v>
      </c>
      <c r="C44" s="324" t="str">
        <f t="array" ref="C44">xlookup(A44,Scores!$A:$A,Scores!F:F)</f>
        <v>Orl. Thunder</v>
      </c>
      <c r="D44" s="325">
        <f t="array" ref="D44">xlookup(A44,Scores!$A:$A,Scores!E:E)</f>
        <v>0.2951388889</v>
      </c>
      <c r="E44" s="326" t="str">
        <f t="array" ref="E44">xlookup(A44,Scores!$A:$A,Scores!H:H)</f>
        <v>NextLevel</v>
      </c>
      <c r="F44" s="327"/>
      <c r="G44" s="327"/>
      <c r="H44" s="327"/>
      <c r="I44" s="327"/>
      <c r="J44" s="327"/>
      <c r="K44" s="327"/>
    </row>
    <row r="45">
      <c r="A45" s="309">
        <v>19.0</v>
      </c>
      <c r="B45" s="315" t="str">
        <f t="array" ref="B45">XLOOKUP(A45,Scores!A:A,Scores!B:B)</f>
        <v>12u CoEd</v>
      </c>
      <c r="C45" s="324" t="str">
        <f t="array" ref="C45">xlookup(A45,Scores!$A:$A,Scores!F:F)</f>
        <v>Team Orlando</v>
      </c>
      <c r="D45" s="325">
        <f t="array" ref="D45">xlookup(A45,Scores!$A:$A,Scores!E:E)</f>
        <v>0.3333333333</v>
      </c>
      <c r="E45" s="326" t="str">
        <f t="array" ref="E45">xlookup(A45,Scores!$A:$A,Scores!H:H)</f>
        <v>Sarasota</v>
      </c>
      <c r="F45" s="327"/>
      <c r="G45" s="327"/>
      <c r="H45" s="327"/>
      <c r="I45" s="327"/>
      <c r="J45" s="327"/>
      <c r="K45" s="327"/>
    </row>
    <row r="46">
      <c r="A46" s="309">
        <v>22.0</v>
      </c>
      <c r="B46" s="315" t="str">
        <f t="array" ref="B46">XLOOKUP(A46,Scores!A:A,Scores!B:B)</f>
        <v>12u CoEd</v>
      </c>
      <c r="C46" s="324" t="str">
        <f t="array" ref="C46">xlookup(A46,Scores!$A:$A,Scores!F:F)</f>
        <v>SJ Cariba</v>
      </c>
      <c r="D46" s="325">
        <f t="array" ref="D46">xlookup(A46,Scores!$A:$A,Scores!E:E)</f>
        <v>0.3715277778</v>
      </c>
      <c r="E46" s="326" t="str">
        <f t="array" ref="E46">xlookup(A46,Scores!$A:$A,Scores!H:H)</f>
        <v>Gladiators</v>
      </c>
      <c r="F46" s="327"/>
      <c r="G46" s="327"/>
      <c r="H46" s="327"/>
      <c r="I46" s="327"/>
      <c r="J46" s="327"/>
      <c r="K46" s="327"/>
    </row>
    <row r="47">
      <c r="A47" s="309">
        <v>25.0</v>
      </c>
      <c r="B47" s="315" t="str">
        <f t="array" ref="B47">XLOOKUP(A47,Scores!A:A,Scores!B:B)</f>
        <v>18u Girls</v>
      </c>
      <c r="C47" s="324" t="str">
        <f t="array" ref="C47">xlookup(A47,Scores!$A:$A,Scores!F:F)</f>
        <v>Barcelona</v>
      </c>
      <c r="D47" s="325">
        <f t="array" ref="D47">xlookup(A47,Scores!$A:$A,Scores!E:E)</f>
        <v>0.4097222222</v>
      </c>
      <c r="E47" s="326" t="str">
        <f t="array" ref="E47">xlookup(A47,Scores!$A:$A,Scores!H:H)</f>
        <v>Orl. Thunder</v>
      </c>
      <c r="F47" s="327"/>
      <c r="G47" s="327"/>
      <c r="H47" s="327"/>
      <c r="I47" s="327"/>
      <c r="J47" s="327"/>
      <c r="K47" s="327"/>
    </row>
    <row r="48">
      <c r="A48" s="309">
        <v>28.0</v>
      </c>
      <c r="B48" s="315" t="str">
        <f t="array" ref="B48">XLOOKUP(A48,Scores!A:A,Scores!B:B)</f>
        <v>18u Girls</v>
      </c>
      <c r="C48" s="324" t="str">
        <f t="array" ref="C48">xlookup(A48,Scores!$A:$A,Scores!F:F)</f>
        <v>Seminole</v>
      </c>
      <c r="D48" s="325">
        <f t="array" ref="D48">xlookup(A48,Scores!$A:$A,Scores!E:E)</f>
        <v>0.4479166667</v>
      </c>
      <c r="E48" s="326" t="str">
        <f t="array" ref="E48">xlookup(A48,Scores!$A:$A,Scores!H:H)</f>
        <v>Patriots</v>
      </c>
      <c r="F48" s="327"/>
      <c r="G48" s="327"/>
      <c r="H48" s="327"/>
      <c r="I48" s="327"/>
      <c r="J48" s="327"/>
      <c r="K48" s="327"/>
    </row>
    <row r="49">
      <c r="A49" s="309">
        <v>31.0</v>
      </c>
      <c r="B49" s="315" t="str">
        <f t="array" ref="B49">XLOOKUP(A49,Scores!A:A,Scores!B:B)</f>
        <v>12u CoEd</v>
      </c>
      <c r="C49" s="324" t="str">
        <f t="array" ref="C49">xlookup(A49,Scores!$A:$A,Scores!F:F)</f>
        <v>Gladiators</v>
      </c>
      <c r="D49" s="325">
        <f t="array" ref="D49">xlookup(A49,Scores!$A:$A,Scores!E:E)</f>
        <v>0.4861111111</v>
      </c>
      <c r="E49" s="326" t="str">
        <f t="array" ref="E49">xlookup(A49,Scores!$A:$A,Scores!H:H)</f>
        <v>Orl. Thunder</v>
      </c>
      <c r="F49" s="327"/>
      <c r="G49" s="327"/>
      <c r="H49" s="327"/>
      <c r="I49" s="327"/>
      <c r="J49" s="327"/>
      <c r="K49" s="327"/>
    </row>
    <row r="50">
      <c r="A50" s="309">
        <v>34.0</v>
      </c>
      <c r="B50" s="315" t="str">
        <f t="array" ref="B50">XLOOKUP(A50,Scores!A:A,Scores!B:B)</f>
        <v>12u CoEd</v>
      </c>
      <c r="C50" s="324" t="str">
        <f t="array" ref="C50">xlookup(A50,Scores!$A:$A,Scores!F:F)</f>
        <v>SJ Cariba</v>
      </c>
      <c r="D50" s="325">
        <f t="array" ref="D50">xlookup(A50,Scores!$A:$A,Scores!E:E)</f>
        <v>0.5243055556</v>
      </c>
      <c r="E50" s="326" t="str">
        <f t="array" ref="E50">xlookup(A50,Scores!$A:$A,Scores!H:H)</f>
        <v>NextLevel</v>
      </c>
      <c r="F50" s="327"/>
      <c r="G50" s="327"/>
      <c r="H50" s="327"/>
      <c r="I50" s="327"/>
      <c r="J50" s="327"/>
      <c r="K50" s="327"/>
    </row>
    <row r="51">
      <c r="A51" s="309">
        <v>37.0</v>
      </c>
      <c r="B51" s="315" t="str">
        <f t="array" ref="B51">XLOOKUP(A51,Scores!A:A,Scores!B:B)</f>
        <v>12u CoEd</v>
      </c>
      <c r="C51" s="324" t="str">
        <f t="array" ref="C51">xlookup(A51,Scores!$A:$A,Scores!F:F)</f>
        <v>Sarasota</v>
      </c>
      <c r="D51" s="325">
        <f t="array" ref="D51">xlookup(A51,Scores!$A:$A,Scores!E:E)</f>
        <v>0.5625</v>
      </c>
      <c r="E51" s="326" t="str">
        <f t="array" ref="E51">xlookup(A51,Scores!$A:$A,Scores!H:H)</f>
        <v>Patriots</v>
      </c>
      <c r="F51" s="327"/>
      <c r="G51" s="327"/>
      <c r="H51" s="327"/>
      <c r="I51" s="327"/>
      <c r="J51" s="327"/>
      <c r="K51" s="327"/>
    </row>
    <row r="52">
      <c r="A52" s="309">
        <v>40.0</v>
      </c>
      <c r="B52" s="315" t="str">
        <f t="array" ref="B52">XLOOKUP(A52,Scores!A:A,Scores!B:B)</f>
        <v>12u CoEd</v>
      </c>
      <c r="C52" s="324" t="str">
        <f t="array" ref="C52">xlookup(A52,Scores!$A:$A,Scores!F:F)</f>
        <v>Gladiators</v>
      </c>
      <c r="D52" s="325">
        <f t="array" ref="D52">xlookup(A52,Scores!$A:$A,Scores!E:E)</f>
        <v>0.6006944444</v>
      </c>
      <c r="E52" s="326" t="str">
        <f t="array" ref="E52">xlookup(A52,Scores!$A:$A,Scores!H:H)</f>
        <v>NextLevel</v>
      </c>
      <c r="F52" s="327"/>
      <c r="G52" s="327"/>
      <c r="H52" s="327"/>
      <c r="I52" s="327"/>
      <c r="J52" s="327"/>
      <c r="K52" s="327"/>
    </row>
    <row r="53">
      <c r="A53" s="309">
        <v>42.5</v>
      </c>
      <c r="B53" s="315" t="str">
        <f t="array" ref="B53">XLOOKUP(A53,Scores!A:A,Scores!B:B)</f>
        <v>BREAK</v>
      </c>
      <c r="C53" s="324" t="str">
        <f t="array" ref="C53">xlookup(A53,Scores!$A:$A,Scores!F:F)</f>
        <v>BREAK</v>
      </c>
      <c r="D53" s="325">
        <f t="array" ref="D53">xlookup(A53,Scores!$A:$A,Scores!E:E)</f>
        <v>0.6388888889</v>
      </c>
      <c r="E53" s="326" t="str">
        <f t="array" ref="E53">xlookup(A53,Scores!$A:$A,Scores!H:H)</f>
        <v>BREAK</v>
      </c>
      <c r="F53" s="327"/>
      <c r="G53" s="327"/>
      <c r="H53" s="327"/>
      <c r="I53" s="327"/>
      <c r="J53" s="327"/>
      <c r="K53" s="327"/>
    </row>
    <row r="54">
      <c r="A54" s="309">
        <v>45.0</v>
      </c>
      <c r="B54" s="315" t="str">
        <f t="array" ref="B54">XLOOKUP(A54,Scores!A:A,Scores!B:B)</f>
        <v>12u CoEd</v>
      </c>
      <c r="C54" s="324" t="str">
        <f t="array" ref="C54">xlookup(A54,Scores!$A:$A,Scores!F:F)</f>
        <v>Sarasota</v>
      </c>
      <c r="D54" s="325">
        <f t="array" ref="D54">xlookup(A54,Scores!$A:$A,Scores!E:E)</f>
        <v>0.6770833333</v>
      </c>
      <c r="E54" s="326" t="str">
        <f t="array" ref="E54">xlookup(A54,Scores!$A:$A,Scores!H:H)</f>
        <v>SJ Cariba</v>
      </c>
      <c r="F54" s="327"/>
      <c r="G54" s="327"/>
      <c r="H54" s="327"/>
      <c r="I54" s="327"/>
      <c r="J54" s="327"/>
      <c r="K54" s="327"/>
    </row>
    <row r="55">
      <c r="A55" s="309">
        <v>48.0</v>
      </c>
      <c r="B55" s="315" t="str">
        <f t="array" ref="B55">XLOOKUP(A55,Scores!A:A,Scores!B:B)</f>
        <v>12u CoEd</v>
      </c>
      <c r="C55" s="324" t="str">
        <f t="array" ref="C55">xlookup(A55,Scores!$A:$A,Scores!F:F)</f>
        <v>Team Orlando</v>
      </c>
      <c r="D55" s="325">
        <f t="array" ref="D55">xlookup(A55,Scores!$A:$A,Scores!E:E)</f>
        <v>0.7152777778</v>
      </c>
      <c r="E55" s="326" t="str">
        <f t="array" ref="E55">xlookup(A55,Scores!$A:$A,Scores!H:H)</f>
        <v>Gladiators</v>
      </c>
      <c r="F55" s="327"/>
      <c r="G55" s="327"/>
      <c r="H55" s="327"/>
      <c r="I55" s="327"/>
      <c r="J55" s="327"/>
      <c r="K55" s="327"/>
    </row>
    <row r="56">
      <c r="A56" s="309">
        <v>51.0</v>
      </c>
      <c r="B56" s="315" t="str">
        <f t="array" ref="B56">XLOOKUP(A56,Scores!A:A,Scores!B:B)</f>
        <v>12u CoEd</v>
      </c>
      <c r="C56" s="324" t="str">
        <f t="array" ref="C56">xlookup(A56,Scores!$A:$A,Scores!F:F)</f>
        <v>Orl. Thunder</v>
      </c>
      <c r="D56" s="325">
        <f t="array" ref="D56">xlookup(A56,Scores!$A:$A,Scores!E:E)</f>
        <v>0.7534722222</v>
      </c>
      <c r="E56" s="326" t="str">
        <f t="array" ref="E56">xlookup(A56,Scores!$A:$A,Scores!H:H)</f>
        <v>Patriots</v>
      </c>
      <c r="F56" s="327"/>
      <c r="G56" s="327"/>
      <c r="H56" s="327"/>
      <c r="I56" s="327"/>
      <c r="J56" s="327"/>
      <c r="K56" s="327"/>
    </row>
    <row r="57">
      <c r="A57" s="310">
        <v>54.0</v>
      </c>
      <c r="B57" s="317" t="str">
        <f t="array" ref="B57">XLOOKUP(A57,Scores!A:A,Scores!B:B)</f>
        <v>12u CoEd</v>
      </c>
      <c r="C57" s="335" t="str">
        <f t="array" ref="C57">xlookup(A57,Scores!$A:$A,Scores!F:F)</f>
        <v>Sarasota</v>
      </c>
      <c r="D57" s="336">
        <f t="array" ref="D57">xlookup(A57,Scores!$A:$A,Scores!E:E)</f>
        <v>0.7916666667</v>
      </c>
      <c r="E57" s="337" t="str">
        <f t="array" ref="E57">xlookup(A57,Scores!$A:$A,Scores!H:H)</f>
        <v>NextLevel</v>
      </c>
      <c r="F57" s="327"/>
      <c r="G57" s="327"/>
      <c r="H57" s="327"/>
      <c r="I57" s="327"/>
      <c r="J57" s="327"/>
      <c r="K57" s="327"/>
    </row>
    <row r="58">
      <c r="A58" s="327"/>
      <c r="B58" s="327"/>
      <c r="C58" s="327"/>
      <c r="D58" s="327"/>
      <c r="E58" s="327"/>
      <c r="F58" s="327"/>
      <c r="G58" s="327"/>
      <c r="H58" s="327"/>
      <c r="I58" s="327"/>
      <c r="J58" s="327"/>
      <c r="K58" s="327"/>
    </row>
    <row r="59">
      <c r="A59" s="341"/>
      <c r="B59" s="341"/>
      <c r="C59" s="341"/>
      <c r="D59" s="341"/>
      <c r="E59" s="341"/>
      <c r="F59" s="341"/>
      <c r="G59" s="341"/>
      <c r="H59" s="341"/>
      <c r="I59" s="341"/>
      <c r="J59" s="341"/>
      <c r="K59" s="342"/>
    </row>
    <row r="60">
      <c r="A60" s="343">
        <v>45935.0</v>
      </c>
      <c r="B60" s="320"/>
      <c r="C60" s="320"/>
      <c r="D60" s="320"/>
      <c r="E60" s="320"/>
      <c r="F60" s="320"/>
      <c r="G60" s="320"/>
      <c r="H60" s="320"/>
      <c r="I60" s="320"/>
      <c r="J60" s="320"/>
      <c r="K60" s="320"/>
    </row>
    <row r="61">
      <c r="A61" s="321"/>
    </row>
    <row r="62">
      <c r="A62" s="296" t="s">
        <v>71</v>
      </c>
      <c r="B62" s="297"/>
      <c r="C62" s="297"/>
      <c r="D62" s="297"/>
      <c r="E62" s="298"/>
      <c r="F62" s="344"/>
      <c r="G62" s="296" t="s">
        <v>72</v>
      </c>
      <c r="H62" s="297"/>
      <c r="I62" s="297"/>
      <c r="J62" s="297"/>
      <c r="K62" s="298"/>
    </row>
    <row r="63">
      <c r="A63" s="300" t="s">
        <v>3</v>
      </c>
      <c r="B63" s="301" t="s">
        <v>5</v>
      </c>
      <c r="C63" s="301" t="s">
        <v>73</v>
      </c>
      <c r="D63" s="301" t="s">
        <v>6</v>
      </c>
      <c r="E63" s="302" t="s">
        <v>74</v>
      </c>
      <c r="F63" s="344"/>
      <c r="G63" s="345" t="s">
        <v>3</v>
      </c>
      <c r="H63" s="346" t="s">
        <v>5</v>
      </c>
      <c r="I63" s="346" t="s">
        <v>73</v>
      </c>
      <c r="J63" s="346" t="s">
        <v>6</v>
      </c>
      <c r="K63" s="347" t="s">
        <v>74</v>
      </c>
    </row>
    <row r="64">
      <c r="A64" s="309">
        <v>55.0</v>
      </c>
      <c r="B64" s="304" t="str">
        <f t="array" ref="B64">XLOOKUP(A64,Scores!A:A,Scores!B:B)</f>
        <v>18u Boys</v>
      </c>
      <c r="C64" s="324" t="str">
        <f t="array" ref="C64">xlookup(A64,Scores!$A:$A,Scores!F:F)</f>
        <v>Patriots</v>
      </c>
      <c r="D64" s="325">
        <f t="array" ref="D64">xlookup(A64,Scores!$A:$A,Scores!E:E)</f>
        <v>0.2951388889</v>
      </c>
      <c r="E64" s="326" t="str">
        <f t="array" ref="E64">xlookup(A64,Scores!$A:$A,Scores!H:H)</f>
        <v>Cayman Islands</v>
      </c>
      <c r="F64" s="348"/>
      <c r="G64" s="349">
        <v>56.0</v>
      </c>
      <c r="H64" s="304" t="str">
        <f t="array" ref="H64">XLOOKUP(G64,Scores!A:A,Scores!B:B)</f>
        <v>16u Boys</v>
      </c>
      <c r="I64" s="324" t="str">
        <f t="array" ref="I64">xlookup(G64,Scores!$A:$A,Scores!F:F)</f>
        <v>NextLevel</v>
      </c>
      <c r="J64" s="325">
        <f t="array" ref="J64">xlookup(G64,Scores!$A:$A,Scores!E:E)</f>
        <v>0.2951388889</v>
      </c>
      <c r="K64" s="326" t="str">
        <f t="array" ref="K64">xlookup(G64,Scores!$A:$A,Scores!H:H)</f>
        <v>SJ Cariba</v>
      </c>
    </row>
    <row r="65">
      <c r="A65" s="309">
        <v>58.0</v>
      </c>
      <c r="B65" s="315" t="str">
        <f t="array" ref="B65">XLOOKUP(A65,Scores!A:A,Scores!B:B)</f>
        <v>18u Boys</v>
      </c>
      <c r="C65" s="324" t="str">
        <f t="array" ref="C65">xlookup(A65,Scores!$A:$A,Scores!F:F)</f>
        <v>Team Orlando</v>
      </c>
      <c r="D65" s="325">
        <f t="array" ref="D65">xlookup(A65,Scores!$A:$A,Scores!E:E)</f>
        <v>0.3333333333</v>
      </c>
      <c r="E65" s="326" t="str">
        <f t="array" ref="E65">xlookup(A65,Scores!$A:$A,Scores!H:H)</f>
        <v>NextLevel</v>
      </c>
      <c r="F65" s="348"/>
      <c r="G65" s="309">
        <v>59.0</v>
      </c>
      <c r="H65" s="315" t="str">
        <f t="array" ref="H65">XLOOKUP(G65,Scores!A:A,Scores!B:B)</f>
        <v>18u Girls</v>
      </c>
      <c r="I65" s="324" t="str">
        <f t="array" ref="I65">xlookup(G65,Scores!$A:$A,Scores!F:F)</f>
        <v>Cayman Islands</v>
      </c>
      <c r="J65" s="325">
        <f t="array" ref="J65">xlookup(G65,Scores!$A:$A,Scores!E:E)</f>
        <v>0.3333333333</v>
      </c>
      <c r="K65" s="326" t="str">
        <f t="array" ref="K65">xlookup(G65,Scores!$A:$A,Scores!H:H)</f>
        <v>Team Orlando</v>
      </c>
    </row>
    <row r="66">
      <c r="A66" s="309">
        <v>61.0</v>
      </c>
      <c r="B66" s="315" t="str">
        <f t="array" ref="B66">XLOOKUP(A66,Scores!A:A,Scores!B:B)</f>
        <v>18u Boys</v>
      </c>
      <c r="C66" s="324" t="str">
        <f t="array" ref="C66">xlookup(A66,Scores!$A:$A,Scores!F:F)</f>
        <v>Barcelona</v>
      </c>
      <c r="D66" s="325">
        <f t="array" ref="D66">xlookup(A66,Scores!$A:$A,Scores!E:E)</f>
        <v>0.3715277778</v>
      </c>
      <c r="E66" s="326" t="str">
        <f t="array" ref="E66">xlookup(A66,Scores!$A:$A,Scores!H:H)</f>
        <v>Seminole</v>
      </c>
      <c r="F66" s="348"/>
      <c r="G66" s="309">
        <v>62.0</v>
      </c>
      <c r="H66" s="315" t="str">
        <f t="array" ref="H66">XLOOKUP(G66,Scores!A:A,Scores!B:B)</f>
        <v>18u Boys</v>
      </c>
      <c r="I66" s="324" t="str">
        <f t="array" ref="I66">xlookup(G66,Scores!$A:$A,Scores!F:F)</f>
        <v>Orl. Thunder</v>
      </c>
      <c r="J66" s="325">
        <f t="array" ref="J66">xlookup(G66,Scores!$A:$A,Scores!E:E)</f>
        <v>0.3715277778</v>
      </c>
      <c r="K66" s="326" t="str">
        <f t="array" ref="K66">xlookup(G66,Scores!$A:$A,Scores!H:H)</f>
        <v>Cayman Islands</v>
      </c>
    </row>
    <row r="67">
      <c r="A67" s="309">
        <v>64.0</v>
      </c>
      <c r="B67" s="315" t="str">
        <f t="array" ref="B67">XLOOKUP(A67,Scores!A:A,Scores!B:B)</f>
        <v>Mens Open</v>
      </c>
      <c r="C67" s="324" t="str">
        <f t="array" ref="C67">xlookup(A67,Scores!$A:$A,Scores!F:F)</f>
        <v>Tampa</v>
      </c>
      <c r="D67" s="325">
        <f t="array" ref="D67">xlookup(A67,Scores!$A:$A,Scores!E:E)</f>
        <v>0.4097222222</v>
      </c>
      <c r="E67" s="326" t="str">
        <f t="array" ref="E67">xlookup(A67,Scores!$A:$A,Scores!H:H)</f>
        <v>Orl. United</v>
      </c>
      <c r="F67" s="348"/>
      <c r="G67" s="309">
        <v>65.0</v>
      </c>
      <c r="H67" s="315" t="str">
        <f t="array" ref="H67">XLOOKUP(G67,Scores!A:A,Scores!B:B)</f>
        <v>18u Girls</v>
      </c>
      <c r="I67" s="324" t="str">
        <f t="array" ref="I67">xlookup(G67,Scores!$A:$A,Scores!F:F)</f>
        <v>Patriots</v>
      </c>
      <c r="J67" s="325">
        <f t="array" ref="J67">xlookup(G67,Scores!$A:$A,Scores!E:E)</f>
        <v>0.4097222222</v>
      </c>
      <c r="K67" s="326" t="str">
        <f t="array" ref="K67">xlookup(G67,Scores!$A:$A,Scores!H:H)</f>
        <v>Barcelona</v>
      </c>
    </row>
    <row r="68">
      <c r="A68" s="309">
        <v>67.0</v>
      </c>
      <c r="B68" s="315" t="str">
        <f t="array" ref="B68">XLOOKUP(A68,Scores!A:A,Scores!B:B)</f>
        <v>Mens Open</v>
      </c>
      <c r="C68" s="324" t="str">
        <f t="array" ref="C68">xlookup(A68,Scores!$A:$A,Scores!F:F)</f>
        <v>TO Blue</v>
      </c>
      <c r="D68" s="325">
        <f t="array" ref="D68">xlookup(A68,Scores!$A:$A,Scores!E:E)</f>
        <v>0.4479166667</v>
      </c>
      <c r="E68" s="326" t="str">
        <f t="array" ref="E68">xlookup(A68,Scores!$A:$A,Scores!H:H)</f>
        <v>Sarasota</v>
      </c>
      <c r="F68" s="348"/>
      <c r="G68" s="309">
        <v>68.0</v>
      </c>
      <c r="H68" s="315" t="str">
        <f t="array" ref="H68">XLOOKUP(G68,Scores!A:A,Scores!B:B)</f>
        <v>18u Boys</v>
      </c>
      <c r="I68" s="324" t="str">
        <f t="array" ref="I68">xlookup(G68,Scores!$A:$A,Scores!F:F)</f>
        <v>Patriots</v>
      </c>
      <c r="J68" s="325">
        <f t="array" ref="J68">xlookup(G68,Scores!$A:$A,Scores!E:E)</f>
        <v>0.4479166667</v>
      </c>
      <c r="K68" s="326" t="str">
        <f t="array" ref="K68">xlookup(G68,Scores!$A:$A,Scores!H:H)</f>
        <v>Orl. Thunder</v>
      </c>
    </row>
    <row r="69">
      <c r="A69" s="309">
        <v>70.0</v>
      </c>
      <c r="B69" s="315" t="str">
        <f t="array" ref="B69">XLOOKUP(A69,Scores!A:A,Scores!B:B)</f>
        <v>16u Boys</v>
      </c>
      <c r="C69" s="324" t="str">
        <f t="array" ref="C69">xlookup(A69,Scores!$A:$A,Scores!F:F)</f>
        <v>Orl. Thunder</v>
      </c>
      <c r="D69" s="325">
        <f t="array" ref="D69">xlookup(A69,Scores!$A:$A,Scores!E:E)</f>
        <v>0.4861111111</v>
      </c>
      <c r="E69" s="326" t="str">
        <f t="array" ref="E69">xlookup(A69,Scores!$A:$A,Scores!H:H)</f>
        <v>Gladiators</v>
      </c>
      <c r="F69" s="348"/>
      <c r="G69" s="309">
        <v>71.0</v>
      </c>
      <c r="H69" s="315" t="str">
        <f t="array" ref="H69">XLOOKUP(G69,Scores!A:A,Scores!B:B)</f>
        <v>18u Girls</v>
      </c>
      <c r="I69" s="324" t="str">
        <f t="array" ref="I69">xlookup(G69,Scores!$A:$A,Scores!F:F)</f>
        <v>Seminole</v>
      </c>
      <c r="J69" s="325">
        <f t="array" ref="J69">xlookup(G69,Scores!$A:$A,Scores!E:E)</f>
        <v>0.4861111111</v>
      </c>
      <c r="K69" s="326" t="str">
        <f t="array" ref="K69">xlookup(G69,Scores!$A:$A,Scores!H:H)</f>
        <v>Barcelona</v>
      </c>
    </row>
    <row r="70">
      <c r="A70" s="309">
        <v>73.0</v>
      </c>
      <c r="B70" s="315" t="str">
        <f t="array" ref="B70">XLOOKUP(A70,Scores!A:A,Scores!B:B)</f>
        <v>18u Boys</v>
      </c>
      <c r="C70" s="324" t="str">
        <f t="array" ref="C70">xlookup(A70,Scores!$A:$A,Scores!F:F)</f>
        <v>Team Orlando</v>
      </c>
      <c r="D70" s="325">
        <f t="array" ref="D70">xlookup(A70,Scores!$A:$A,Scores!E:E)</f>
        <v>0.5243055556</v>
      </c>
      <c r="E70" s="326" t="str">
        <f t="array" ref="E70">xlookup(A70,Scores!$A:$A,Scores!H:H)</f>
        <v>Barcelona</v>
      </c>
      <c r="F70" s="348"/>
      <c r="G70" s="309">
        <v>74.0</v>
      </c>
      <c r="H70" s="315" t="str">
        <f t="array" ref="H70">XLOOKUP(G70,Scores!A:A,Scores!B:B)</f>
        <v>16u Girls</v>
      </c>
      <c r="I70" s="324" t="str">
        <f t="array" ref="I70">xlookup(G70,Scores!$A:$A,Scores!F:F)</f>
        <v>Team Orlando</v>
      </c>
      <c r="J70" s="325">
        <f t="array" ref="J70">xlookup(G70,Scores!$A:$A,Scores!E:E)</f>
        <v>0.5243055556</v>
      </c>
      <c r="K70" s="326" t="str">
        <f t="array" ref="K70">xlookup(G70,Scores!$A:$A,Scores!H:H)</f>
        <v>Orl. Thunder</v>
      </c>
    </row>
    <row r="71">
      <c r="A71" s="309">
        <v>76.0</v>
      </c>
      <c r="B71" s="315" t="str">
        <f t="array" ref="B71">XLOOKUP(A71,Scores!A:A,Scores!B:B)</f>
        <v>Mens Open</v>
      </c>
      <c r="C71" s="324" t="str">
        <f t="array" ref="C71">xlookup(A71,Scores!$A:$A,Scores!F:F)</f>
        <v>TO Black</v>
      </c>
      <c r="D71" s="325">
        <f t="array" ref="D71">xlookup(A71,Scores!$A:$A,Scores!E:E)</f>
        <v>0.5625</v>
      </c>
      <c r="E71" s="326" t="str">
        <f t="array" ref="E71">xlookup(A71,Scores!$A:$A,Scores!H:H)</f>
        <v>Sarasota</v>
      </c>
      <c r="F71" s="348"/>
      <c r="G71" s="309">
        <v>77.0</v>
      </c>
      <c r="H71" s="315" t="str">
        <f t="array" ref="H71">XLOOKUP(G71,Scores!A:A,Scores!B:B)</f>
        <v>18u Boys</v>
      </c>
      <c r="I71" s="324" t="str">
        <f t="array" ref="I71">xlookup(G71,Scores!$A:$A,Scores!F:F)</f>
        <v>NextLevel</v>
      </c>
      <c r="J71" s="325">
        <f t="array" ref="J71">xlookup(G71,Scores!$A:$A,Scores!E:E)</f>
        <v>0.5625</v>
      </c>
      <c r="K71" s="326" t="str">
        <f t="array" ref="K71">xlookup(G71,Scores!$A:$A,Scores!H:H)</f>
        <v>Seminole</v>
      </c>
    </row>
    <row r="72">
      <c r="A72" s="309">
        <v>79.0</v>
      </c>
      <c r="B72" s="315" t="str">
        <f t="array" ref="B72">XLOOKUP(A72,Scores!A:A,Scores!B:B)</f>
        <v>16u Boys</v>
      </c>
      <c r="C72" s="324" t="str">
        <f t="array" ref="C72">xlookup(A72,Scores!$A:$A,Scores!F:F)</f>
        <v>Team Orlando</v>
      </c>
      <c r="D72" s="325">
        <f t="array" ref="D72">xlookup(A72,Scores!$A:$A,Scores!E:E)</f>
        <v>0.6006944444</v>
      </c>
      <c r="E72" s="326" t="str">
        <f t="array" ref="E72">xlookup(A72,Scores!$A:$A,Scores!H:H)</f>
        <v>NextLevel</v>
      </c>
      <c r="F72" s="348"/>
      <c r="G72" s="309">
        <v>80.0</v>
      </c>
      <c r="H72" s="315" t="str">
        <f t="array" ref="H72">XLOOKUP(G72,Scores!A:A,Scores!B:B)</f>
        <v>18u Girls</v>
      </c>
      <c r="I72" s="324" t="str">
        <f t="array" ref="I72">xlookup(G72,Scores!$A:$A,Scores!F:F)</f>
        <v>Barcelona</v>
      </c>
      <c r="J72" s="325">
        <f t="array" ref="J72">xlookup(G72,Scores!$A:$A,Scores!E:E)</f>
        <v>0.6006944444</v>
      </c>
      <c r="K72" s="326" t="str">
        <f t="array" ref="K72">xlookup(G72,Scores!$A:$A,Scores!H:H)</f>
        <v>Team Orlando</v>
      </c>
    </row>
    <row r="73">
      <c r="A73" s="310">
        <v>82.0</v>
      </c>
      <c r="B73" s="317" t="str">
        <f t="array" ref="B73">XLOOKUP(A73,Scores!A:A,Scores!B:B)</f>
        <v>Mens Open</v>
      </c>
      <c r="C73" s="335" t="str">
        <f t="array" ref="C73">xlookup(A73,Scores!$A:$A,Scores!F:F)</f>
        <v>TO Black</v>
      </c>
      <c r="D73" s="336">
        <f t="array" ref="D73">xlookup(A73,Scores!$A:$A,Scores!E:E)</f>
        <v>0.6388888889</v>
      </c>
      <c r="E73" s="337" t="str">
        <f t="array" ref="E73">xlookup(A73,Scores!$A:$A,Scores!H:H)</f>
        <v>Orl. United</v>
      </c>
      <c r="F73" s="348"/>
      <c r="G73" s="310">
        <v>83.0</v>
      </c>
      <c r="H73" s="317" t="str">
        <f t="array" ref="H73">XLOOKUP(G73,Scores!A:A,Scores!B:B)</f>
        <v>18u Girls</v>
      </c>
      <c r="I73" s="335" t="str">
        <f t="array" ref="I73">xlookup(G73,Scores!$A:$A,Scores!F:F)</f>
        <v>Orl. Thunder</v>
      </c>
      <c r="J73" s="336">
        <f t="array" ref="J73">xlookup(G73,Scores!$A:$A,Scores!E:E)</f>
        <v>0.6388888889</v>
      </c>
      <c r="K73" s="337" t="str">
        <f t="array" ref="K73">xlookup(G73,Scores!$A:$A,Scores!H:H)</f>
        <v>Cayman Islands</v>
      </c>
    </row>
    <row r="74">
      <c r="A74" s="344"/>
      <c r="B74" s="344"/>
      <c r="C74" s="344"/>
      <c r="D74" s="344"/>
      <c r="E74" s="344"/>
      <c r="F74" s="344"/>
      <c r="G74" s="344"/>
      <c r="H74" s="344"/>
      <c r="I74" s="344"/>
      <c r="J74" s="344"/>
      <c r="K74" s="344"/>
    </row>
    <row r="75">
      <c r="A75" s="296" t="s">
        <v>75</v>
      </c>
      <c r="B75" s="297"/>
      <c r="C75" s="297"/>
      <c r="D75" s="297"/>
      <c r="E75" s="298"/>
      <c r="F75" s="344"/>
      <c r="G75" s="344"/>
      <c r="H75" s="344"/>
      <c r="I75" s="344"/>
      <c r="J75" s="344"/>
      <c r="K75" s="344"/>
    </row>
    <row r="76">
      <c r="A76" s="300" t="s">
        <v>3</v>
      </c>
      <c r="B76" s="301" t="s">
        <v>5</v>
      </c>
      <c r="C76" s="301" t="s">
        <v>73</v>
      </c>
      <c r="D76" s="301" t="s">
        <v>6</v>
      </c>
      <c r="E76" s="302" t="s">
        <v>74</v>
      </c>
      <c r="F76" s="344"/>
      <c r="G76" s="344"/>
      <c r="H76" s="344"/>
      <c r="I76" s="344"/>
      <c r="J76" s="344"/>
      <c r="K76" s="344"/>
    </row>
    <row r="77">
      <c r="A77" s="309">
        <v>57.0</v>
      </c>
      <c r="B77" s="304" t="str">
        <f t="array" ref="B77">XLOOKUP(A77,Scores!A:A,Scores!B:B)</f>
        <v>14u CoEd</v>
      </c>
      <c r="C77" s="324" t="str">
        <f t="array" ref="C77">xlookup(A77,Scores!$A:$A,Scores!F:F)</f>
        <v>Gladiators</v>
      </c>
      <c r="D77" s="325">
        <f t="array" ref="D77">xlookup(A77,Scores!$A:$A,Scores!E:E)</f>
        <v>0.2951388889</v>
      </c>
      <c r="E77" s="326" t="str">
        <f t="array" ref="E77">xlookup(A77,Scores!$A:$A,Scores!H:H)</f>
        <v>NextLevel</v>
      </c>
      <c r="F77" s="344"/>
      <c r="G77" s="344"/>
      <c r="H77" s="344"/>
      <c r="I77" s="344"/>
      <c r="J77" s="344"/>
      <c r="K77" s="344"/>
    </row>
    <row r="78">
      <c r="A78" s="309">
        <v>60.0</v>
      </c>
      <c r="B78" s="315" t="str">
        <f t="array" ref="B78">XLOOKUP(A78,Scores!A:A,Scores!B:B)</f>
        <v>14u CoEd</v>
      </c>
      <c r="C78" s="324" t="str">
        <f t="array" ref="C78">xlookup(A78,Scores!$A:$A,Scores!F:F)</f>
        <v>SJ Cariba</v>
      </c>
      <c r="D78" s="325">
        <f t="array" ref="D78">xlookup(A78,Scores!$A:$A,Scores!E:E)</f>
        <v>0.3333333333</v>
      </c>
      <c r="E78" s="326" t="str">
        <f t="array" ref="E78">xlookup(A78,Scores!$A:$A,Scores!H:H)</f>
        <v>Team Orlando</v>
      </c>
      <c r="F78" s="344"/>
      <c r="G78" s="344"/>
      <c r="H78" s="344"/>
      <c r="I78" s="344"/>
      <c r="J78" s="344"/>
      <c r="K78" s="344"/>
    </row>
    <row r="79">
      <c r="A79" s="309">
        <v>63.0</v>
      </c>
      <c r="B79" s="315" t="str">
        <f t="array" ref="B79">XLOOKUP(A79,Scores!A:A,Scores!B:B)</f>
        <v>14u CoEd</v>
      </c>
      <c r="C79" s="324" t="str">
        <f t="array" ref="C79">xlookup(A79,Scores!$A:$A,Scores!F:F)</f>
        <v>Seminole</v>
      </c>
      <c r="D79" s="325">
        <f t="array" ref="D79">xlookup(A79,Scores!$A:$A,Scores!E:E)</f>
        <v>0.3715277778</v>
      </c>
      <c r="E79" s="326" t="str">
        <f t="array" ref="E79">xlookup(A79,Scores!$A:$A,Scores!H:H)</f>
        <v>Orl. Thunder</v>
      </c>
      <c r="F79" s="344"/>
      <c r="G79" s="344"/>
      <c r="H79" s="344"/>
      <c r="I79" s="344"/>
      <c r="J79" s="344"/>
      <c r="K79" s="344"/>
    </row>
    <row r="80">
      <c r="A80" s="309">
        <v>66.0</v>
      </c>
      <c r="B80" s="315" t="str">
        <f t="array" ref="B80">XLOOKUP(A80,Scores!A:A,Scores!B:B)</f>
        <v>14u CoEd</v>
      </c>
      <c r="C80" s="324" t="str">
        <f t="array" ref="C80">xlookup(A80,Scores!$A:$A,Scores!F:F)</f>
        <v>Gladiators</v>
      </c>
      <c r="D80" s="325">
        <f t="array" ref="D80">xlookup(A80,Scores!$A:$A,Scores!E:E)</f>
        <v>0.4097222222</v>
      </c>
      <c r="E80" s="326" t="str">
        <f t="array" ref="E80">xlookup(A80,Scores!$A:$A,Scores!H:H)</f>
        <v>Patriots</v>
      </c>
      <c r="F80" s="344"/>
      <c r="G80" s="344"/>
      <c r="H80" s="344"/>
      <c r="I80" s="344"/>
      <c r="J80" s="344"/>
      <c r="K80" s="344"/>
    </row>
    <row r="81">
      <c r="A81" s="309">
        <v>69.0</v>
      </c>
      <c r="B81" s="315" t="str">
        <f t="array" ref="B81">XLOOKUP(A81,Scores!A:A,Scores!B:B)</f>
        <v>12u CoEd</v>
      </c>
      <c r="C81" s="324" t="str">
        <f t="array" ref="C81">xlookup(A81,Scores!$A:$A,Scores!F:F)</f>
        <v>SJ Cariba</v>
      </c>
      <c r="D81" s="325">
        <f t="array" ref="D81">xlookup(A81,Scores!$A:$A,Scores!E:E)</f>
        <v>0.4479166667</v>
      </c>
      <c r="E81" s="326" t="str">
        <f t="array" ref="E81">xlookup(A81,Scores!$A:$A,Scores!H:H)</f>
        <v>NextLevel</v>
      </c>
      <c r="F81" s="344"/>
      <c r="G81" s="344"/>
      <c r="H81" s="344"/>
      <c r="I81" s="344"/>
      <c r="J81" s="344"/>
      <c r="K81" s="344"/>
    </row>
    <row r="82">
      <c r="A82" s="309">
        <v>72.0</v>
      </c>
      <c r="B82" s="315" t="str">
        <f t="array" ref="B82">XLOOKUP(A82,Scores!A:A,Scores!B:B)</f>
        <v>12u CoEd</v>
      </c>
      <c r="C82" s="324" t="str">
        <f t="array" ref="C82">xlookup(A82,Scores!$A:$A,Scores!F:F)</f>
        <v>Gladiators</v>
      </c>
      <c r="D82" s="325">
        <f t="array" ref="D82">xlookup(A82,Scores!$A:$A,Scores!E:E)</f>
        <v>0.4861111111</v>
      </c>
      <c r="E82" s="326" t="str">
        <f t="array" ref="E82">xlookup(A82,Scores!$A:$A,Scores!H:H)</f>
        <v>Patriots</v>
      </c>
      <c r="F82" s="344"/>
      <c r="G82" s="344"/>
      <c r="H82" s="344"/>
      <c r="I82" s="344"/>
      <c r="J82" s="344"/>
      <c r="K82" s="344"/>
    </row>
    <row r="83">
      <c r="A83" s="309">
        <v>75.0</v>
      </c>
      <c r="B83" s="315" t="str">
        <f t="array" ref="B83">XLOOKUP(A83,Scores!A:A,Scores!B:B)</f>
        <v>12u CoEd</v>
      </c>
      <c r="C83" s="324" t="str">
        <f t="array" ref="C83">xlookup(A83,Scores!$A:$A,Scores!F:F)</f>
        <v>Team Orlando</v>
      </c>
      <c r="D83" s="325">
        <f t="array" ref="D83">xlookup(A83,Scores!$A:$A,Scores!E:E)</f>
        <v>0.5243055556</v>
      </c>
      <c r="E83" s="326" t="str">
        <f t="array" ref="E83">xlookup(A83,Scores!$A:$A,Scores!H:H)</f>
        <v>Orl. Thunder</v>
      </c>
      <c r="F83" s="344"/>
      <c r="G83" s="344"/>
      <c r="H83" s="344"/>
      <c r="I83" s="344"/>
      <c r="J83" s="344"/>
      <c r="K83" s="344"/>
    </row>
    <row r="84">
      <c r="A84" s="309">
        <v>78.0</v>
      </c>
      <c r="B84" s="315" t="str">
        <f t="array" ref="B84">XLOOKUP(A84,Scores!A:A,Scores!B:B)</f>
        <v>14u CoEd</v>
      </c>
      <c r="C84" s="324" t="str">
        <f t="array" ref="C84">xlookup(A84,Scores!$A:$A,Scores!F:F)</f>
        <v>Team Orlando</v>
      </c>
      <c r="D84" s="325">
        <f t="array" ref="D84">xlookup(A84,Scores!$A:$A,Scores!E:E)</f>
        <v>0.5625</v>
      </c>
      <c r="E84" s="326" t="str">
        <f t="array" ref="E84">xlookup(A84,Scores!$A:$A,Scores!H:H)</f>
        <v>Orl. Thunder</v>
      </c>
      <c r="F84" s="344"/>
      <c r="G84" s="344"/>
      <c r="H84" s="344"/>
      <c r="I84" s="344"/>
      <c r="J84" s="344"/>
      <c r="K84" s="344"/>
    </row>
    <row r="85">
      <c r="A85" s="309">
        <v>81.0</v>
      </c>
      <c r="B85" s="315" t="str">
        <f t="array" ref="B85">XLOOKUP(A85,Scores!A:A,Scores!B:B)</f>
        <v>14u CoEd</v>
      </c>
      <c r="C85" s="324" t="str">
        <f t="array" ref="C85">xlookup(A85,Scores!$A:$A,Scores!F:F)</f>
        <v>SJ Cariba</v>
      </c>
      <c r="D85" s="325">
        <f t="array" ref="D85">xlookup(A85,Scores!$A:$A,Scores!E:E)</f>
        <v>0.6006944444</v>
      </c>
      <c r="E85" s="326" t="str">
        <f t="array" ref="E85">xlookup(A85,Scores!$A:$A,Scores!H:H)</f>
        <v>Seminole</v>
      </c>
      <c r="F85" s="344"/>
      <c r="G85" s="344"/>
      <c r="H85" s="344"/>
      <c r="I85" s="344"/>
      <c r="J85" s="344"/>
      <c r="K85" s="344"/>
    </row>
    <row r="86">
      <c r="A86" s="310">
        <v>84.0</v>
      </c>
      <c r="B86" s="317" t="str">
        <f t="array" ref="B86">XLOOKUP(A86,Scores!A:A,Scores!B:B)</f>
        <v>14u CoEd</v>
      </c>
      <c r="C86" s="335" t="str">
        <f t="array" ref="C86">xlookup(A86,Scores!$A:$A,Scores!F:F)</f>
        <v>NextLevel</v>
      </c>
      <c r="D86" s="336">
        <f t="array" ref="D86">xlookup(A86,Scores!$A:$A,Scores!E:E)</f>
        <v>0.6388888889</v>
      </c>
      <c r="E86" s="337" t="str">
        <f t="array" ref="E86">xlookup(A86,Scores!$A:$A,Scores!H:H)</f>
        <v>Patriots</v>
      </c>
      <c r="F86" s="344"/>
      <c r="G86" s="344"/>
      <c r="H86" s="344"/>
      <c r="I86" s="344"/>
      <c r="J86" s="344"/>
      <c r="K86" s="344"/>
    </row>
    <row r="87">
      <c r="A87" s="344"/>
      <c r="B87" s="344"/>
      <c r="C87" s="344"/>
      <c r="D87" s="344"/>
      <c r="E87" s="344"/>
      <c r="F87" s="344"/>
      <c r="G87" s="344"/>
      <c r="H87" s="344"/>
      <c r="I87" s="344"/>
      <c r="J87" s="344"/>
      <c r="K87" s="344"/>
    </row>
  </sheetData>
  <mergeCells count="12">
    <mergeCell ref="A42:E42"/>
    <mergeCell ref="A60:K61"/>
    <mergeCell ref="A62:E62"/>
    <mergeCell ref="G62:K62"/>
    <mergeCell ref="A75:E75"/>
    <mergeCell ref="A6:K7"/>
    <mergeCell ref="A8:E8"/>
    <mergeCell ref="G8:K8"/>
    <mergeCell ref="A16:E16"/>
    <mergeCell ref="A23:K24"/>
    <mergeCell ref="A25:E25"/>
    <mergeCell ref="G25:K25"/>
  </mergeCells>
  <conditionalFormatting sqref="A1:A87">
    <cfRule type="cellIs" dxfId="20" priority="1" stopIfTrue="1" operator="equal">
      <formula>"12U CoEd"</formula>
    </cfRule>
  </conditionalFormatting>
  <conditionalFormatting sqref="A1:A87">
    <cfRule type="cellIs" dxfId="2" priority="2" stopIfTrue="1" operator="equal">
      <formula>"13U CoEd"</formula>
    </cfRule>
  </conditionalFormatting>
  <conditionalFormatting sqref="A1:A87">
    <cfRule type="cellIs" dxfId="21" priority="3" stopIfTrue="1" operator="equal">
      <formula>"14U CoEd"</formula>
    </cfRule>
  </conditionalFormatting>
  <conditionalFormatting sqref="A1:A87">
    <cfRule type="cellIs" dxfId="4" priority="4" stopIfTrue="1" operator="equal">
      <formula>"15U Boys"</formula>
    </cfRule>
  </conditionalFormatting>
  <conditionalFormatting sqref="A1:A87">
    <cfRule type="cellIs" dxfId="22" priority="5" stopIfTrue="1" operator="equal">
      <formula>"16U Boys"</formula>
    </cfRule>
  </conditionalFormatting>
  <conditionalFormatting sqref="A1:A87">
    <cfRule type="cellIs" dxfId="23" priority="6" stopIfTrue="1" operator="equal">
      <formula>"16U Girls"</formula>
    </cfRule>
  </conditionalFormatting>
  <conditionalFormatting sqref="A1:A87">
    <cfRule type="cellIs" dxfId="24" priority="7" stopIfTrue="1" operator="equal">
      <formula>"18U Boys"</formula>
    </cfRule>
  </conditionalFormatting>
  <conditionalFormatting sqref="A1:A87">
    <cfRule type="cellIs" dxfId="25" priority="8" stopIfTrue="1" operator="equal">
      <formula>"18U Girls"</formula>
    </cfRule>
  </conditionalFormatting>
  <conditionalFormatting sqref="A1:A87">
    <cfRule type="cellIs" dxfId="26" priority="9" stopIfTrue="1" operator="equal">
      <formula>"Mens Open"</formula>
    </cfRule>
  </conditionalFormatting>
  <conditionalFormatting sqref="A1:A87">
    <cfRule type="cellIs" dxfId="10" priority="10" stopIfTrue="1" operator="equal">
      <formula>"Womens Open"</formula>
    </cfRule>
  </conditionalFormatting>
  <conditionalFormatting sqref="C1:C7 C9:C87 I10:I14">
    <cfRule type="cellIs" dxfId="20" priority="11" stopIfTrue="1" operator="equal">
      <formula>"12U CoEd"</formula>
    </cfRule>
  </conditionalFormatting>
  <conditionalFormatting sqref="C1:C7 C9:C87 I10:I14">
    <cfRule type="cellIs" dxfId="2" priority="12" stopIfTrue="1" operator="equal">
      <formula>"13U CoEd"</formula>
    </cfRule>
  </conditionalFormatting>
  <conditionalFormatting sqref="C1:C7 C9:C87 I10:I14">
    <cfRule type="cellIs" dxfId="21" priority="13" stopIfTrue="1" operator="equal">
      <formula>"14U CoEd"</formula>
    </cfRule>
  </conditionalFormatting>
  <conditionalFormatting sqref="C1:C7 C9:C87 I10:I14">
    <cfRule type="cellIs" dxfId="4" priority="14" stopIfTrue="1" operator="equal">
      <formula>"15U Boys"</formula>
    </cfRule>
  </conditionalFormatting>
  <conditionalFormatting sqref="C1:C7 C9:C87 I10:I14">
    <cfRule type="cellIs" dxfId="22" priority="15" stopIfTrue="1" operator="equal">
      <formula>"16U Boys"</formula>
    </cfRule>
  </conditionalFormatting>
  <conditionalFormatting sqref="C1:C7 C9:C87 I10:I14">
    <cfRule type="cellIs" dxfId="23" priority="16" stopIfTrue="1" operator="equal">
      <formula>"16U Girls"</formula>
    </cfRule>
  </conditionalFormatting>
  <conditionalFormatting sqref="C1:C7 C9:C87 I10:I14">
    <cfRule type="cellIs" dxfId="24" priority="17" stopIfTrue="1" operator="equal">
      <formula>"18U Boys"</formula>
    </cfRule>
  </conditionalFormatting>
  <conditionalFormatting sqref="C1:C7 C9:C87 I10:I14">
    <cfRule type="cellIs" dxfId="25" priority="18" stopIfTrue="1" operator="equal">
      <formula>"18U Girls"</formula>
    </cfRule>
  </conditionalFormatting>
  <conditionalFormatting sqref="C1:C7 C9:C87 I10:I14">
    <cfRule type="cellIs" dxfId="26" priority="19" stopIfTrue="1" operator="equal">
      <formula>"M Open"</formula>
    </cfRule>
  </conditionalFormatting>
  <conditionalFormatting sqref="C1:C7 C9:C87 I10:I14">
    <cfRule type="cellIs" dxfId="10" priority="20" stopIfTrue="1" operator="equal">
      <formula>"W Open"</formula>
    </cfRule>
  </conditionalFormatting>
  <conditionalFormatting sqref="B1:B87 H10:H14">
    <cfRule type="cellIs" dxfId="1" priority="21" stopIfTrue="1" operator="equal">
      <formula>"12u CoEd"</formula>
    </cfRule>
  </conditionalFormatting>
  <conditionalFormatting sqref="B1:B87 H10:H14">
    <cfRule type="cellIs" dxfId="2" priority="22" stopIfTrue="1" operator="equal">
      <formula>"13u CoEd"</formula>
    </cfRule>
  </conditionalFormatting>
  <conditionalFormatting sqref="B1:B87 H10:H14">
    <cfRule type="cellIs" dxfId="3" priority="23" stopIfTrue="1" operator="equal">
      <formula>"14u CoEd"</formula>
    </cfRule>
  </conditionalFormatting>
  <conditionalFormatting sqref="B1:B87 H10:H14">
    <cfRule type="cellIs" dxfId="4" priority="24" stopIfTrue="1" operator="equal">
      <formula>"15u Boys"</formula>
    </cfRule>
  </conditionalFormatting>
  <conditionalFormatting sqref="B1:B87 H10:H14">
    <cfRule type="cellIs" dxfId="5" priority="25" stopIfTrue="1" operator="equal">
      <formula>"16u Boys"</formula>
    </cfRule>
  </conditionalFormatting>
  <conditionalFormatting sqref="B1:B87 H10:H14">
    <cfRule type="cellIs" dxfId="6" priority="26" stopIfTrue="1" operator="equal">
      <formula>"16u Girls"</formula>
    </cfRule>
  </conditionalFormatting>
  <conditionalFormatting sqref="B1:B87 H10:H14">
    <cfRule type="cellIs" dxfId="7" priority="27" stopIfTrue="1" operator="equal">
      <formula>"18u Boys"</formula>
    </cfRule>
  </conditionalFormatting>
  <conditionalFormatting sqref="B1:B87 H10:H14">
    <cfRule type="cellIs" dxfId="8" priority="28" stopIfTrue="1" operator="equal">
      <formula>"18u Girls"</formula>
    </cfRule>
  </conditionalFormatting>
  <conditionalFormatting sqref="B1:B87 H10:H14">
    <cfRule type="cellIs" dxfId="9" priority="29" stopIfTrue="1" operator="equal">
      <formula>"Mens Open"</formula>
    </cfRule>
  </conditionalFormatting>
  <conditionalFormatting sqref="B1:B87 H10:H14">
    <cfRule type="cellIs" dxfId="10" priority="30" stopIfTrue="1" operator="equal">
      <formula>"Womens Open"</formula>
    </cfRule>
  </conditionalFormatting>
  <conditionalFormatting sqref="H1:H87">
    <cfRule type="cellIs" dxfId="1" priority="31" stopIfTrue="1" operator="equal">
      <formula>"12u CoEd"</formula>
    </cfRule>
  </conditionalFormatting>
  <conditionalFormatting sqref="H1:H87">
    <cfRule type="cellIs" dxfId="2" priority="32" stopIfTrue="1" operator="equal">
      <formula>"13u CoEd"</formula>
    </cfRule>
  </conditionalFormatting>
  <conditionalFormatting sqref="H1:H87">
    <cfRule type="cellIs" dxfId="3" priority="33" stopIfTrue="1" operator="equal">
      <formula>"14u CoEd"</formula>
    </cfRule>
  </conditionalFormatting>
  <conditionalFormatting sqref="H1:H87">
    <cfRule type="cellIs" dxfId="4" priority="34" stopIfTrue="1" operator="equal">
      <formula>"15u Boys"</formula>
    </cfRule>
  </conditionalFormatting>
  <conditionalFormatting sqref="H1:H87">
    <cfRule type="cellIs" dxfId="5" priority="35" stopIfTrue="1" operator="equal">
      <formula>"16u Boys"</formula>
    </cfRule>
  </conditionalFormatting>
  <conditionalFormatting sqref="H1:H87">
    <cfRule type="cellIs" dxfId="6" priority="36" stopIfTrue="1" operator="equal">
      <formula>"16u Girls"</formula>
    </cfRule>
  </conditionalFormatting>
  <conditionalFormatting sqref="H1:H87">
    <cfRule type="cellIs" dxfId="7" priority="37" stopIfTrue="1" operator="equal">
      <formula>"18u Boys"</formula>
    </cfRule>
  </conditionalFormatting>
  <conditionalFormatting sqref="H1:H87">
    <cfRule type="cellIs" dxfId="8" priority="38" stopIfTrue="1" operator="equal">
      <formula>"18u Girls"</formula>
    </cfRule>
  </conditionalFormatting>
  <conditionalFormatting sqref="H1:H87">
    <cfRule type="cellIs" dxfId="9" priority="39" stopIfTrue="1" operator="equal">
      <formula>"Mens Open"</formula>
    </cfRule>
  </conditionalFormatting>
  <conditionalFormatting sqref="H1:H87">
    <cfRule type="cellIs" dxfId="10" priority="40" stopIfTrue="1" operator="equal">
      <formula>"Womens Open"</formula>
    </cfRule>
  </conditionalFormatting>
  <printOptions horizontalCentered="1"/>
  <pageMargins bottom="0.75" footer="0.0" header="0.0" left="0.25" right="0.25" top="0.75"/>
  <pageSetup orientation="landscape"/>
  <rowBreaks count="2" manualBreakCount="2">
    <brk id="22" man="1"/>
    <brk id="59" man="1"/>
  </rowBreaks>
  <colBreaks count="2" manualBreakCount="2">
    <brk man="1"/>
    <brk id="11" man="1"/>
  </colBreaks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1.22" defaultRowHeight="15.0"/>
  <cols>
    <col customWidth="1" min="1" max="1" width="9.89"/>
    <col customWidth="1" min="2" max="2" width="20.11"/>
    <col customWidth="1" min="3" max="3" width="6.78"/>
    <col customWidth="1" min="4" max="4" width="7.44"/>
    <col customWidth="1" min="5" max="5" width="8.44"/>
    <col customWidth="1" min="6" max="6" width="14.56"/>
    <col customWidth="1" min="7" max="7" width="20.11"/>
  </cols>
  <sheetData>
    <row r="1">
      <c r="A1" s="350" t="s">
        <v>76</v>
      </c>
      <c r="L1" s="351" t="s">
        <v>77</v>
      </c>
    </row>
    <row r="2">
      <c r="A2" s="352" t="s">
        <v>78</v>
      </c>
      <c r="B2" s="353" t="s">
        <v>79</v>
      </c>
      <c r="C2" s="354"/>
      <c r="D2" s="354"/>
      <c r="E2" s="354"/>
      <c r="F2" s="355" t="s">
        <v>80</v>
      </c>
      <c r="G2" s="356">
        <v>45932.0</v>
      </c>
      <c r="L2" s="357" t="str">
        <f>IFERROR(__xludf.DUMMYFUNCTION(" SORT(
    UNIQUE(
      TOCOL({FILTER(Scores!F3:F1000, Scores!F3:F1000&lt;&gt;""""); FILTER(Scores!H3:H1000, Scores!H3:H1000&lt;&gt;"""")}, 1)
    )
  )"),"Barcelona")</f>
        <v>Barcelona</v>
      </c>
    </row>
    <row r="3">
      <c r="A3" s="358"/>
      <c r="B3" s="358"/>
      <c r="C3" s="359"/>
      <c r="D3" s="359"/>
      <c r="E3" s="359"/>
      <c r="F3" s="359"/>
      <c r="G3" s="359"/>
      <c r="L3" s="357" t="str">
        <f>IFERROR(__xludf.DUMMYFUNCTION("""COMPUTED_VALUE"""),"BREAK")</f>
        <v>BREAK</v>
      </c>
    </row>
    <row r="4">
      <c r="A4" s="360" t="s">
        <v>81</v>
      </c>
      <c r="B4" s="361" t="s">
        <v>44</v>
      </c>
      <c r="C4" s="362" t="s">
        <v>12</v>
      </c>
      <c r="D4" s="362" t="s">
        <v>4</v>
      </c>
      <c r="E4" s="362" t="s">
        <v>6</v>
      </c>
      <c r="F4" s="362" t="s">
        <v>73</v>
      </c>
      <c r="G4" s="363" t="s">
        <v>74</v>
      </c>
      <c r="L4" s="357" t="str">
        <f>IFERROR(__xludf.DUMMYFUNCTION("""COMPUTED_VALUE"""),"Cayman Islands")</f>
        <v>Cayman Islands</v>
      </c>
    </row>
    <row r="5">
      <c r="A5" s="364" t="str">
        <f>IFERROR(__xludf.DUMMYFUNCTION("IF($B$2="""","""",
  SORT(
    FILTER(
      {Scores!A3:A1000, Scores!B3:B1000, Scores!C3:C1000, Scores!D3:D1000, Scores!E3:E1000, Scores!F3:F1000, Scores!H3:H1000},
      (LOWER(Scores!F3:F1000)=LOWER($B$2)) + (LOWER(Scores!H3:H1000)=LOWER($B$2)) &gt; 0
   "&amp;" ),
    1, TRUE
  )
)"),"#N/A")</f>
        <v>#N/A</v>
      </c>
      <c r="B5" s="365"/>
      <c r="C5" s="366"/>
      <c r="D5" s="366"/>
      <c r="E5" s="367"/>
      <c r="F5" s="368"/>
      <c r="G5" s="369"/>
      <c r="L5" s="357" t="str">
        <f>IFERROR(__xludf.DUMMYFUNCTION("""COMPUTED_VALUE"""),"Gladiators")</f>
        <v>Gladiators</v>
      </c>
    </row>
    <row r="6">
      <c r="A6" s="370"/>
      <c r="B6" s="365"/>
      <c r="C6" s="371"/>
      <c r="D6" s="371"/>
      <c r="E6" s="372"/>
      <c r="F6" s="373"/>
      <c r="G6" s="374"/>
      <c r="L6" s="357" t="str">
        <f>IFERROR(__xludf.DUMMYFUNCTION("""COMPUTED_VALUE"""),"NextLevel")</f>
        <v>NextLevel</v>
      </c>
    </row>
    <row r="7">
      <c r="A7" s="364"/>
      <c r="B7" s="365"/>
      <c r="C7" s="366"/>
      <c r="D7" s="366"/>
      <c r="E7" s="367"/>
      <c r="F7" s="368"/>
      <c r="G7" s="369"/>
      <c r="L7" s="357" t="str">
        <f>IFERROR(__xludf.DUMMYFUNCTION("""COMPUTED_VALUE"""),"Orl. Thunder")</f>
        <v>Orl. Thunder</v>
      </c>
    </row>
    <row r="8">
      <c r="A8" s="370"/>
      <c r="B8" s="365"/>
      <c r="C8" s="371"/>
      <c r="D8" s="371"/>
      <c r="E8" s="372"/>
      <c r="F8" s="373"/>
      <c r="G8" s="374"/>
      <c r="L8" s="357" t="str">
        <f>IFERROR(__xludf.DUMMYFUNCTION("""COMPUTED_VALUE"""),"Orl. United")</f>
        <v>Orl. United</v>
      </c>
    </row>
    <row r="9">
      <c r="A9" s="375"/>
      <c r="B9" s="376"/>
      <c r="C9" s="377"/>
      <c r="D9" s="377"/>
      <c r="E9" s="378"/>
      <c r="F9" s="379"/>
      <c r="G9" s="380"/>
      <c r="L9" s="357" t="str">
        <f>IFERROR(__xludf.DUMMYFUNCTION("""COMPUTED_VALUE"""),"Patriots")</f>
        <v>Patriots</v>
      </c>
    </row>
    <row r="10">
      <c r="A10" s="381"/>
      <c r="B10" s="365"/>
      <c r="C10" s="382"/>
      <c r="D10" s="382"/>
      <c r="E10" s="383"/>
      <c r="F10" s="384"/>
      <c r="G10" s="385"/>
      <c r="L10" s="357" t="str">
        <f>IFERROR(__xludf.DUMMYFUNCTION("""COMPUTED_VALUE"""),"Sarasota")</f>
        <v>Sarasota</v>
      </c>
    </row>
    <row r="11">
      <c r="A11" s="375"/>
      <c r="B11" s="376"/>
      <c r="C11" s="377"/>
      <c r="D11" s="377"/>
      <c r="E11" s="378"/>
      <c r="F11" s="379"/>
      <c r="G11" s="380"/>
      <c r="L11" s="357" t="str">
        <f>IFERROR(__xludf.DUMMYFUNCTION("""COMPUTED_VALUE"""),"Seminole")</f>
        <v>Seminole</v>
      </c>
    </row>
    <row r="12">
      <c r="A12" s="381"/>
      <c r="B12" s="376"/>
      <c r="C12" s="382"/>
      <c r="D12" s="382"/>
      <c r="E12" s="383"/>
      <c r="F12" s="384"/>
      <c r="G12" s="385"/>
      <c r="L12" s="357" t="str">
        <f>IFERROR(__xludf.DUMMYFUNCTION("""COMPUTED_VALUE"""),"SJ Cariba")</f>
        <v>SJ Cariba</v>
      </c>
    </row>
    <row r="13">
      <c r="A13" s="375"/>
      <c r="B13" s="376"/>
      <c r="C13" s="377"/>
      <c r="D13" s="377"/>
      <c r="E13" s="378"/>
      <c r="F13" s="379"/>
      <c r="G13" s="380"/>
      <c r="L13" s="357" t="str">
        <f>IFERROR(__xludf.DUMMYFUNCTION("""COMPUTED_VALUE"""),"Tampa")</f>
        <v>Tampa</v>
      </c>
    </row>
    <row r="14">
      <c r="A14" s="381"/>
      <c r="B14" s="376"/>
      <c r="C14" s="382"/>
      <c r="D14" s="382"/>
      <c r="E14" s="383"/>
      <c r="F14" s="384"/>
      <c r="G14" s="385"/>
      <c r="L14" s="357" t="str">
        <f>IFERROR(__xludf.DUMMYFUNCTION("""COMPUTED_VALUE"""),"Team Orlando")</f>
        <v>Team Orlando</v>
      </c>
    </row>
    <row r="15">
      <c r="A15" s="375"/>
      <c r="B15" s="376"/>
      <c r="C15" s="377"/>
      <c r="D15" s="377"/>
      <c r="E15" s="378"/>
      <c r="F15" s="379"/>
      <c r="G15" s="380"/>
      <c r="L15" s="357" t="str">
        <f>IFERROR(__xludf.DUMMYFUNCTION("""COMPUTED_VALUE"""),"TO Black")</f>
        <v>TO Black</v>
      </c>
    </row>
    <row r="16">
      <c r="A16" s="381"/>
      <c r="B16" s="376"/>
      <c r="C16" s="382"/>
      <c r="D16" s="382"/>
      <c r="E16" s="383"/>
      <c r="F16" s="384"/>
      <c r="G16" s="385"/>
      <c r="L16" s="357" t="str">
        <f>IFERROR(__xludf.DUMMYFUNCTION("""COMPUTED_VALUE"""),"TO Blue")</f>
        <v>TO Blue</v>
      </c>
    </row>
    <row r="17">
      <c r="A17" s="375"/>
      <c r="B17" s="376"/>
      <c r="C17" s="377"/>
      <c r="D17" s="377"/>
      <c r="E17" s="378"/>
      <c r="F17" s="379"/>
      <c r="G17" s="380"/>
      <c r="L17" s="357"/>
    </row>
    <row r="18">
      <c r="A18" s="381"/>
      <c r="B18" s="376"/>
      <c r="C18" s="382"/>
      <c r="D18" s="382"/>
      <c r="E18" s="383"/>
      <c r="F18" s="384"/>
      <c r="G18" s="385"/>
      <c r="L18" s="357"/>
    </row>
    <row r="19">
      <c r="A19" s="375"/>
      <c r="B19" s="376"/>
      <c r="C19" s="377"/>
      <c r="D19" s="377"/>
      <c r="E19" s="378"/>
      <c r="F19" s="379"/>
      <c r="G19" s="380"/>
      <c r="L19" s="357"/>
    </row>
    <row r="20">
      <c r="A20" s="381"/>
      <c r="B20" s="376"/>
      <c r="C20" s="382"/>
      <c r="D20" s="382"/>
      <c r="E20" s="383"/>
      <c r="F20" s="384"/>
      <c r="G20" s="385"/>
      <c r="L20" s="357"/>
    </row>
    <row r="21">
      <c r="A21" s="375"/>
      <c r="B21" s="376"/>
      <c r="C21" s="377"/>
      <c r="D21" s="377"/>
      <c r="E21" s="378"/>
      <c r="F21" s="379"/>
      <c r="G21" s="380"/>
      <c r="L21" s="357"/>
    </row>
    <row r="22">
      <c r="A22" s="386"/>
      <c r="B22" s="376"/>
      <c r="C22" s="387"/>
      <c r="D22" s="387"/>
      <c r="E22" s="388"/>
      <c r="F22" s="389"/>
      <c r="G22" s="390"/>
      <c r="L22" s="357"/>
    </row>
    <row r="23">
      <c r="I23" s="391" t="s">
        <v>0</v>
      </c>
      <c r="L23" s="357"/>
    </row>
    <row r="24">
      <c r="A24" s="392" t="s">
        <v>82</v>
      </c>
      <c r="B24" s="393"/>
      <c r="C24" s="393"/>
      <c r="D24" s="393"/>
      <c r="E24" s="393"/>
      <c r="F24" s="393"/>
      <c r="G24" s="394"/>
      <c r="L24" s="357"/>
    </row>
    <row r="25">
      <c r="A25" s="395" t="s">
        <v>81</v>
      </c>
      <c r="B25" s="396" t="s">
        <v>44</v>
      </c>
      <c r="C25" s="397" t="s">
        <v>12</v>
      </c>
      <c r="D25" s="398" t="s">
        <v>4</v>
      </c>
      <c r="E25" s="397" t="s">
        <v>6</v>
      </c>
      <c r="F25" s="397" t="s">
        <v>13</v>
      </c>
      <c r="G25" s="399" t="s">
        <v>15</v>
      </c>
      <c r="L25" s="357"/>
    </row>
    <row r="26">
      <c r="A26" s="400">
        <v>42.5</v>
      </c>
      <c r="B26" s="401" t="s">
        <v>39</v>
      </c>
      <c r="C26" s="401" t="s">
        <v>32</v>
      </c>
      <c r="D26" s="401">
        <v>3.0</v>
      </c>
      <c r="E26" s="402">
        <v>0.6388888888888888</v>
      </c>
      <c r="F26" s="403" t="s">
        <v>39</v>
      </c>
      <c r="G26" s="404" t="s">
        <v>39</v>
      </c>
      <c r="L26" s="357"/>
    </row>
    <row r="27">
      <c r="A27" s="405">
        <v>45.0</v>
      </c>
      <c r="B27" s="406" t="s">
        <v>31</v>
      </c>
      <c r="C27" s="407" t="s">
        <v>32</v>
      </c>
      <c r="D27" s="407">
        <v>3.0</v>
      </c>
      <c r="E27" s="408">
        <v>0.6770833333333334</v>
      </c>
      <c r="F27" s="409" t="s">
        <v>83</v>
      </c>
      <c r="G27" s="410" t="s">
        <v>84</v>
      </c>
      <c r="L27" s="357"/>
    </row>
    <row r="28">
      <c r="A28" s="400">
        <v>48.0</v>
      </c>
      <c r="B28" s="406" t="s">
        <v>31</v>
      </c>
      <c r="C28" s="401" t="s">
        <v>32</v>
      </c>
      <c r="D28" s="401">
        <v>3.0</v>
      </c>
      <c r="E28" s="402">
        <v>0.7152777777777778</v>
      </c>
      <c r="F28" s="403" t="s">
        <v>85</v>
      </c>
      <c r="G28" s="404" t="s">
        <v>86</v>
      </c>
      <c r="L28" s="357"/>
    </row>
    <row r="29">
      <c r="A29" s="405">
        <v>51.0</v>
      </c>
      <c r="B29" s="406" t="s">
        <v>31</v>
      </c>
      <c r="C29" s="407" t="s">
        <v>32</v>
      </c>
      <c r="D29" s="407">
        <v>3.0</v>
      </c>
      <c r="E29" s="408">
        <v>0.7534722222222222</v>
      </c>
      <c r="F29" s="409" t="s">
        <v>87</v>
      </c>
      <c r="G29" s="410" t="s">
        <v>88</v>
      </c>
      <c r="L29" s="357"/>
    </row>
    <row r="30">
      <c r="A30" s="400">
        <v>54.0</v>
      </c>
      <c r="B30" s="406" t="s">
        <v>31</v>
      </c>
      <c r="C30" s="401" t="s">
        <v>32</v>
      </c>
      <c r="D30" s="401">
        <v>3.0</v>
      </c>
      <c r="E30" s="402">
        <v>0.7916666666666666</v>
      </c>
      <c r="F30" s="403" t="s">
        <v>83</v>
      </c>
      <c r="G30" s="404" t="s">
        <v>89</v>
      </c>
      <c r="L30" s="357"/>
    </row>
    <row r="31">
      <c r="A31" s="405">
        <v>55.0</v>
      </c>
      <c r="B31" s="406" t="s">
        <v>17</v>
      </c>
      <c r="C31" s="407" t="s">
        <v>41</v>
      </c>
      <c r="D31" s="407">
        <v>1.0</v>
      </c>
      <c r="E31" s="408">
        <v>0.2951388888888889</v>
      </c>
      <c r="F31" s="409" t="s">
        <v>90</v>
      </c>
      <c r="G31" s="410" t="s">
        <v>91</v>
      </c>
      <c r="L31" s="357"/>
    </row>
    <row r="32">
      <c r="A32" s="400">
        <v>57.0</v>
      </c>
      <c r="B32" s="406" t="s">
        <v>26</v>
      </c>
      <c r="C32" s="401" t="s">
        <v>41</v>
      </c>
      <c r="D32" s="401">
        <v>3.0</v>
      </c>
      <c r="E32" s="402">
        <v>0.2951388888888889</v>
      </c>
      <c r="F32" s="403" t="s">
        <v>92</v>
      </c>
      <c r="G32" s="404" t="s">
        <v>93</v>
      </c>
      <c r="L32" s="357"/>
    </row>
    <row r="33">
      <c r="A33" s="405">
        <v>58.0</v>
      </c>
      <c r="B33" s="406" t="s">
        <v>17</v>
      </c>
      <c r="C33" s="407" t="s">
        <v>41</v>
      </c>
      <c r="D33" s="407">
        <v>1.0</v>
      </c>
      <c r="E33" s="408">
        <v>0.3333333333333333</v>
      </c>
      <c r="F33" s="409" t="s">
        <v>94</v>
      </c>
      <c r="G33" s="410" t="s">
        <v>95</v>
      </c>
      <c r="L33" s="357"/>
    </row>
    <row r="34">
      <c r="A34" s="400">
        <v>60.0</v>
      </c>
      <c r="B34" s="406" t="s">
        <v>26</v>
      </c>
      <c r="C34" s="401" t="s">
        <v>41</v>
      </c>
      <c r="D34" s="401">
        <v>3.0</v>
      </c>
      <c r="E34" s="402">
        <v>0.3333333333333333</v>
      </c>
      <c r="F34" s="403" t="s">
        <v>96</v>
      </c>
      <c r="G34" s="404" t="s">
        <v>97</v>
      </c>
      <c r="L34" s="357"/>
    </row>
    <row r="35">
      <c r="A35" s="405">
        <v>61.0</v>
      </c>
      <c r="B35" s="406" t="s">
        <v>17</v>
      </c>
      <c r="C35" s="407" t="s">
        <v>41</v>
      </c>
      <c r="D35" s="407">
        <v>1.0</v>
      </c>
      <c r="E35" s="408">
        <v>0.3715277777777778</v>
      </c>
      <c r="F35" s="409" t="s">
        <v>98</v>
      </c>
      <c r="G35" s="410" t="s">
        <v>99</v>
      </c>
      <c r="L35" s="357"/>
    </row>
    <row r="36">
      <c r="A36" s="400">
        <v>62.0</v>
      </c>
      <c r="B36" s="406" t="s">
        <v>17</v>
      </c>
      <c r="C36" s="401" t="s">
        <v>41</v>
      </c>
      <c r="D36" s="401">
        <v>2.0</v>
      </c>
      <c r="E36" s="402">
        <v>0.3715277777777778</v>
      </c>
      <c r="F36" s="403" t="s">
        <v>100</v>
      </c>
      <c r="G36" s="404" t="s">
        <v>91</v>
      </c>
      <c r="L36" s="357"/>
    </row>
    <row r="37">
      <c r="A37" s="405">
        <v>63.0</v>
      </c>
      <c r="B37" s="406" t="s">
        <v>26</v>
      </c>
      <c r="C37" s="407" t="s">
        <v>41</v>
      </c>
      <c r="D37" s="407">
        <v>3.0</v>
      </c>
      <c r="E37" s="408">
        <v>0.3715277777777778</v>
      </c>
      <c r="F37" s="409" t="s">
        <v>101</v>
      </c>
      <c r="G37" s="410" t="s">
        <v>102</v>
      </c>
      <c r="L37" s="357"/>
    </row>
    <row r="38">
      <c r="A38" s="400">
        <v>66.0</v>
      </c>
      <c r="B38" s="406" t="s">
        <v>26</v>
      </c>
      <c r="C38" s="401" t="s">
        <v>41</v>
      </c>
      <c r="D38" s="401">
        <v>3.0</v>
      </c>
      <c r="E38" s="402">
        <v>0.4097222222222222</v>
      </c>
      <c r="F38" s="403" t="s">
        <v>92</v>
      </c>
      <c r="G38" s="404" t="s">
        <v>103</v>
      </c>
      <c r="L38" s="357"/>
    </row>
    <row r="39">
      <c r="A39" s="405">
        <v>68.0</v>
      </c>
      <c r="B39" s="406" t="s">
        <v>17</v>
      </c>
      <c r="C39" s="407" t="s">
        <v>41</v>
      </c>
      <c r="D39" s="407">
        <v>2.0</v>
      </c>
      <c r="E39" s="408">
        <v>0.4479166666666667</v>
      </c>
      <c r="F39" s="409" t="s">
        <v>90</v>
      </c>
      <c r="G39" s="410" t="s">
        <v>100</v>
      </c>
      <c r="L39" s="357"/>
    </row>
    <row r="40">
      <c r="A40" s="400">
        <v>69.0</v>
      </c>
      <c r="B40" s="406" t="s">
        <v>31</v>
      </c>
      <c r="C40" s="401" t="s">
        <v>41</v>
      </c>
      <c r="D40" s="401">
        <v>3.0</v>
      </c>
      <c r="E40" s="402">
        <v>0.4479166666666667</v>
      </c>
      <c r="F40" s="403" t="s">
        <v>84</v>
      </c>
      <c r="G40" s="404" t="s">
        <v>89</v>
      </c>
      <c r="L40" s="357"/>
    </row>
    <row r="41">
      <c r="A41" s="405">
        <v>72.0</v>
      </c>
      <c r="B41" s="406" t="s">
        <v>31</v>
      </c>
      <c r="C41" s="407" t="s">
        <v>41</v>
      </c>
      <c r="D41" s="407">
        <v>3.0</v>
      </c>
      <c r="E41" s="408">
        <v>0.4861111111111111</v>
      </c>
      <c r="F41" s="409" t="s">
        <v>104</v>
      </c>
      <c r="G41" s="410" t="s">
        <v>105</v>
      </c>
      <c r="L41" s="357"/>
    </row>
    <row r="42">
      <c r="A42" s="400">
        <v>73.0</v>
      </c>
      <c r="B42" s="406" t="s">
        <v>17</v>
      </c>
      <c r="C42" s="401" t="s">
        <v>41</v>
      </c>
      <c r="D42" s="401">
        <v>1.0</v>
      </c>
      <c r="E42" s="402">
        <v>0.5243055555555556</v>
      </c>
      <c r="F42" s="403" t="s">
        <v>106</v>
      </c>
      <c r="G42" s="404" t="s">
        <v>107</v>
      </c>
      <c r="L42" s="357"/>
    </row>
    <row r="43">
      <c r="A43" s="405">
        <v>75.0</v>
      </c>
      <c r="B43" s="406" t="s">
        <v>31</v>
      </c>
      <c r="C43" s="407" t="s">
        <v>41</v>
      </c>
      <c r="D43" s="407">
        <v>3.0</v>
      </c>
      <c r="E43" s="408">
        <v>0.5243055555555556</v>
      </c>
      <c r="F43" s="409" t="s">
        <v>106</v>
      </c>
      <c r="G43" s="410" t="s">
        <v>108</v>
      </c>
      <c r="L43" s="357"/>
    </row>
    <row r="44">
      <c r="A44" s="400">
        <v>77.0</v>
      </c>
      <c r="B44" s="406" t="s">
        <v>17</v>
      </c>
      <c r="C44" s="401" t="s">
        <v>41</v>
      </c>
      <c r="D44" s="401">
        <v>2.0</v>
      </c>
      <c r="E44" s="402">
        <v>0.5625</v>
      </c>
      <c r="F44" s="403" t="s">
        <v>104</v>
      </c>
      <c r="G44" s="404" t="s">
        <v>109</v>
      </c>
      <c r="L44" s="357"/>
    </row>
    <row r="45">
      <c r="A45" s="405">
        <v>78.0</v>
      </c>
      <c r="B45" s="406" t="s">
        <v>26</v>
      </c>
      <c r="C45" s="407" t="s">
        <v>41</v>
      </c>
      <c r="D45" s="407">
        <v>3.0</v>
      </c>
      <c r="E45" s="408">
        <v>0.5625</v>
      </c>
      <c r="F45" s="409" t="s">
        <v>104</v>
      </c>
      <c r="G45" s="410" t="s">
        <v>110</v>
      </c>
      <c r="L45" s="357"/>
    </row>
    <row r="46">
      <c r="A46" s="400">
        <v>81.0</v>
      </c>
      <c r="B46" s="406" t="s">
        <v>26</v>
      </c>
      <c r="C46" s="401" t="s">
        <v>41</v>
      </c>
      <c r="D46" s="401">
        <v>3.0</v>
      </c>
      <c r="E46" s="402">
        <v>0.6006944444444444</v>
      </c>
      <c r="F46" s="403" t="s">
        <v>106</v>
      </c>
      <c r="G46" s="404" t="s">
        <v>111</v>
      </c>
      <c r="L46" s="357"/>
    </row>
    <row r="47">
      <c r="A47" s="411">
        <v>84.0</v>
      </c>
      <c r="B47" s="406" t="s">
        <v>26</v>
      </c>
      <c r="C47" s="412" t="s">
        <v>41</v>
      </c>
      <c r="D47" s="412">
        <v>3.0</v>
      </c>
      <c r="E47" s="413">
        <v>0.6388888888888888</v>
      </c>
      <c r="F47" s="414" t="s">
        <v>93</v>
      </c>
      <c r="G47" s="415" t="s">
        <v>103</v>
      </c>
    </row>
  </sheetData>
  <mergeCells count="2">
    <mergeCell ref="A1:G1"/>
    <mergeCell ref="A24:G24"/>
  </mergeCells>
  <conditionalFormatting sqref="B1:B23 C11:C23 B48:B1000 C48:C69">
    <cfRule type="cellIs" dxfId="2" priority="1" stopIfTrue="1" operator="equal">
      <formula>"13u CoEd"</formula>
    </cfRule>
  </conditionalFormatting>
  <conditionalFormatting sqref="B1:B23 C11:C23 B48:B1000 C48:C69">
    <cfRule type="cellIs" dxfId="4" priority="2" stopIfTrue="1" operator="equal">
      <formula>"15u Boys"</formula>
    </cfRule>
  </conditionalFormatting>
  <conditionalFormatting sqref="B1:B23 C11:C23 B48:B1000 C48:C69">
    <cfRule type="cellIs" dxfId="2" priority="3" stopIfTrue="1" operator="equal">
      <formula>"13u CoEd"</formula>
    </cfRule>
  </conditionalFormatting>
  <conditionalFormatting sqref="B1:B23 C11:C23 B48:B1000 C48:C69">
    <cfRule type="cellIs" dxfId="10" priority="4" stopIfTrue="1" operator="equal">
      <formula>"Womens Open"</formula>
    </cfRule>
  </conditionalFormatting>
  <conditionalFormatting sqref="B1:B23 C11:C23 B48:B1000 C48:C69">
    <cfRule type="cellIs" dxfId="4" priority="5" stopIfTrue="1" operator="equal">
      <formula>"15u Boys"</formula>
    </cfRule>
  </conditionalFormatting>
  <conditionalFormatting sqref="B1:B23 C11:C23 B48:B1000 C48:C69">
    <cfRule type="cellIs" dxfId="2" priority="6" stopIfTrue="1" operator="equal">
      <formula>"13u CoEd"</formula>
    </cfRule>
  </conditionalFormatting>
  <conditionalFormatting sqref="B1:B23 C11:C23 B48:B1000 C48:C69">
    <cfRule type="cellIs" dxfId="10" priority="7" stopIfTrue="1" operator="equal">
      <formula>"Womens Open"</formula>
    </cfRule>
  </conditionalFormatting>
  <conditionalFormatting sqref="B1:B23 C11:C23 B48:B1000 C48:C69">
    <cfRule type="cellIs" dxfId="4" priority="8" stopIfTrue="1" operator="equal">
      <formula>"15u Boys"</formula>
    </cfRule>
  </conditionalFormatting>
  <conditionalFormatting sqref="B1:B23 C11:C23 B48:B1000 C48:C69">
    <cfRule type="cellIs" dxfId="2" priority="9" stopIfTrue="1" operator="equal">
      <formula>"13u CoEd"</formula>
    </cfRule>
  </conditionalFormatting>
  <conditionalFormatting sqref="B1:B23 C11:C23 B48:B1000 C48:C69">
    <cfRule type="cellIs" dxfId="10" priority="10" stopIfTrue="1" operator="equal">
      <formula>"Womens Open"</formula>
    </cfRule>
  </conditionalFormatting>
  <conditionalFormatting sqref="B1:B23 C11:C23 B48:B1000 C48:C69">
    <cfRule type="cellIs" dxfId="4" priority="11" stopIfTrue="1" operator="equal">
      <formula>"15u Boys"</formula>
    </cfRule>
  </conditionalFormatting>
  <conditionalFormatting sqref="B1:B23 C11:C23 B48:B1000 C48:C69">
    <cfRule type="cellIs" dxfId="2" priority="12" stopIfTrue="1" operator="equal">
      <formula>"13u CoEd"</formula>
    </cfRule>
  </conditionalFormatting>
  <conditionalFormatting sqref="B1:B23 C11:C23 B48:B1000 C48:C69">
    <cfRule type="cellIs" dxfId="10" priority="13" stopIfTrue="1" operator="equal">
      <formula>"Womens Open"</formula>
    </cfRule>
  </conditionalFormatting>
  <conditionalFormatting sqref="B1:B23 C11:C23 B48:B1000 C48:C69">
    <cfRule type="cellIs" dxfId="4" priority="14" stopIfTrue="1" operator="equal">
      <formula>"15u Boys"</formula>
    </cfRule>
  </conditionalFormatting>
  <conditionalFormatting sqref="B1:B23 C11:C23 B48:B1000 C48:C69">
    <cfRule type="cellIs" dxfId="2" priority="15" stopIfTrue="1" operator="equal">
      <formula>"13u CoEd"</formula>
    </cfRule>
  </conditionalFormatting>
  <conditionalFormatting sqref="B1:B23 C11:C23 B48:B1000 C48:C69">
    <cfRule type="cellIs" dxfId="10" priority="16" stopIfTrue="1" operator="equal">
      <formula>"Womens Open"</formula>
    </cfRule>
  </conditionalFormatting>
  <conditionalFormatting sqref="B1:B23 C11:C23 B48:B1000 C48:C69">
    <cfRule type="cellIs" dxfId="4" priority="17" stopIfTrue="1" operator="equal">
      <formula>"15u Boys"</formula>
    </cfRule>
  </conditionalFormatting>
  <conditionalFormatting sqref="B1:B23 C11:C23 B48:B1000 C48:C69">
    <cfRule type="cellIs" dxfId="2" priority="18" stopIfTrue="1" operator="equal">
      <formula>"13u CoEd"</formula>
    </cfRule>
  </conditionalFormatting>
  <conditionalFormatting sqref="B1:B23 C11:C23 B48:B1000 C48:C69">
    <cfRule type="cellIs" dxfId="10" priority="19" stopIfTrue="1" operator="equal">
      <formula>"Womens Open"</formula>
    </cfRule>
  </conditionalFormatting>
  <conditionalFormatting sqref="B1:B23 C11:C23 B48:B1000 C48:C69">
    <cfRule type="cellIs" dxfId="4" priority="20" stopIfTrue="1" operator="equal">
      <formula>"15u Boys"</formula>
    </cfRule>
  </conditionalFormatting>
  <conditionalFormatting sqref="B1:B23 C11:C23 B48:B1000 C48:C69">
    <cfRule type="cellIs" dxfId="2" priority="21" stopIfTrue="1" operator="equal">
      <formula>"13u CoEd"</formula>
    </cfRule>
  </conditionalFormatting>
  <conditionalFormatting sqref="B1:B23 C11:C23 B48:B1000 C48:C69">
    <cfRule type="cellIs" dxfId="10" priority="22" stopIfTrue="1" operator="equal">
      <formula>"Womens Open"</formula>
    </cfRule>
  </conditionalFormatting>
  <conditionalFormatting sqref="B1:B23 C11:C23 B48:B1000 C48:C69">
    <cfRule type="cellIs" dxfId="4" priority="23" stopIfTrue="1" operator="equal">
      <formula>"15u Boys"</formula>
    </cfRule>
  </conditionalFormatting>
  <conditionalFormatting sqref="B1:B23 C11:C23 B48:B1000 C48:C69">
    <cfRule type="cellIs" dxfId="2" priority="24" stopIfTrue="1" operator="equal">
      <formula>"13u CoEd"</formula>
    </cfRule>
  </conditionalFormatting>
  <conditionalFormatting sqref="B1:B23 C11:C23 B48:B1000 C48:C69">
    <cfRule type="cellIs" dxfId="10" priority="25" stopIfTrue="1" operator="equal">
      <formula>"Womens Open"</formula>
    </cfRule>
  </conditionalFormatting>
  <conditionalFormatting sqref="B1:B23 C11:C23 B48:B1000 C48:C69">
    <cfRule type="cellIs" dxfId="4" priority="26" stopIfTrue="1" operator="equal">
      <formula>"15u Boys"</formula>
    </cfRule>
  </conditionalFormatting>
  <conditionalFormatting sqref="B1:B23 C11:C23 B48:B1000 C48:C69">
    <cfRule type="cellIs" dxfId="2" priority="27" stopIfTrue="1" operator="equal">
      <formula>"13u CoEd"</formula>
    </cfRule>
  </conditionalFormatting>
  <conditionalFormatting sqref="B1:B23 C11:C23 B48:B1000 C48:C69">
    <cfRule type="cellIs" dxfId="10" priority="28" stopIfTrue="1" operator="equal">
      <formula>"Womens Open"</formula>
    </cfRule>
  </conditionalFormatting>
  <conditionalFormatting sqref="B1:B23 C11:C23 B48:B1000 C48:C69">
    <cfRule type="cellIs" dxfId="4" priority="29" stopIfTrue="1" operator="equal">
      <formula>"15u Boys"</formula>
    </cfRule>
  </conditionalFormatting>
  <conditionalFormatting sqref="B1:B23 C11:C23 B48:B1000 C48:C69">
    <cfRule type="cellIs" dxfId="2" priority="30" stopIfTrue="1" operator="equal">
      <formula>"13u CoEd"</formula>
    </cfRule>
  </conditionalFormatting>
  <conditionalFormatting sqref="B1:B23 C11:C23 B48:B1000 C48:C69">
    <cfRule type="cellIs" dxfId="10" priority="31" stopIfTrue="1" operator="equal">
      <formula>"Womens Open"</formula>
    </cfRule>
  </conditionalFormatting>
  <conditionalFormatting sqref="B1:B23 C11:C23 B48:B1000 C48:C69">
    <cfRule type="cellIs" dxfId="4" priority="32" stopIfTrue="1" operator="equal">
      <formula>"15u Boys"</formula>
    </cfRule>
  </conditionalFormatting>
  <conditionalFormatting sqref="B1:B23 C11:C23 B48:B1000 C48:C69">
    <cfRule type="cellIs" dxfId="2" priority="33" stopIfTrue="1" operator="equal">
      <formula>"13u CoEd"</formula>
    </cfRule>
  </conditionalFormatting>
  <conditionalFormatting sqref="B1:B23 C11:C23 B48:B1000 C48:C69">
    <cfRule type="cellIs" dxfId="10" priority="34" stopIfTrue="1" operator="equal">
      <formula>"Womens Open"</formula>
    </cfRule>
  </conditionalFormatting>
  <conditionalFormatting sqref="B1:B23 C11:C23 B48:B1000 C48:C69">
    <cfRule type="cellIs" dxfId="4" priority="35" stopIfTrue="1" operator="equal">
      <formula>"15u Boys"</formula>
    </cfRule>
  </conditionalFormatting>
  <conditionalFormatting sqref="B1:B23 C11:C23 B48:B1000 C48:C69">
    <cfRule type="cellIs" dxfId="2" priority="36" stopIfTrue="1" operator="equal">
      <formula>"13u CoEd"</formula>
    </cfRule>
  </conditionalFormatting>
  <conditionalFormatting sqref="B1:B23 C11:C23 B48:B1000 C48:C69">
    <cfRule type="cellIs" dxfId="10" priority="37" stopIfTrue="1" operator="equal">
      <formula>"Womens Open"</formula>
    </cfRule>
  </conditionalFormatting>
  <conditionalFormatting sqref="B1:B23 C11:C23 B48:B1000 C48:C69">
    <cfRule type="cellIs" dxfId="4" priority="38" stopIfTrue="1" operator="equal">
      <formula>"15u Boys"</formula>
    </cfRule>
  </conditionalFormatting>
  <conditionalFormatting sqref="B1:B23 C11:C23 B48:B1000 C48:C69">
    <cfRule type="cellIs" dxfId="2" priority="39" stopIfTrue="1" operator="equal">
      <formula>"13u CoEd"</formula>
    </cfRule>
  </conditionalFormatting>
  <conditionalFormatting sqref="B1:B23 C11:C23 B48:B1000 C48:C69">
    <cfRule type="cellIs" dxfId="10" priority="40" stopIfTrue="1" operator="equal">
      <formula>"Womens Open"</formula>
    </cfRule>
  </conditionalFormatting>
  <conditionalFormatting sqref="B1:B23 C11:C23 B48:B1000 C48:C69">
    <cfRule type="cellIs" dxfId="4" priority="41" stopIfTrue="1" operator="equal">
      <formula>"15u Boys"</formula>
    </cfRule>
  </conditionalFormatting>
  <conditionalFormatting sqref="B1:B23 C11:C23 B48:B1000 C48:C69">
    <cfRule type="cellIs" dxfId="20" priority="42" stopIfTrue="1" operator="equal">
      <formula>"12u CoEd"</formula>
    </cfRule>
  </conditionalFormatting>
  <conditionalFormatting sqref="B1:B23 C11:C23 B48:B1000 C48:C69">
    <cfRule type="cellIs" dxfId="2" priority="43" stopIfTrue="1" operator="equal">
      <formula>"13u CoEd"</formula>
    </cfRule>
  </conditionalFormatting>
  <conditionalFormatting sqref="B1:B23 C11:C23 B48:B1000 C48:C69">
    <cfRule type="cellIs" dxfId="10" priority="44" stopIfTrue="1" operator="equal">
      <formula>"Womens Open"</formula>
    </cfRule>
  </conditionalFormatting>
  <conditionalFormatting sqref="B1:B23 C11:C23 B48:B1000 C48:C69">
    <cfRule type="cellIs" dxfId="4" priority="45" stopIfTrue="1" operator="equal">
      <formula>"15u Boys"</formula>
    </cfRule>
  </conditionalFormatting>
  <conditionalFormatting sqref="B1:B23 C11:C23 B48:B1000 C48:C69">
    <cfRule type="cellIs" dxfId="22" priority="46" stopIfTrue="1" operator="equal">
      <formula>"16u Boys"</formula>
    </cfRule>
  </conditionalFormatting>
  <conditionalFormatting sqref="B1:B23 C11:C23 B48:B1000 C48:C69">
    <cfRule type="cellIs" dxfId="23" priority="47" stopIfTrue="1" operator="equal">
      <formula>"16u Girls"</formula>
    </cfRule>
  </conditionalFormatting>
  <conditionalFormatting sqref="B1:B23 C11:C23 B48:B1000 C48:C69">
    <cfRule type="cellIs" dxfId="24" priority="48" stopIfTrue="1" operator="equal">
      <formula>"18u Boys"</formula>
    </cfRule>
  </conditionalFormatting>
  <conditionalFormatting sqref="B1:B23 C11:C23 B48:B1000 C48:C69">
    <cfRule type="cellIs" dxfId="25" priority="49" stopIfTrue="1" operator="equal">
      <formula>"18u Girls"</formula>
    </cfRule>
  </conditionalFormatting>
  <conditionalFormatting sqref="B1:B23 C11:C23 B48:B1000 C48:C69">
    <cfRule type="cellIs" dxfId="26" priority="50" stopIfTrue="1" operator="equal">
      <formula>"Mens Open"</formula>
    </cfRule>
  </conditionalFormatting>
  <conditionalFormatting sqref="B1:B23 C11:C23 B48:B1000 C48:C69">
    <cfRule type="cellIs" dxfId="10" priority="51" stopIfTrue="1" operator="equal">
      <formula>"Womens Open"</formula>
    </cfRule>
  </conditionalFormatting>
  <conditionalFormatting sqref="B1:B23 C11:C23 B48:B1000 C48:C69">
    <cfRule type="cellIs" dxfId="20" priority="52" stopIfTrue="1" operator="equal">
      <formula>"12u CoEd"</formula>
    </cfRule>
  </conditionalFormatting>
  <conditionalFormatting sqref="B1:B23 C11:C23 B48:B1000 C48:C69">
    <cfRule type="cellIs" dxfId="2" priority="53" stopIfTrue="1" operator="equal">
      <formula>"13u CoEd"</formula>
    </cfRule>
  </conditionalFormatting>
  <conditionalFormatting sqref="B1:B23 C11:C23 B48:B1000 C48:C69">
    <cfRule type="cellIs" dxfId="21" priority="54" stopIfTrue="1" operator="equal">
      <formula>"14u CoEd"</formula>
    </cfRule>
  </conditionalFormatting>
  <conditionalFormatting sqref="B1:B23 C11:C23 B48:B1000 C48:C69">
    <cfRule type="cellIs" dxfId="4" priority="55" stopIfTrue="1" operator="equal">
      <formula>"15u Boys"</formula>
    </cfRule>
  </conditionalFormatting>
  <conditionalFormatting sqref="B1:B23 C11:C23 B48:B1000 C48:C69">
    <cfRule type="cellIs" dxfId="22" priority="56" stopIfTrue="1" operator="equal">
      <formula>"16u Boys"</formula>
    </cfRule>
  </conditionalFormatting>
  <conditionalFormatting sqref="B1:B23 C11:C23 B48:B1000 C48:C69">
    <cfRule type="cellIs" dxfId="23" priority="57" stopIfTrue="1" operator="equal">
      <formula>"16u Girls"</formula>
    </cfRule>
  </conditionalFormatting>
  <conditionalFormatting sqref="B1:B23 C11:C23 B48:B1000 C48:C69">
    <cfRule type="cellIs" dxfId="24" priority="58" stopIfTrue="1" operator="equal">
      <formula>"18u Boys"</formula>
    </cfRule>
  </conditionalFormatting>
  <conditionalFormatting sqref="B1:B23 C11:C23 B48:B1000 C48:C69">
    <cfRule type="cellIs" dxfId="25" priority="59" stopIfTrue="1" operator="equal">
      <formula>"18u Girls"</formula>
    </cfRule>
  </conditionalFormatting>
  <conditionalFormatting sqref="B1:B23 C11:C23 B48:B1000 C48:C69">
    <cfRule type="cellIs" dxfId="26" priority="60" stopIfTrue="1" operator="equal">
      <formula>"Mens Open"</formula>
    </cfRule>
  </conditionalFormatting>
  <conditionalFormatting sqref="B1:B23 C11:C23 B48:B1000 C48:C69">
    <cfRule type="cellIs" dxfId="10" priority="61" stopIfTrue="1" operator="equal">
      <formula>"Womens Open"</formula>
    </cfRule>
  </conditionalFormatting>
  <conditionalFormatting sqref="B1:B23 B48:B1000">
    <cfRule type="cellIs" dxfId="20" priority="62" stopIfTrue="1" operator="equal">
      <formula>"12u CoEd"</formula>
    </cfRule>
  </conditionalFormatting>
  <conditionalFormatting sqref="B1:B23 B48:B1000">
    <cfRule type="cellIs" dxfId="2" priority="63" stopIfTrue="1" operator="equal">
      <formula>"13u CoEd"</formula>
    </cfRule>
  </conditionalFormatting>
  <conditionalFormatting sqref="B1:B23 B48:B1000">
    <cfRule type="cellIs" dxfId="21" priority="64" stopIfTrue="1" operator="equal">
      <formula>"14u CoEd"</formula>
    </cfRule>
  </conditionalFormatting>
  <conditionalFormatting sqref="B1:B23 B48:B1000">
    <cfRule type="cellIs" dxfId="4" priority="65" stopIfTrue="1" operator="equal">
      <formula>"15u Boys"</formula>
    </cfRule>
  </conditionalFormatting>
  <conditionalFormatting sqref="B1:B23 B48:B1000">
    <cfRule type="cellIs" dxfId="22" priority="66" stopIfTrue="1" operator="equal">
      <formula>"16u Boys"</formula>
    </cfRule>
  </conditionalFormatting>
  <conditionalFormatting sqref="B1:B23 B48:B1000">
    <cfRule type="cellIs" dxfId="23" priority="67" stopIfTrue="1" operator="equal">
      <formula>"16u Girls"</formula>
    </cfRule>
  </conditionalFormatting>
  <conditionalFormatting sqref="B1:B23 B48:B1000">
    <cfRule type="cellIs" dxfId="24" priority="68" stopIfTrue="1" operator="equal">
      <formula>"18u Boys"</formula>
    </cfRule>
  </conditionalFormatting>
  <conditionalFormatting sqref="B1:B23 B48:B1000">
    <cfRule type="cellIs" dxfId="25" priority="69" stopIfTrue="1" operator="equal">
      <formula>"18u Girls"</formula>
    </cfRule>
  </conditionalFormatting>
  <conditionalFormatting sqref="B1:B23 B48:B1000">
    <cfRule type="cellIs" dxfId="26" priority="70" stopIfTrue="1" operator="equal">
      <formula>"Mens Open"</formula>
    </cfRule>
  </conditionalFormatting>
  <conditionalFormatting sqref="B1:B23 B48:B1000">
    <cfRule type="cellIs" dxfId="10" priority="71" stopIfTrue="1" operator="equal">
      <formula>"Womens Open"</formula>
    </cfRule>
  </conditionalFormatting>
  <conditionalFormatting sqref="B1:B1000">
    <cfRule type="cellIs" dxfId="1" priority="72" stopIfTrue="1" operator="equal">
      <formula>"12u CoEd"</formula>
    </cfRule>
  </conditionalFormatting>
  <conditionalFormatting sqref="B1:B1000">
    <cfRule type="cellIs" dxfId="2" priority="73" stopIfTrue="1" operator="equal">
      <formula>"13u CoEd"</formula>
    </cfRule>
  </conditionalFormatting>
  <conditionalFormatting sqref="B1:B1000">
    <cfRule type="cellIs" dxfId="3" priority="74" stopIfTrue="1" operator="equal">
      <formula>"14u CoEd"</formula>
    </cfRule>
  </conditionalFormatting>
  <conditionalFormatting sqref="B1:B1000">
    <cfRule type="cellIs" dxfId="4" priority="75" stopIfTrue="1" operator="equal">
      <formula>"15u Boys"</formula>
    </cfRule>
  </conditionalFormatting>
  <conditionalFormatting sqref="B1:B1000">
    <cfRule type="cellIs" dxfId="5" priority="76" stopIfTrue="1" operator="equal">
      <formula>"16u Boys"</formula>
    </cfRule>
  </conditionalFormatting>
  <conditionalFormatting sqref="B1:B1000">
    <cfRule type="cellIs" dxfId="6" priority="77" stopIfTrue="1" operator="equal">
      <formula>"16u Girls"</formula>
    </cfRule>
  </conditionalFormatting>
  <conditionalFormatting sqref="B1:B1000">
    <cfRule type="cellIs" dxfId="7" priority="78" stopIfTrue="1" operator="equal">
      <formula>"18u Boys"</formula>
    </cfRule>
  </conditionalFormatting>
  <conditionalFormatting sqref="B1:B1000">
    <cfRule type="cellIs" dxfId="8" priority="79" stopIfTrue="1" operator="equal">
      <formula>"18u Girls"</formula>
    </cfRule>
  </conditionalFormatting>
  <conditionalFormatting sqref="B1:B1000">
    <cfRule type="cellIs" dxfId="9" priority="80" stopIfTrue="1" operator="equal">
      <formula>"Mens Open"</formula>
    </cfRule>
  </conditionalFormatting>
  <conditionalFormatting sqref="B1:B1000">
    <cfRule type="cellIs" dxfId="10" priority="81" stopIfTrue="1" operator="equal">
      <formula>"Womens Open"</formula>
    </cfRule>
  </conditionalFormatting>
  <conditionalFormatting sqref="B1:B1000">
    <cfRule type="cellIs" dxfId="1" priority="82" stopIfTrue="1" operator="equal">
      <formula>"12u CoEd"</formula>
    </cfRule>
  </conditionalFormatting>
  <conditionalFormatting sqref="B1:B1000">
    <cfRule type="cellIs" dxfId="2" priority="83" stopIfTrue="1" operator="equal">
      <formula>"13u CoEd"</formula>
    </cfRule>
  </conditionalFormatting>
  <conditionalFormatting sqref="B1:B1000">
    <cfRule type="cellIs" dxfId="3" priority="84" stopIfTrue="1" operator="equal">
      <formula>"14u CoEd"</formula>
    </cfRule>
  </conditionalFormatting>
  <conditionalFormatting sqref="B1:B1000">
    <cfRule type="cellIs" dxfId="4" priority="85" stopIfTrue="1" operator="equal">
      <formula>"15u Boys"</formula>
    </cfRule>
  </conditionalFormatting>
  <conditionalFormatting sqref="B1:B1000">
    <cfRule type="cellIs" dxfId="5" priority="86" stopIfTrue="1" operator="equal">
      <formula>"16u Boys"</formula>
    </cfRule>
  </conditionalFormatting>
  <conditionalFormatting sqref="B1:B1000">
    <cfRule type="cellIs" dxfId="6" priority="87" stopIfTrue="1" operator="equal">
      <formula>"16u Girls"</formula>
    </cfRule>
  </conditionalFormatting>
  <conditionalFormatting sqref="B1:B1000">
    <cfRule type="cellIs" dxfId="7" priority="88" stopIfTrue="1" operator="equal">
      <formula>"18u Boys"</formula>
    </cfRule>
  </conditionalFormatting>
  <conditionalFormatting sqref="B1:B1000">
    <cfRule type="cellIs" dxfId="8" priority="89" stopIfTrue="1" operator="equal">
      <formula>"18u Girls"</formula>
    </cfRule>
  </conditionalFormatting>
  <conditionalFormatting sqref="B1:B1000">
    <cfRule type="cellIs" dxfId="9" priority="90" stopIfTrue="1" operator="equal">
      <formula>"Mens Open"</formula>
    </cfRule>
  </conditionalFormatting>
  <conditionalFormatting sqref="B1:B1000">
    <cfRule type="cellIs" dxfId="10" priority="91" stopIfTrue="1" operator="equal">
      <formula>"Womens Open"</formula>
    </cfRule>
  </conditionalFormatting>
  <dataValidations>
    <dataValidation type="custom" allowBlank="1" showDropDown="1" sqref="E5:E22 E26:E47">
      <formula1>OR(TIMEVALUE(TEXT(E5, "hh:mm:ss"))=E5, AND(ISNUMBER(E5), LEFT(CELL("format", E5))="D"))</formula1>
    </dataValidation>
    <dataValidation type="list" allowBlank="1" showErrorMessage="1" sqref="B2">
      <formula1>$L$2:$L1000</formula1>
    </dataValidation>
  </dataValidations>
  <printOptions gridLines="1" horizontalCentered="1"/>
  <pageMargins bottom="0.75" footer="0.0" header="0.0" left="0.25" right="0.25" top="0.75"/>
  <pageSetup cellComments="atEnd" orientation="portrait" pageOrder="overThenDown"/>
  <drawing r:id="rId1"/>
  <tableParts count="2"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2" max="2" width="6.22"/>
    <col customWidth="1" min="3" max="3" width="20.11"/>
    <col customWidth="1" min="4" max="4" width="6.44"/>
    <col customWidth="1" min="5" max="5" width="12.0"/>
    <col customWidth="1" min="6" max="6" width="6.44"/>
    <col customWidth="1" min="8" max="8" width="5.56"/>
    <col customWidth="1" min="9" max="9" width="17.22"/>
  </cols>
  <sheetData>
    <row r="1">
      <c r="A1" s="416" t="s">
        <v>4</v>
      </c>
      <c r="B1" s="417"/>
      <c r="C1" s="418" t="s">
        <v>44</v>
      </c>
      <c r="D1" s="391"/>
      <c r="E1" s="416" t="s">
        <v>6</v>
      </c>
      <c r="F1" s="391"/>
      <c r="G1" s="416" t="s">
        <v>45</v>
      </c>
      <c r="H1" s="391"/>
      <c r="I1" s="416" t="s">
        <v>112</v>
      </c>
      <c r="K1" s="391"/>
    </row>
    <row r="2">
      <c r="A2" s="419">
        <v>1.0</v>
      </c>
      <c r="B2" s="420"/>
      <c r="C2" s="421" t="s">
        <v>113</v>
      </c>
      <c r="D2" s="420"/>
      <c r="E2" s="422">
        <v>0.6666666666666666</v>
      </c>
      <c r="F2" s="420"/>
      <c r="G2" s="419" t="s">
        <v>53</v>
      </c>
      <c r="H2" s="423"/>
      <c r="I2" s="424" t="s">
        <v>36</v>
      </c>
      <c r="K2" s="391"/>
    </row>
    <row r="3">
      <c r="A3" s="425">
        <v>2.0</v>
      </c>
      <c r="B3" s="420"/>
      <c r="C3" s="421" t="s">
        <v>114</v>
      </c>
      <c r="D3" s="420"/>
      <c r="E3" s="426">
        <v>0.7048611111111112</v>
      </c>
      <c r="F3" s="420"/>
      <c r="G3" s="425" t="s">
        <v>54</v>
      </c>
      <c r="H3" s="423"/>
      <c r="I3" s="427" t="s">
        <v>35</v>
      </c>
    </row>
    <row r="4">
      <c r="A4" s="419">
        <v>3.0</v>
      </c>
      <c r="B4" s="420"/>
      <c r="C4" s="421" t="s">
        <v>115</v>
      </c>
      <c r="D4" s="420"/>
      <c r="E4" s="422">
        <v>0.7430555555555556</v>
      </c>
      <c r="F4" s="420"/>
      <c r="G4" s="419" t="s">
        <v>55</v>
      </c>
      <c r="H4" s="423"/>
      <c r="I4" s="428" t="s">
        <v>116</v>
      </c>
    </row>
    <row r="5">
      <c r="A5" s="425">
        <v>4.0</v>
      </c>
      <c r="B5" s="420"/>
      <c r="C5" s="421" t="s">
        <v>117</v>
      </c>
      <c r="D5" s="420"/>
      <c r="E5" s="426">
        <v>0.78125</v>
      </c>
      <c r="F5" s="420"/>
      <c r="G5" s="425" t="s">
        <v>56</v>
      </c>
      <c r="H5" s="423"/>
      <c r="I5" s="427" t="s">
        <v>33</v>
      </c>
    </row>
    <row r="6">
      <c r="A6" s="429" t="s">
        <v>118</v>
      </c>
      <c r="B6" s="420"/>
      <c r="C6" s="421" t="s">
        <v>119</v>
      </c>
      <c r="D6" s="420"/>
      <c r="E6" s="422">
        <v>0.8159722222222222</v>
      </c>
      <c r="F6" s="420"/>
      <c r="G6" s="419" t="s">
        <v>57</v>
      </c>
      <c r="H6" s="423"/>
      <c r="I6" s="428" t="s">
        <v>120</v>
      </c>
    </row>
    <row r="7">
      <c r="B7" s="420"/>
      <c r="C7" s="421" t="s">
        <v>121</v>
      </c>
      <c r="D7" s="420"/>
      <c r="E7" s="426">
        <v>0.2951388888888889</v>
      </c>
      <c r="F7" s="420"/>
      <c r="G7" s="425" t="s">
        <v>58</v>
      </c>
      <c r="H7" s="423"/>
      <c r="I7" s="430" t="s">
        <v>122</v>
      </c>
      <c r="K7" s="431"/>
    </row>
    <row r="8">
      <c r="B8" s="420"/>
      <c r="C8" s="421" t="s">
        <v>123</v>
      </c>
      <c r="D8" s="420"/>
      <c r="E8" s="422">
        <v>0.3333333333333333</v>
      </c>
      <c r="F8" s="420"/>
      <c r="G8" s="419" t="s">
        <v>59</v>
      </c>
      <c r="H8" s="423"/>
      <c r="I8" s="428" t="s">
        <v>124</v>
      </c>
      <c r="K8" s="431"/>
    </row>
    <row r="9">
      <c r="B9" s="420"/>
      <c r="C9" s="421" t="s">
        <v>125</v>
      </c>
      <c r="D9" s="420"/>
      <c r="E9" s="426">
        <v>0.3715277777777778</v>
      </c>
      <c r="F9" s="420"/>
      <c r="G9" s="425" t="s">
        <v>60</v>
      </c>
      <c r="H9" s="423"/>
      <c r="I9" s="427" t="s">
        <v>20</v>
      </c>
      <c r="K9" s="431"/>
    </row>
    <row r="10">
      <c r="B10" s="420"/>
      <c r="C10" s="432" t="s">
        <v>116</v>
      </c>
      <c r="D10" s="420"/>
      <c r="E10" s="422">
        <v>0.4097222222222222</v>
      </c>
      <c r="F10" s="420"/>
      <c r="G10" s="419" t="s">
        <v>61</v>
      </c>
      <c r="H10" s="423"/>
      <c r="I10" s="428" t="s">
        <v>24</v>
      </c>
    </row>
    <row r="11">
      <c r="B11" s="420"/>
      <c r="C11" s="432" t="s">
        <v>126</v>
      </c>
      <c r="D11" s="420"/>
      <c r="E11" s="426">
        <v>0.4479166666666667</v>
      </c>
      <c r="F11" s="420"/>
      <c r="G11" s="425" t="s">
        <v>62</v>
      </c>
      <c r="H11" s="423"/>
      <c r="I11" s="427" t="s">
        <v>34</v>
      </c>
    </row>
    <row r="12">
      <c r="B12" s="420"/>
      <c r="C12" s="433" t="s">
        <v>118</v>
      </c>
      <c r="D12" s="420"/>
      <c r="E12" s="422">
        <v>0.4861111111111111</v>
      </c>
      <c r="F12" s="420"/>
      <c r="G12" s="419" t="s">
        <v>127</v>
      </c>
      <c r="H12" s="423"/>
      <c r="I12" s="424" t="s">
        <v>19</v>
      </c>
    </row>
    <row r="13">
      <c r="C13" s="434"/>
      <c r="D13" s="420"/>
      <c r="E13" s="426">
        <v>0.5243055555555556</v>
      </c>
      <c r="F13" s="420"/>
      <c r="G13" s="425" t="s">
        <v>128</v>
      </c>
      <c r="H13" s="423"/>
      <c r="I13" s="427" t="s">
        <v>37</v>
      </c>
    </row>
    <row r="14">
      <c r="D14" s="420"/>
      <c r="E14" s="422">
        <v>0.5625</v>
      </c>
      <c r="F14" s="420"/>
      <c r="G14" s="419" t="s">
        <v>129</v>
      </c>
      <c r="H14" s="423"/>
      <c r="I14" s="424" t="s">
        <v>22</v>
      </c>
    </row>
    <row r="15">
      <c r="D15" s="420"/>
      <c r="E15" s="426">
        <v>0.6006944444444444</v>
      </c>
      <c r="F15" s="420"/>
      <c r="G15" s="425" t="s">
        <v>130</v>
      </c>
      <c r="H15" s="423"/>
      <c r="I15" s="427" t="s">
        <v>28</v>
      </c>
    </row>
    <row r="16">
      <c r="D16" s="420"/>
      <c r="E16" s="422">
        <v>0.6388888888888888</v>
      </c>
      <c r="F16" s="420"/>
      <c r="G16" s="419" t="s">
        <v>131</v>
      </c>
      <c r="H16" s="423"/>
      <c r="I16" s="424" t="s">
        <v>29</v>
      </c>
    </row>
    <row r="17">
      <c r="D17" s="420"/>
      <c r="E17" s="426">
        <v>0.6770833333333334</v>
      </c>
      <c r="F17" s="420"/>
      <c r="G17" s="425" t="s">
        <v>132</v>
      </c>
      <c r="H17" s="391"/>
      <c r="I17" s="427" t="s">
        <v>118</v>
      </c>
    </row>
    <row r="18">
      <c r="D18" s="420"/>
      <c r="E18" s="422">
        <v>0.7152777777777778</v>
      </c>
      <c r="F18" s="420"/>
      <c r="G18" s="419" t="s">
        <v>133</v>
      </c>
      <c r="I18" s="435" t="s">
        <v>134</v>
      </c>
    </row>
    <row r="19">
      <c r="D19" s="420"/>
      <c r="E19" s="426">
        <v>0.7534722222222222</v>
      </c>
      <c r="F19" s="420"/>
      <c r="G19" s="425" t="s">
        <v>135</v>
      </c>
      <c r="I19" s="436" t="s">
        <v>136</v>
      </c>
    </row>
    <row r="20">
      <c r="D20" s="420"/>
      <c r="E20" s="422">
        <v>0.7916666666666666</v>
      </c>
      <c r="F20" s="420"/>
      <c r="G20" s="419" t="s">
        <v>137</v>
      </c>
      <c r="I20" s="435" t="s">
        <v>138</v>
      </c>
    </row>
    <row r="21">
      <c r="D21" s="420"/>
      <c r="E21" s="437" t="s">
        <v>118</v>
      </c>
      <c r="F21" s="420"/>
      <c r="G21" s="425" t="s">
        <v>139</v>
      </c>
      <c r="I21" s="436" t="s">
        <v>140</v>
      </c>
    </row>
    <row r="22">
      <c r="D22" s="420"/>
      <c r="E22" s="438"/>
      <c r="F22" s="420"/>
      <c r="G22" s="419" t="s">
        <v>141</v>
      </c>
      <c r="I22" s="435"/>
    </row>
    <row r="23">
      <c r="D23" s="420"/>
      <c r="E23" s="439"/>
      <c r="F23" s="420"/>
      <c r="G23" s="425" t="s">
        <v>142</v>
      </c>
      <c r="I23" s="436"/>
    </row>
    <row r="24">
      <c r="D24" s="420"/>
      <c r="E24" s="420"/>
      <c r="F24" s="420"/>
      <c r="G24" s="419" t="s">
        <v>143</v>
      </c>
      <c r="I24" s="440"/>
    </row>
    <row r="25">
      <c r="D25" s="420"/>
      <c r="E25" s="420"/>
      <c r="F25" s="420"/>
      <c r="G25" s="425" t="s">
        <v>144</v>
      </c>
    </row>
    <row r="26">
      <c r="D26" s="420"/>
      <c r="E26" s="420"/>
      <c r="F26" s="420"/>
      <c r="G26" s="419" t="s">
        <v>145</v>
      </c>
    </row>
    <row r="27">
      <c r="D27" s="420"/>
      <c r="E27" s="420"/>
      <c r="F27" s="420"/>
      <c r="G27" s="425" t="s">
        <v>146</v>
      </c>
    </row>
    <row r="28">
      <c r="G28" s="429" t="s">
        <v>118</v>
      </c>
    </row>
  </sheetData>
  <conditionalFormatting sqref="C1:C28">
    <cfRule type="cellIs" dxfId="20" priority="1" stopIfTrue="1" operator="equal">
      <formula>"12U CoEd"</formula>
    </cfRule>
  </conditionalFormatting>
  <conditionalFormatting sqref="C1:C28">
    <cfRule type="cellIs" dxfId="2" priority="2" stopIfTrue="1" operator="equal">
      <formula>"13U CoEd"</formula>
    </cfRule>
  </conditionalFormatting>
  <conditionalFormatting sqref="C1:C28">
    <cfRule type="cellIs" dxfId="21" priority="3" stopIfTrue="1" operator="equal">
      <formula>"14U CoEd"</formula>
    </cfRule>
  </conditionalFormatting>
  <conditionalFormatting sqref="C1:C28">
    <cfRule type="cellIs" dxfId="4" priority="4" stopIfTrue="1" operator="equal">
      <formula>"15U Boys"</formula>
    </cfRule>
  </conditionalFormatting>
  <conditionalFormatting sqref="C1:C28">
    <cfRule type="cellIs" dxfId="22" priority="5" stopIfTrue="1" operator="equal">
      <formula>"16U Boys"</formula>
    </cfRule>
  </conditionalFormatting>
  <conditionalFormatting sqref="C1:C28">
    <cfRule type="cellIs" dxfId="23" priority="6" stopIfTrue="1" operator="equal">
      <formula>"16U Girls"</formula>
    </cfRule>
  </conditionalFormatting>
  <conditionalFormatting sqref="C1:C28">
    <cfRule type="cellIs" dxfId="24" priority="7" stopIfTrue="1" operator="equal">
      <formula>"18U Boys"</formula>
    </cfRule>
  </conditionalFormatting>
  <conditionalFormatting sqref="C1:C28">
    <cfRule type="cellIs" dxfId="25" priority="8" stopIfTrue="1" operator="equal">
      <formula>"18U Girls"</formula>
    </cfRule>
  </conditionalFormatting>
  <conditionalFormatting sqref="C1:C28">
    <cfRule type="cellIs" dxfId="26" priority="9" stopIfTrue="1" operator="equal">
      <formula>"M Open"</formula>
    </cfRule>
  </conditionalFormatting>
  <conditionalFormatting sqref="C1:C28">
    <cfRule type="cellIs" dxfId="10" priority="10" stopIfTrue="1" operator="equal">
      <formula>"W Open"</formula>
    </cfRule>
  </conditionalFormatting>
  <dataValidations>
    <dataValidation type="custom" allowBlank="1" showDropDown="1" sqref="E2:E23">
      <formula1>OR(TIMEVALUE(TEXT(E2, "hh:mm:ss"))=E2, AND(ISNUMBER(E2), LEFT(CELL("format", E2))="D"))</formula1>
    </dataValidation>
  </dataValidations>
  <drawing r:id="rId1"/>
  <tableParts count="5">
    <tablePart r:id="rId7"/>
    <tablePart r:id="rId8"/>
    <tablePart r:id="rId9"/>
    <tablePart r:id="rId10"/>
    <tablePart r:id="rId1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0.22"/>
  </cols>
  <sheetData>
    <row r="1">
      <c r="A1" s="441" t="s">
        <v>147</v>
      </c>
      <c r="B1" s="442"/>
    </row>
    <row r="2">
      <c r="A2" s="443" t="s">
        <v>53</v>
      </c>
      <c r="B2" s="443" t="s">
        <v>54</v>
      </c>
      <c r="D2" s="391" t="s">
        <v>44</v>
      </c>
      <c r="E2" s="391" t="s">
        <v>45</v>
      </c>
      <c r="F2" s="444" t="s">
        <v>148</v>
      </c>
    </row>
    <row r="3">
      <c r="A3" s="444" t="s">
        <v>22</v>
      </c>
      <c r="B3" s="445" t="s">
        <v>35</v>
      </c>
      <c r="D3" s="391" t="s">
        <v>31</v>
      </c>
      <c r="E3" s="391" t="s">
        <v>53</v>
      </c>
      <c r="F3" s="444" t="s">
        <v>22</v>
      </c>
    </row>
    <row r="4">
      <c r="A4" s="444" t="s">
        <v>20</v>
      </c>
      <c r="B4" s="445" t="s">
        <v>149</v>
      </c>
      <c r="D4" s="391" t="s">
        <v>31</v>
      </c>
      <c r="E4" s="391" t="s">
        <v>53</v>
      </c>
      <c r="F4" s="444" t="s">
        <v>20</v>
      </c>
    </row>
    <row r="5">
      <c r="A5" s="444" t="s">
        <v>34</v>
      </c>
      <c r="B5" s="445" t="s">
        <v>150</v>
      </c>
      <c r="D5" s="391" t="s">
        <v>31</v>
      </c>
      <c r="E5" s="391" t="s">
        <v>53</v>
      </c>
      <c r="F5" s="445" t="s">
        <v>151</v>
      </c>
    </row>
    <row r="6">
      <c r="A6" s="446"/>
      <c r="B6" s="447" t="s">
        <v>152</v>
      </c>
      <c r="D6" s="391" t="s">
        <v>31</v>
      </c>
      <c r="E6" s="391" t="s">
        <v>54</v>
      </c>
      <c r="F6" s="445" t="s">
        <v>35</v>
      </c>
    </row>
    <row r="7">
      <c r="D7" s="391" t="s">
        <v>31</v>
      </c>
      <c r="E7" s="391" t="s">
        <v>54</v>
      </c>
      <c r="F7" s="445" t="s">
        <v>24</v>
      </c>
    </row>
    <row r="8">
      <c r="A8" s="448" t="s">
        <v>153</v>
      </c>
      <c r="B8" s="449"/>
      <c r="D8" s="391" t="s">
        <v>31</v>
      </c>
      <c r="E8" s="391" t="s">
        <v>54</v>
      </c>
      <c r="F8" s="447" t="s">
        <v>25</v>
      </c>
    </row>
    <row r="9">
      <c r="A9" s="450" t="s">
        <v>55</v>
      </c>
      <c r="B9" s="451" t="s">
        <v>56</v>
      </c>
      <c r="D9" s="452" t="s">
        <v>31</v>
      </c>
      <c r="E9" s="452" t="s">
        <v>54</v>
      </c>
      <c r="F9" s="452" t="s">
        <v>33</v>
      </c>
    </row>
    <row r="10">
      <c r="A10" s="453" t="s">
        <v>22</v>
      </c>
      <c r="B10" s="454" t="s">
        <v>149</v>
      </c>
      <c r="D10" s="448" t="s">
        <v>153</v>
      </c>
      <c r="E10" s="391" t="s">
        <v>55</v>
      </c>
      <c r="F10" s="453" t="s">
        <v>22</v>
      </c>
    </row>
    <row r="11">
      <c r="A11" s="453" t="s">
        <v>150</v>
      </c>
      <c r="B11" s="454" t="s">
        <v>19</v>
      </c>
      <c r="D11" s="448" t="s">
        <v>153</v>
      </c>
      <c r="E11" s="391" t="s">
        <v>55</v>
      </c>
      <c r="F11" s="453" t="s">
        <v>150</v>
      </c>
    </row>
    <row r="12">
      <c r="A12" s="453" t="s">
        <v>20</v>
      </c>
      <c r="B12" s="454" t="s">
        <v>152</v>
      </c>
      <c r="D12" s="448" t="s">
        <v>153</v>
      </c>
      <c r="E12" s="391" t="s">
        <v>55</v>
      </c>
      <c r="F12" s="453" t="s">
        <v>20</v>
      </c>
    </row>
    <row r="13">
      <c r="A13" s="455" t="s">
        <v>35</v>
      </c>
      <c r="B13" s="456"/>
      <c r="D13" s="448" t="s">
        <v>153</v>
      </c>
      <c r="E13" s="391" t="s">
        <v>55</v>
      </c>
      <c r="F13" s="455" t="s">
        <v>35</v>
      </c>
    </row>
    <row r="14">
      <c r="D14" s="448" t="s">
        <v>153</v>
      </c>
      <c r="E14" s="391" t="s">
        <v>56</v>
      </c>
      <c r="F14" s="454" t="s">
        <v>149</v>
      </c>
    </row>
    <row r="15">
      <c r="A15" s="457" t="s">
        <v>121</v>
      </c>
      <c r="D15" s="448" t="s">
        <v>153</v>
      </c>
      <c r="E15" s="391" t="s">
        <v>56</v>
      </c>
      <c r="F15" s="454" t="s">
        <v>19</v>
      </c>
    </row>
    <row r="16">
      <c r="A16" s="458" t="s">
        <v>57</v>
      </c>
      <c r="D16" s="448" t="s">
        <v>153</v>
      </c>
      <c r="E16" s="391" t="s">
        <v>56</v>
      </c>
      <c r="F16" s="454" t="s">
        <v>152</v>
      </c>
    </row>
    <row r="17">
      <c r="A17" s="459" t="s">
        <v>22</v>
      </c>
      <c r="D17" s="457" t="s">
        <v>121</v>
      </c>
      <c r="E17" s="458" t="s">
        <v>57</v>
      </c>
      <c r="F17" s="459" t="s">
        <v>22</v>
      </c>
    </row>
    <row r="18">
      <c r="A18" s="459" t="s">
        <v>150</v>
      </c>
      <c r="D18" s="457" t="s">
        <v>121</v>
      </c>
      <c r="E18" s="458" t="s">
        <v>57</v>
      </c>
      <c r="F18" s="459" t="s">
        <v>150</v>
      </c>
    </row>
    <row r="19">
      <c r="A19" s="460"/>
      <c r="D19" s="461" t="s">
        <v>119</v>
      </c>
      <c r="E19" s="391" t="s">
        <v>58</v>
      </c>
      <c r="F19" s="462" t="s">
        <v>22</v>
      </c>
    </row>
    <row r="20">
      <c r="A20" s="463"/>
      <c r="D20" s="461" t="s">
        <v>119</v>
      </c>
      <c r="E20" s="391" t="s">
        <v>58</v>
      </c>
      <c r="F20" s="462" t="s">
        <v>150</v>
      </c>
    </row>
    <row r="21">
      <c r="D21" s="461" t="s">
        <v>119</v>
      </c>
      <c r="E21" s="391" t="s">
        <v>58</v>
      </c>
      <c r="F21" s="462" t="s">
        <v>152</v>
      </c>
    </row>
    <row r="22">
      <c r="A22" s="461" t="s">
        <v>119</v>
      </c>
      <c r="B22" s="464"/>
      <c r="D22" s="461" t="s">
        <v>119</v>
      </c>
      <c r="E22" s="391" t="s">
        <v>58</v>
      </c>
      <c r="F22" s="465" t="s">
        <v>149</v>
      </c>
    </row>
    <row r="23">
      <c r="A23" s="461" t="s">
        <v>58</v>
      </c>
      <c r="B23" s="442"/>
      <c r="D23" s="461" t="s">
        <v>119</v>
      </c>
      <c r="E23" s="391" t="s">
        <v>58</v>
      </c>
      <c r="F23" s="465" t="s">
        <v>35</v>
      </c>
    </row>
    <row r="24">
      <c r="A24" s="462" t="s">
        <v>22</v>
      </c>
      <c r="B24" s="465" t="s">
        <v>149</v>
      </c>
      <c r="D24" s="466" t="s">
        <v>125</v>
      </c>
      <c r="E24" s="391" t="s">
        <v>59</v>
      </c>
      <c r="F24" s="467" t="s">
        <v>150</v>
      </c>
    </row>
    <row r="25">
      <c r="A25" s="462" t="s">
        <v>150</v>
      </c>
      <c r="B25" s="465" t="s">
        <v>35</v>
      </c>
      <c r="D25" s="466" t="s">
        <v>125</v>
      </c>
      <c r="E25" s="391" t="s">
        <v>59</v>
      </c>
      <c r="F25" s="468" t="s">
        <v>19</v>
      </c>
    </row>
    <row r="26">
      <c r="A26" s="462" t="s">
        <v>152</v>
      </c>
      <c r="B26" s="469"/>
      <c r="D26" s="466" t="s">
        <v>125</v>
      </c>
      <c r="E26" s="391" t="s">
        <v>59</v>
      </c>
      <c r="F26" s="468" t="s">
        <v>36</v>
      </c>
    </row>
    <row r="27">
      <c r="A27" s="470"/>
      <c r="B27" s="471"/>
      <c r="D27" s="466" t="s">
        <v>125</v>
      </c>
      <c r="E27" s="391" t="s">
        <v>59</v>
      </c>
      <c r="F27" s="472" t="s">
        <v>20</v>
      </c>
    </row>
    <row r="28">
      <c r="D28" s="466" t="s">
        <v>125</v>
      </c>
      <c r="E28" s="391" t="s">
        <v>59</v>
      </c>
      <c r="F28" s="473" t="s">
        <v>120</v>
      </c>
    </row>
    <row r="29">
      <c r="A29" s="466" t="s">
        <v>125</v>
      </c>
      <c r="B29" s="474"/>
      <c r="D29" s="466" t="s">
        <v>125</v>
      </c>
      <c r="E29" s="391" t="s">
        <v>59</v>
      </c>
      <c r="F29" s="473" t="s">
        <v>22</v>
      </c>
    </row>
    <row r="30">
      <c r="A30" s="467" t="s">
        <v>59</v>
      </c>
      <c r="B30" s="475"/>
      <c r="D30" s="476" t="s">
        <v>154</v>
      </c>
      <c r="E30" s="477" t="s">
        <v>60</v>
      </c>
      <c r="F30" s="478" t="s">
        <v>22</v>
      </c>
    </row>
    <row r="31">
      <c r="A31" s="467" t="s">
        <v>150</v>
      </c>
      <c r="B31" s="472" t="s">
        <v>20</v>
      </c>
      <c r="D31" s="476" t="s">
        <v>154</v>
      </c>
      <c r="E31" s="477" t="s">
        <v>60</v>
      </c>
      <c r="F31" s="478" t="s">
        <v>19</v>
      </c>
    </row>
    <row r="32">
      <c r="A32" s="468" t="s">
        <v>19</v>
      </c>
      <c r="B32" s="473" t="s">
        <v>120</v>
      </c>
      <c r="D32" s="476" t="s">
        <v>154</v>
      </c>
      <c r="E32" s="477" t="s">
        <v>60</v>
      </c>
      <c r="F32" s="478" t="s">
        <v>120</v>
      </c>
    </row>
    <row r="33">
      <c r="A33" s="468" t="s">
        <v>36</v>
      </c>
      <c r="B33" s="473" t="s">
        <v>22</v>
      </c>
      <c r="D33" s="476" t="s">
        <v>154</v>
      </c>
      <c r="E33" s="477" t="s">
        <v>60</v>
      </c>
      <c r="F33" s="479" t="s">
        <v>20</v>
      </c>
    </row>
    <row r="34">
      <c r="A34" s="480"/>
      <c r="B34" s="481"/>
      <c r="D34" s="476" t="s">
        <v>154</v>
      </c>
      <c r="E34" s="482" t="s">
        <v>61</v>
      </c>
      <c r="F34" s="483" t="s">
        <v>150</v>
      </c>
    </row>
    <row r="35">
      <c r="D35" s="476" t="s">
        <v>154</v>
      </c>
      <c r="E35" s="482" t="s">
        <v>61</v>
      </c>
      <c r="F35" s="483" t="s">
        <v>36</v>
      </c>
    </row>
    <row r="36">
      <c r="A36" s="476" t="s">
        <v>154</v>
      </c>
      <c r="B36" s="484"/>
      <c r="D36" s="476" t="s">
        <v>154</v>
      </c>
      <c r="E36" s="482" t="s">
        <v>61</v>
      </c>
      <c r="F36" s="483" t="s">
        <v>152</v>
      </c>
    </row>
    <row r="37">
      <c r="A37" s="477" t="s">
        <v>60</v>
      </c>
      <c r="B37" s="482" t="s">
        <v>61</v>
      </c>
      <c r="D37" s="485" t="s">
        <v>155</v>
      </c>
      <c r="E37" s="486" t="s">
        <v>62</v>
      </c>
      <c r="F37" s="487" t="s">
        <v>28</v>
      </c>
    </row>
    <row r="38">
      <c r="A38" s="478" t="s">
        <v>22</v>
      </c>
      <c r="B38" s="483" t="s">
        <v>150</v>
      </c>
      <c r="D38" s="485" t="s">
        <v>155</v>
      </c>
      <c r="E38" s="486" t="s">
        <v>62</v>
      </c>
      <c r="F38" s="487" t="s">
        <v>37</v>
      </c>
    </row>
    <row r="39">
      <c r="A39" s="478" t="s">
        <v>19</v>
      </c>
      <c r="B39" s="483" t="s">
        <v>36</v>
      </c>
      <c r="D39" s="485" t="s">
        <v>155</v>
      </c>
      <c r="E39" s="486" t="s">
        <v>62</v>
      </c>
      <c r="F39" s="487" t="s">
        <v>34</v>
      </c>
    </row>
    <row r="40">
      <c r="A40" s="478" t="s">
        <v>120</v>
      </c>
      <c r="B40" s="483" t="s">
        <v>152</v>
      </c>
      <c r="D40" s="485" t="s">
        <v>155</v>
      </c>
      <c r="E40" s="486" t="s">
        <v>62</v>
      </c>
      <c r="F40" s="487" t="s">
        <v>29</v>
      </c>
    </row>
    <row r="41">
      <c r="A41" s="479" t="s">
        <v>20</v>
      </c>
      <c r="B41" s="488"/>
      <c r="D41" s="485" t="s">
        <v>155</v>
      </c>
      <c r="E41" s="486" t="s">
        <v>62</v>
      </c>
      <c r="F41" s="489" t="s">
        <v>124</v>
      </c>
    </row>
    <row r="43">
      <c r="A43" s="485" t="s">
        <v>155</v>
      </c>
    </row>
    <row r="44">
      <c r="A44" s="486" t="s">
        <v>62</v>
      </c>
    </row>
    <row r="45">
      <c r="A45" s="487" t="s">
        <v>28</v>
      </c>
    </row>
    <row r="46">
      <c r="A46" s="487" t="s">
        <v>37</v>
      </c>
    </row>
    <row r="47">
      <c r="A47" s="487" t="s">
        <v>34</v>
      </c>
    </row>
    <row r="48">
      <c r="A48" s="487" t="s">
        <v>29</v>
      </c>
    </row>
    <row r="49">
      <c r="A49" s="489" t="s">
        <v>124</v>
      </c>
    </row>
  </sheetData>
  <mergeCells count="3">
    <mergeCell ref="A1:B1"/>
    <mergeCell ref="A23:B23"/>
    <mergeCell ref="A30:B30"/>
  </mergeCells>
  <drawing r:id="rId1"/>
</worksheet>
</file>